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1" i="11"/>
  <c r="H58" i="11"/>
  <c r="H56" i="11"/>
  <c r="I51" i="11"/>
  <c r="I58" i="11"/>
  <c r="I56" i="11"/>
  <c r="J51" i="11"/>
  <c r="J58" i="11"/>
  <c r="J56" i="11"/>
  <c r="K51" i="11"/>
  <c r="K58" i="11"/>
  <c r="K56" i="11"/>
  <c r="L51" i="11"/>
  <c r="L58" i="11"/>
  <c r="L56" i="11"/>
  <c r="M51" i="11"/>
  <c r="M58" i="11"/>
  <c r="M56" i="11"/>
  <c r="N51" i="11"/>
  <c r="N58" i="11"/>
  <c r="N56" i="11"/>
  <c r="O51" i="11"/>
  <c r="O58" i="11"/>
  <c r="O56" i="11"/>
  <c r="P51" i="11"/>
  <c r="P58" i="11"/>
  <c r="P56" i="11"/>
  <c r="Q51" i="11"/>
  <c r="Q58" i="11"/>
  <c r="Q56" i="11"/>
  <c r="R51" i="11"/>
  <c r="R58" i="11"/>
  <c r="R56" i="11"/>
  <c r="S51" i="11"/>
  <c r="S58" i="11"/>
  <c r="S56" i="11"/>
  <c r="T51" i="11"/>
  <c r="T58" i="11"/>
  <c r="T56" i="11"/>
  <c r="U51" i="11"/>
  <c r="U58" i="11"/>
  <c r="U56" i="11"/>
  <c r="V51" i="11"/>
  <c r="V58" i="11"/>
  <c r="V56" i="11"/>
  <c r="W51" i="11"/>
  <c r="W58" i="11"/>
  <c r="W56" i="11"/>
  <c r="X51" i="11"/>
  <c r="X58" i="11"/>
  <c r="X56" i="11"/>
  <c r="Y51" i="11"/>
  <c r="Y58" i="11"/>
  <c r="Y56" i="11"/>
  <c r="Z51" i="11"/>
  <c r="Z58" i="11"/>
  <c r="Z56" i="11"/>
  <c r="AA51" i="11"/>
  <c r="AA58" i="11"/>
  <c r="AA56" i="11"/>
  <c r="AB51" i="11"/>
  <c r="AB58" i="11"/>
  <c r="AB56" i="11"/>
  <c r="AC51" i="11"/>
  <c r="AC58" i="11"/>
  <c r="AC56" i="11"/>
  <c r="AD51" i="11"/>
  <c r="AD58" i="11"/>
  <c r="AD56" i="11"/>
  <c r="AE51" i="11"/>
  <c r="AE58" i="11"/>
  <c r="AE56" i="11"/>
  <c r="AF51" i="11"/>
  <c r="AF58" i="11"/>
  <c r="AF56" i="11"/>
  <c r="AG51" i="11"/>
  <c r="AG58" i="11"/>
  <c r="AG56" i="11"/>
  <c r="AH51" i="11"/>
  <c r="AH58" i="11"/>
  <c r="AH56" i="11"/>
  <c r="AI51" i="11"/>
  <c r="AI58" i="11"/>
  <c r="AI56" i="11"/>
  <c r="AJ51" i="11"/>
  <c r="AJ58" i="11"/>
  <c r="AJ56" i="11"/>
  <c r="G51" i="11"/>
  <c r="G58" i="11"/>
  <c r="G56"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13" i="15"/>
  <c r="H14" i="15"/>
  <c r="H29" i="15"/>
  <c r="H100" i="15"/>
  <c r="H30" i="15"/>
  <c r="H101" i="15"/>
  <c r="J54" i="8"/>
  <c r="H13" i="9"/>
  <c r="H38" i="15"/>
  <c r="H108" i="15"/>
  <c r="H113" i="15"/>
  <c r="H43" i="15"/>
  <c r="H46" i="15"/>
  <c r="J60" i="11"/>
  <c r="H47" i="15"/>
  <c r="H116" i="15"/>
  <c r="H48" i="15"/>
  <c r="H117" i="15"/>
  <c r="H118" i="15"/>
  <c r="H127" i="15"/>
  <c r="H128" i="15"/>
  <c r="H135" i="15"/>
  <c r="H140" i="15"/>
  <c r="H143" i="15"/>
  <c r="H144" i="15"/>
  <c r="H145" i="15"/>
  <c r="H249" i="15"/>
  <c r="H252" i="15"/>
  <c r="H179" i="15"/>
  <c r="H47" i="9"/>
  <c r="H52" i="9"/>
  <c r="H21" i="9"/>
  <c r="H54" i="9"/>
  <c r="H55" i="9"/>
  <c r="H65" i="9"/>
  <c r="H70" i="9"/>
  <c r="H72" i="9"/>
  <c r="H73" i="9"/>
  <c r="H176" i="15"/>
  <c r="H182" i="15"/>
  <c r="H185" i="15"/>
  <c r="K54" i="8"/>
  <c r="L54" i="8"/>
  <c r="M54" i="8"/>
  <c r="N54" i="8"/>
  <c r="O54" i="8"/>
  <c r="P54" i="8"/>
  <c r="Q54" i="8"/>
  <c r="R54" i="8"/>
  <c r="S54" i="8"/>
  <c r="T54" i="8"/>
  <c r="U54" i="8"/>
  <c r="V54" i="8"/>
  <c r="W54" i="8"/>
  <c r="X54" i="8"/>
  <c r="Y54" i="8"/>
  <c r="Z54" i="8"/>
  <c r="AA54" i="8"/>
  <c r="AB54" i="8"/>
  <c r="AC54" i="8"/>
  <c r="AD54" i="8"/>
  <c r="AE54" i="8"/>
  <c r="AF54" i="8"/>
  <c r="AG54" i="8"/>
  <c r="AH54" i="8"/>
  <c r="AI54" i="8"/>
  <c r="AJ54" i="8"/>
  <c r="G52" i="11"/>
  <c r="J52" i="11"/>
  <c r="AH13" i="9"/>
  <c r="N13" i="9"/>
  <c r="P52" i="11"/>
  <c r="N8" i="9"/>
  <c r="N18" i="9"/>
  <c r="N13" i="15"/>
  <c r="N14" i="15"/>
  <c r="D11" i="5"/>
  <c r="D17" i="5"/>
  <c r="C17" i="5"/>
  <c r="F17" i="5"/>
  <c r="I17" i="5"/>
  <c r="AJ52" i="11"/>
  <c r="AH13" i="15"/>
  <c r="AH14" i="1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52" i="11"/>
  <c r="X13" i="15"/>
  <c r="X14" i="15"/>
  <c r="X8" i="9"/>
  <c r="D29" i="5"/>
  <c r="C29" i="5"/>
  <c r="D28" i="5"/>
  <c r="C28" i="5"/>
  <c r="F35" i="5"/>
  <c r="AH8" i="9"/>
  <c r="D30" i="5"/>
  <c r="C30" i="5"/>
  <c r="H35" i="5"/>
  <c r="AH26" i="15"/>
  <c r="AH31" i="15"/>
  <c r="D36" i="5"/>
  <c r="C36" i="5"/>
  <c r="F36" i="5"/>
  <c r="H36" i="5"/>
  <c r="AH18" i="15"/>
  <c r="AH32" i="15"/>
  <c r="AH43" i="15"/>
  <c r="AH46" i="15"/>
  <c r="F34" i="5"/>
  <c r="H34" i="5"/>
  <c r="AH24" i="15"/>
  <c r="AH30" i="15"/>
  <c r="AJ60" i="11"/>
  <c r="AH47" i="15"/>
  <c r="AH48" i="15"/>
  <c r="AH49" i="15"/>
  <c r="AH93" i="15"/>
  <c r="X34" i="15"/>
  <c r="X35" i="15"/>
  <c r="X37" i="15"/>
  <c r="X38" i="15"/>
  <c r="X39" i="15"/>
  <c r="X40" i="15"/>
  <c r="X42" i="15"/>
  <c r="X26" i="15"/>
  <c r="X31" i="15"/>
  <c r="X18" i="15"/>
  <c r="X32" i="15"/>
  <c r="X43" i="15"/>
  <c r="X46" i="15"/>
  <c r="X24" i="15"/>
  <c r="X30" i="15"/>
  <c r="Z60" i="11"/>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46" i="15"/>
  <c r="N30" i="15"/>
  <c r="P60" i="11"/>
  <c r="N47" i="15"/>
  <c r="N48" i="15"/>
  <c r="N49" i="15"/>
  <c r="N93" i="15"/>
  <c r="X78" i="15"/>
  <c r="N94" i="15"/>
  <c r="X79" i="15"/>
  <c r="N87" i="15"/>
  <c r="X72" i="15"/>
  <c r="H32" i="15"/>
  <c r="H49" i="15"/>
  <c r="H93" i="15"/>
  <c r="N78" i="15"/>
  <c r="H94" i="15"/>
  <c r="N79" i="15"/>
  <c r="H87" i="15"/>
  <c r="N72" i="15"/>
  <c r="H74" i="8"/>
  <c r="H79" i="8"/>
  <c r="I74" i="8"/>
  <c r="I79" i="8"/>
  <c r="J74" i="8"/>
  <c r="J79" i="8"/>
  <c r="K74" i="8"/>
  <c r="K79" i="8"/>
  <c r="L74" i="8"/>
  <c r="L79" i="8"/>
  <c r="M74" i="8"/>
  <c r="M79" i="8"/>
  <c r="N74" i="8"/>
  <c r="N79" i="8"/>
  <c r="O74" i="8"/>
  <c r="O79" i="8"/>
  <c r="P74" i="8"/>
  <c r="P79" i="8"/>
  <c r="Q74" i="8"/>
  <c r="Q79" i="8"/>
  <c r="R74" i="8"/>
  <c r="R79" i="8"/>
  <c r="S74" i="8"/>
  <c r="S79" i="8"/>
  <c r="T74" i="8"/>
  <c r="T79" i="8"/>
  <c r="U74" i="8"/>
  <c r="U79" i="8"/>
  <c r="V74" i="8"/>
  <c r="V79" i="8"/>
  <c r="W74" i="8"/>
  <c r="W79" i="8"/>
  <c r="X74" i="8"/>
  <c r="X79" i="8"/>
  <c r="Y74" i="8"/>
  <c r="Y79" i="8"/>
  <c r="Z74" i="8"/>
  <c r="Z79" i="8"/>
  <c r="AA74" i="8"/>
  <c r="AA79" i="8"/>
  <c r="AB74" i="8"/>
  <c r="AB79" i="8"/>
  <c r="AC74" i="8"/>
  <c r="AC79" i="8"/>
  <c r="AD74" i="8"/>
  <c r="AD79" i="8"/>
  <c r="AE74" i="8"/>
  <c r="AE79" i="8"/>
  <c r="AF74" i="8"/>
  <c r="AF79" i="8"/>
  <c r="AG74" i="8"/>
  <c r="AG79" i="8"/>
  <c r="AH74" i="8"/>
  <c r="AH79" i="8"/>
  <c r="AI74" i="8"/>
  <c r="AI79" i="8"/>
  <c r="AJ74" i="8"/>
  <c r="AJ79" i="8"/>
  <c r="G74" i="8"/>
  <c r="G79" i="8"/>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H76" i="8"/>
  <c r="G76"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K52" i="11"/>
  <c r="L52" i="11"/>
  <c r="M52" i="11"/>
  <c r="N52" i="11"/>
  <c r="O52" i="11"/>
  <c r="Q52" i="11"/>
  <c r="R52" i="11"/>
  <c r="S52" i="11"/>
  <c r="T52" i="11"/>
  <c r="U52" i="11"/>
  <c r="V52" i="11"/>
  <c r="W52" i="11"/>
  <c r="X52" i="11"/>
  <c r="Y52" i="11"/>
  <c r="AA52" i="11"/>
  <c r="AB52" i="11"/>
  <c r="AC52" i="11"/>
  <c r="AD52" i="11"/>
  <c r="AE52" i="11"/>
  <c r="AF52" i="11"/>
  <c r="AG52" i="11"/>
  <c r="AH52" i="11"/>
  <c r="AI52" i="11"/>
  <c r="H49" i="11"/>
  <c r="H50" i="11"/>
  <c r="I49" i="11"/>
  <c r="I50" i="11"/>
  <c r="J49" i="11"/>
  <c r="J50" i="11"/>
  <c r="K49" i="11"/>
  <c r="K50" i="11"/>
  <c r="L49" i="11"/>
  <c r="L50" i="11"/>
  <c r="M49" i="11"/>
  <c r="M50" i="11"/>
  <c r="N49" i="11"/>
  <c r="N50" i="11"/>
  <c r="O49" i="11"/>
  <c r="O50" i="11"/>
  <c r="P49" i="11"/>
  <c r="P50" i="11"/>
  <c r="Q49" i="11"/>
  <c r="Q50" i="11"/>
  <c r="R49" i="11"/>
  <c r="R50" i="11"/>
  <c r="S49" i="11"/>
  <c r="S50" i="11"/>
  <c r="T49" i="11"/>
  <c r="T50" i="11"/>
  <c r="U49" i="11"/>
  <c r="U50" i="11"/>
  <c r="V49" i="11"/>
  <c r="V50" i="11"/>
  <c r="W49" i="11"/>
  <c r="W50" i="11"/>
  <c r="X49" i="11"/>
  <c r="X50" i="11"/>
  <c r="Y49" i="11"/>
  <c r="Y50" i="11"/>
  <c r="Z49" i="11"/>
  <c r="Z50" i="11"/>
  <c r="AA49" i="11"/>
  <c r="AA50" i="11"/>
  <c r="AB49" i="11"/>
  <c r="AB50" i="11"/>
  <c r="AC49" i="11"/>
  <c r="AC50" i="11"/>
  <c r="AD49" i="11"/>
  <c r="AD50" i="11"/>
  <c r="AE49" i="11"/>
  <c r="AE50" i="11"/>
  <c r="AF49" i="11"/>
  <c r="AF50" i="11"/>
  <c r="AG49" i="11"/>
  <c r="AG50" i="11"/>
  <c r="AH49" i="11"/>
  <c r="AH50" i="11"/>
  <c r="AI49" i="11"/>
  <c r="AI50" i="11"/>
  <c r="AJ49" i="11"/>
  <c r="AJ50" i="11"/>
  <c r="AH16" i="15"/>
  <c r="Z13" i="15"/>
  <c r="Z14" i="15"/>
  <c r="N10" i="9"/>
  <c r="P73" i="8"/>
  <c r="N7" i="9"/>
  <c r="N11" i="9"/>
  <c r="P75" i="8"/>
  <c r="N12" i="9"/>
  <c r="P78" i="8"/>
  <c r="N16" i="9"/>
  <c r="N14" i="9"/>
  <c r="Z73" i="8"/>
  <c r="X7"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AB78" i="8"/>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C78" i="8"/>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D78" i="8"/>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E78" i="8"/>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F78" i="8"/>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G78" i="8"/>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H78" i="8"/>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I78" i="8"/>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AA78" i="8"/>
  <c r="Y16" i="9"/>
  <c r="Y42" i="15"/>
  <c r="Y43" i="15"/>
  <c r="Y30" i="15"/>
  <c r="Y46" i="15"/>
  <c r="AA60" i="11"/>
  <c r="Y47" i="15"/>
  <c r="Y48" i="15"/>
  <c r="Y49" i="15"/>
  <c r="Y86" i="15"/>
  <c r="Y87" i="15"/>
  <c r="Y88" i="15"/>
  <c r="Y89" i="15"/>
  <c r="Y90" i="15"/>
  <c r="Y91" i="15"/>
  <c r="Y92" i="15"/>
  <c r="Y93" i="15"/>
  <c r="Y94" i="15"/>
  <c r="Y95" i="15"/>
  <c r="Y16" i="15"/>
  <c r="G11" i="5"/>
  <c r="E11" i="5"/>
  <c r="H78" i="8"/>
  <c r="I78" i="8"/>
  <c r="J78" i="8"/>
  <c r="K78" i="8"/>
  <c r="L78" i="8"/>
  <c r="M78" i="8"/>
  <c r="N78" i="8"/>
  <c r="O78" i="8"/>
  <c r="Q78" i="8"/>
  <c r="R78" i="8"/>
  <c r="S78" i="8"/>
  <c r="T78" i="8"/>
  <c r="U78" i="8"/>
  <c r="V78" i="8"/>
  <c r="W78" i="8"/>
  <c r="X78" i="8"/>
  <c r="Y78" i="8"/>
  <c r="Z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49" i="11"/>
  <c r="B58" i="11"/>
  <c r="C58" i="11"/>
  <c r="D58" i="11"/>
  <c r="E58" i="11"/>
  <c r="F58" i="11"/>
  <c r="X10" i="9"/>
  <c r="X11" i="9"/>
  <c r="X12" i="9"/>
  <c r="X13" i="9"/>
  <c r="X14" i="9"/>
  <c r="X16" i="9"/>
  <c r="X18" i="9"/>
  <c r="D12" i="5"/>
  <c r="E12" i="5"/>
  <c r="AH7" i="9"/>
  <c r="AH10" i="9"/>
  <c r="AH11" i="9"/>
  <c r="AH12"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14" i="9"/>
  <c r="H39" i="15"/>
  <c r="H7" i="9"/>
  <c r="H31" i="15"/>
  <c r="H10" i="9"/>
  <c r="H34"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<sst xmlns="http://schemas.openxmlformats.org/spreadsheetml/2006/main" count="1326" uniqueCount="760">
  <si>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</si>
  <si>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</si>
  <si>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</si>
  <si>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</si>
  <si>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</si>
  <si>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</si>
  <si>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</si>
  <si>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</si>
  <si>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</si>
  <si>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</si>
  <si>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</si>
  <si>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</si>
  <si>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</si>
  <si>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</si>
  <si>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</si>
  <si>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</si>
  <si>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</si>
  <si>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</si>
  <si>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</si>
  <si>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</si>
  <si>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</si>
  <si>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</si>
  <si>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</si>
  <si>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</si>
  <si>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</si>
  <si>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</si>
  <si>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</si>
  <si>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</si>
  <si>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</si>
  <si>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</si>
  <si>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</si>
  <si>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</si>
  <si>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</si>
  <si>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</si>
  <si>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</si>
  <si>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</si>
  <si>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</si>
  <si>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</si>
  <si>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</si>
  <si>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</si>
  <si>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</si>
  <si>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</si>
  <si>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</si>
  <si>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</si>
  <si>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</si>
  <si>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</si>
  <si>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</si>
  <si>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</si>
  <si>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</si>
  <si>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</si>
  <si>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</si>
  <si>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</si>
  <si>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</si>
  <si>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</si>
  <si>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</si>
  <si>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</si>
  <si>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</si>
  <si>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</si>
  <si>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</si>
  <si>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</si>
  <si>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</si>
  <si>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</si>
  <si>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</si>
  <si>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</si>
  <si>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</si>
  <si>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</si>
  <si>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</si>
  <si>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</si>
  <si>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</si>
  <si>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</si>
  <si>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</si>
  <si>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</si>
  <si>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</si>
  <si>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</si>
  <si>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</si>
  <si>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</si>
  <si>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</si>
  <si>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</si>
  <si>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</si>
  <si>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</si>
  <si>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</si>
  <si>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</si>
  <si>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</si>
  <si>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</si>
  <si>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</si>
  <si>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</si>
  <si>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</si>
  <si>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</si>
  <si>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</si>
  <si>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</si>
  <si>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</si>
  <si>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</si>
  <si>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</si>
  <si>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</si>
  <si>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</si>
  <si>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</si>
  <si>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</si>
  <si>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</si>
  <si>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</si>
  <si>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</si>
  <si>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</si>
  <si>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</si>
  <si>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</si>
  <si>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</si>
  <si>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</si>
  <si>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</si>
  <si>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</si>
  <si>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</si>
  <si>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</si>
  <si>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</si>
  <si>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</si>
  <si>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</si>
  <si>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</si>
  <si>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</si>
  <si>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</si>
  <si>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</si>
  <si>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</si>
  <si>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</si>
  <si>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</si>
  <si>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</si>
  <si>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</si>
  <si>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</si>
  <si>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</si>
  <si>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</si>
  <si>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</si>
  <si>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</si>
  <si>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</si>
  <si>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</si>
  <si>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</si>
  <si>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</si>
  <si>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</si>
  <si>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</si>
  <si>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</si>
  <si>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</si>
  <si>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</si>
  <si>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</si>
  <si>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</si>
  <si>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</si>
  <si>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</si>
  <si>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</si>
  <si>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</si>
  <si>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</si>
  <si>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</si>
  <si>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</si>
  <si>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</si>
  <si>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</si>
  <si>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</si>
  <si>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</si>
  <si>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</si>
  <si>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</si>
  <si>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</si>
  <si>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</si>
  <si>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</si>
  <si>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</si>
  <si>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</si>
  <si>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</si>
  <si>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</si>
  <si>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</si>
  <si>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</si>
  <si>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</si>
  <si>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</si>
  <si>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</si>
  <si>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</si>
  <si>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</si>
  <si>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</si>
  <si>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</si>
  <si>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</si>
  <si>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</si>
  <si>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</si>
  <si>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</si>
  <si>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</si>
  <si>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</si>
  <si>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</si>
  <si>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</si>
  <si>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</si>
  <si>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</si>
  <si>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</si>
  <si>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</si>
  <si>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</si>
  <si>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</si>
  <si>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</si>
  <si>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</si>
  <si>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</si>
  <si>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</si>
  <si>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</si>
  <si>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</si>
  <si>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</si>
  <si>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</si>
  <si>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</si>
  <si>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</si>
  <si>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</si>
  <si>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</si>
  <si>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</si>
  <si>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</si>
  <si>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</si>
  <si>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</si>
  <si>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</si>
  <si>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</si>
  <si>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</si>
  <si>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</si>
  <si>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</si>
  <si>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</si>
  <si>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</si>
  <si>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</si>
  <si>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</si>
  <si>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</si>
  <si>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</si>
  <si>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</si>
  <si>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</si>
  <si>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</si>
  <si>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</si>
  <si>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</si>
  <si>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</si>
  <si>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</si>
  <si>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</si>
  <si>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</si>
  <si>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</si>
  <si>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</si>
  <si>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</si>
  <si>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</si>
  <si>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</si>
  <si>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</si>
  <si>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</si>
  <si>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</si>
  <si>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</si>
  <si>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</si>
  <si>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</si>
  <si>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</si>
  <si>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</si>
  <si>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</si>
  <si>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</si>
  <si>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</si>
  <si>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</si>
  <si>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</si>
  <si>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</si>
  <si>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</si>
  <si>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</si>
  <si>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</si>
  <si>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</si>
  <si>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</si>
  <si>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</si>
  <si>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</si>
  <si>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</si>
  <si>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</si>
  <si>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</si>
  <si>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</si>
  <si>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</si>
  <si>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</si>
  <si>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</si>
  <si>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</si>
  <si>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</si>
  <si>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</si>
  <si>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</si>
  <si>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</si>
  <si>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</si>
  <si>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</si>
  <si>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</si>
  <si>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</si>
  <si>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</si>
  <si>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</si>
  <si>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</si>
  <si>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</si>
  <si>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</si>
  <si>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</si>
  <si>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</si>
  <si>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</si>
  <si>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</si>
  <si>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</si>
  <si>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</si>
  <si>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</si>
  <si>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</si>
  <si>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</si>
  <si>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</si>
  <si>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</si>
  <si>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</si>
  <si>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</si>
  <si>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</si>
  <si>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</si>
  <si>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</si>
  <si>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</si>
  <si>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</si>
  <si>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</si>
  <si>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</si>
  <si>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</si>
  <si>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</si>
  <si>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</si>
  <si>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</si>
  <si>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</si>
  <si>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</si>
  <si>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</si>
  <si>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</si>
  <si>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</si>
  <si>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</si>
  <si>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</si>
  <si>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</si>
  <si>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</si>
  <si>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</si>
  <si>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</si>
  <si>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</si>
  <si>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</si>
  <si>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</si>
  <si>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</si>
  <si>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</si>
  <si>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</si>
  <si>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</si>
  <si>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</si>
  <si>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</si>
  <si>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</si>
  <si>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</si>
  <si>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</si>
  <si>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</si>
  <si>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</si>
  <si>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</si>
  <si>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</si>
  <si>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</si>
  <si>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</si>
  <si>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</si>
  <si>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</si>
  <si>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</si>
  <si>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</si>
  <si>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</si>
  <si>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</si>
  <si>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</si>
  <si>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</si>
  <si>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</si>
  <si>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</si>
  <si>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</si>
  <si>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</si>
  <si>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</si>
  <si>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</si>
  <si>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</si>
  <si>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</si>
  <si>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</si>
  <si>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</si>
  <si>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</si>
  <si>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</si>
  <si>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</si>
  <si>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</si>
  <si>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</si>
  <si>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</si>
  <si>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</si>
  <si>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</si>
  <si>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</si>
  <si>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</si>
  <si>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</si>
  <si>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</si>
  <si>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</si>
  <si>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</si>
  <si>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</si>
  <si>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</si>
  <si>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</si>
  <si>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</si>
  <si>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</si>
  <si>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</si>
  <si>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</si>
  <si>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</si>
  <si>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</si>
  <si>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</si>
  <si>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</si>
  <si>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</si>
  <si>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</si>
  <si>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</si>
  <si>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</si>
  <si>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</si>
  <si>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</si>
  <si>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</si>
  <si>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</si>
  <si>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</si>
  <si>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</si>
  <si>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</si>
  <si>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</si>
  <si>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</si>
  <si>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</si>
  <si>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</si>
  <si>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</si>
  <si>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</si>
  <si>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</si>
  <si>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</si>
  <si>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</si>
  <si>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</si>
  <si>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</si>
  <si>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</si>
  <si>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</si>
  <si>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</si>
  <si>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</si>
  <si>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</si>
  <si>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</si>
  <si>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</si>
  <si>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</si>
  <si>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</si>
  <si>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</si>
  <si>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</si>
  <si>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</si>
  <si>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</si>
  <si>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</si>
  <si>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</si>
  <si>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</si>
  <si>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</si>
  <si>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</si>
  <si>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</si>
  <si>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</si>
  <si>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</si>
  <si>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</si>
  <si>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</si>
  <si>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</si>
  <si>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</si>
  <si>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</si>
  <si>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</si>
  <si>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</si>
  <si>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</si>
  <si>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</si>
  <si>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</si>
  <si>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</si>
  <si>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</si>
  <si>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</si>
  <si>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</si>
  <si>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</si>
  <si>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</si>
  <si>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</si>
  <si>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</si>
  <si>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</si>
  <si>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</si>
  <si>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</si>
  <si>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</si>
  <si>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</si>
  <si>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</si>
  <si>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</si>
  <si>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</si>
  <si>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</si>
  <si>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</si>
  <si>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</si>
  <si>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</si>
  <si>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</si>
  <si>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</si>
  <si>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</si>
  <si>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</si>
  <si>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</si>
  <si>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</si>
  <si>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</si>
  <si>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</si>
  <si>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</si>
  <si>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</si>
  <si>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</si>
  <si>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</si>
  <si>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</si>
  <si>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</si>
  <si>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</si>
  <si>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</si>
  <si>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</si>
  <si>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</si>
  <si>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</si>
  <si>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</si>
  <si>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</si>
  <si>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</si>
  <si>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</si>
  <si>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</si>
  <si>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</si>
  <si>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</si>
  <si>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</si>
  <si>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</si>
  <si>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</si>
  <si>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</si>
  <si>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</si>
  <si>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</si>
  <si>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</si>
  <si>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</si>
  <si>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</si>
  <si>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</si>
  <si>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</si>
  <si>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</si>
  <si>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</si>
  <si>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</si>
  <si>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</si>
  <si>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</si>
  <si>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</si>
  <si>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</si>
  <si>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</si>
  <si>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</si>
  <si>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</si>
  <si>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</si>
  <si>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</si>
  <si>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</si>
  <si>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</si>
  <si>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</si>
  <si>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</si>
  <si>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</si>
  <si>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</si>
  <si>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</si>
  <si>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</si>
  <si>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</si>
  <si>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</si>
  <si>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</si>
  <si>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</si>
  <si>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</si>
  <si>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</si>
  <si>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</si>
  <si>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</si>
  <si>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</si>
  <si>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</si>
  <si>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</si>
  <si>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</si>
  <si>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</si>
  <si>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</si>
  <si>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</si>
  <si>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</si>
  <si>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</si>
  <si>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</si>
  <si>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</si>
  <si>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</si>
  <si>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</si>
  <si>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</si>
  <si>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</si>
  <si>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</si>
  <si>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</si>
  <si>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</si>
  <si>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</si>
  <si>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</si>
  <si>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</si>
  <si>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</si>
  <si>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</si>
  <si>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</si>
  <si>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</si>
  <si>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</si>
  <si>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</si>
  <si>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</si>
  <si>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</si>
  <si>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</si>
  <si>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</si>
  <si>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</si>
  <si>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</si>
  <si>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</si>
  <si>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</si>
  <si>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</si>
  <si>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</si>
  <si>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</si>
  <si>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</si>
  <si>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</si>
  <si>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</si>
  <si>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</si>
  <si>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</si>
  <si>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</si>
  <si>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</si>
  <si>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</si>
  <si>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</si>
  <si>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</si>
  <si>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</si>
  <si>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</si>
  <si>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</si>
  <si>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</si>
  <si>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</si>
  <si>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</si>
  <si>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</si>
  <si>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</si>
  <si>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</si>
  <si>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</si>
  <si>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</si>
  <si>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</si>
  <si>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</si>
  <si>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</si>
  <si>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</si>
  <si>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</si>
  <si>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</si>
  <si>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</si>
  <si>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</si>
  <si>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</si>
  <si>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</si>
  <si>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</si>
  <si>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</si>
  <si>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</si>
  <si>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</si>
  <si>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</si>
  <si>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</si>
  <si>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</si>
  <si>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</si>
  <si>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</si>
  <si>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</si>
  <si>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</si>
  <si>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</si>
  <si>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</si>
  <si>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</si>
  <si>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</si>
  <si>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</si>
  <si>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</si>
  <si>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</si>
  <si>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</si>
  <si>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</si>
  <si>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</si>
  <si>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</si>
  <si>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</si>
  <si>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</si>
  <si>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</si>
  <si>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</si>
  <si>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</si>
  <si>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</si>
  <si>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</si>
  <si>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</si>
  <si>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</si>
  <si>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</si>
  <si>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</si>
  <si>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</si>
  <si>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</si>
  <si>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</si>
  <si>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</si>
  <si>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</si>
  <si>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</si>
  <si>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</si>
  <si>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</si>
  <si>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</si>
  <si>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</si>
  <si>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</si>
  <si>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</si>
  <si>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</si>
  <si>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</si>
  <si>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</si>
  <si>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</si>
  <si>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</si>
  <si>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</si>
  <si>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</si>
  <si>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</si>
  <si>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</si>
  <si>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</si>
  <si>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</si>
  <si>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</si>
  <si>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</si>
  <si>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</si>
  <si>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</si>
  <si>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</si>
  <si>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</si>
  <si>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</si>
  <si>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</si>
  <si>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</si>
  <si>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</si>
  <si>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</si>
  <si>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</si>
  <si>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</si>
  <si>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</si>
  <si>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</si>
  <si>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</si>
  <si>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</si>
  <si>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</si>
  <si>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</si>
  <si>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</si>
  <si>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</si>
  <si>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</si>
  <si>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</si>
  <si>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</si>
  <si>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</si>
  <si>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</si>
  <si>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</si>
  <si>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</si>
  <si>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</si>
  <si>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</si>
  <si>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</si>
  <si>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</si>
  <si>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</si>
  <si>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</si>
  <si>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</si>
  <si>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</si>
  <si>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</si>
  <si>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</si>
  <si>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</si>
  <si>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</si>
  <si>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</si>
  <si>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</si>
  <si>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</si>
  <si>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</si>
  <si>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</si>
  <si>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</si>
  <si>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</si>
  <si>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</si>
  <si>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</si>
  <si>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</si>
  <si>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</si>
  <si>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</si>
  <si>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</si>
  <si>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</si>
  <si>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</si>
  <si>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</si>
  <si>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</si>
  <si>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</si>
  <si>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</si>
  <si>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</si>
  <si>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</si>
  <si>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</si>
  <si>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</si>
  <si>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</si>
  <si>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</si>
  <si>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</si>
  <si>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</si>
  <si>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</si>
  <si>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</si>
  <si>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</si>
  <si>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</si>
  <si>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</si>
  <si>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</si>
  <si>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</si>
  <si>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</si>
  <si>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</si>
  <si>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</si>
  <si>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</si>
  <si>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</si>
  <si>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</si>
  <si>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</si>
  <si>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</si>
  <si>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</si>
  <si>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</si>
  <si>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</si>
  <si>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</si>
  <si>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</si>
  <si>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</si>
  <si>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</si>
  <si>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</si>
  <si>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</si>
  <si>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</si>
  <si>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</si>
  <si>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</si>
  <si>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</si>
  <si>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</si>
  <si>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</si>
  <si>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</si>
  <si>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</si>
  <si>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</si>
  <si>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</si>
  <si>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</si>
  <si>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</si>
  <si>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</si>
  <si>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</si>
  <si>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</si>
  <si>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</si>
  <si>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</si>
  <si>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</si>
  <si>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</si>
  <si>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</si>
  <si>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</si>
  <si>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</si>
  <si>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</si>
  <si>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</si>
  <si>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</si>
  <si>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</si>
  <si>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</si>
  <si>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</si>
  <si>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</si>
  <si>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</si>
  <si>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</si>
  <si>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Generation from EIA Midwest region from EIA</t>
  </si>
  <si>
    <t xml:space="preserve">    Natural Ga0</t>
  </si>
  <si>
    <t>Wood/Wood Wa0te</t>
  </si>
  <si>
    <t>Total Electricity Generation by Fuel from EIA forRFC east and west</t>
  </si>
  <si>
    <t>Fossil</t>
  </si>
  <si>
    <t xml:space="preserve">    Other Gase0</t>
  </si>
  <si>
    <t>Pumped storage</t>
  </si>
  <si>
    <t>Energy source</t>
  </si>
  <si>
    <t>MSW Biogenic/Landfill Ga0</t>
  </si>
  <si>
    <t>Other Biomass0</t>
  </si>
  <si>
    <t>Contribution of New jersey</t>
  </si>
  <si>
    <t>Total Electricity Generation by Fuel by computation for New jersey</t>
  </si>
  <si>
    <t>Proportion for New jersey</t>
  </si>
  <si>
    <t>Solar Proportion</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</si>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</sst>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3"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
      <sz val="10"/>
      <color rgb="FF000000"/>
      <name val="Calibri"/>
      <family val="2"/>
      <scheme val="minor"/>
    </font>
    <font>
      <sz val="10"/>
      <color indexed="8"/>
      <name val="Verdana"/>
      <family val="2"/>
    </font>
  </fonts>
  <fills count="11">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22"/>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9">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1" fillId="0" borderId="0"/>
  </cellStyleXfs>
  <cellXfs count="573">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0" fontId="51" fillId="0" borderId="0" xfId="0" applyFont="1" applyAlignment="1">
      <alignment wrapText="1"/>
    </xf>
    <xf numFmtId="0" fontId="52" fillId="10" borderId="16" xfId="28" applyFont="1" applyFill="1" applyBorder="1" applyAlignment="1">
      <alignment horizontal="center" wrapText="1"/>
    </xf>
    <xf numFmtId="0" fontId="0" fillId="10" borderId="16" xfId="0" applyNumberFormat="1" applyFill="1" applyBorder="1"/>
    <xf numFmtId="0" fontId="0" fillId="2" borderId="0" xfId="0" applyFill="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9">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2" xfId="3"/>
    <cellStyle name="Normal" xfId="0" builtinId="0"/>
    <cellStyle name="Normal 11" xfId="28"/>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0902168"/>
        <c:axId val="2077658440"/>
      </c:lineChart>
      <c:catAx>
        <c:axId val="21109021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7658440"/>
        <c:crosses val="autoZero"/>
        <c:auto val="1"/>
        <c:lblAlgn val="ctr"/>
        <c:lblOffset val="100"/>
        <c:noMultiLvlLbl val="0"/>
      </c:catAx>
      <c:valAx>
        <c:axId val="207765844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090216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28265112"/>
        <c:axId val="2091725944"/>
      </c:lineChart>
      <c:catAx>
        <c:axId val="20282651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1725944"/>
        <c:crosses val="autoZero"/>
        <c:auto val="1"/>
        <c:lblAlgn val="ctr"/>
        <c:lblOffset val="100"/>
        <c:noMultiLvlLbl val="0"/>
      </c:catAx>
      <c:valAx>
        <c:axId val="209172594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2826511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B2"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7"/>
      <c r="B1" s="537"/>
      <c r="C1" s="537"/>
      <c r="D1" s="537"/>
      <c r="E1" s="537"/>
      <c r="F1" s="537"/>
      <c r="G1" s="537"/>
      <c r="H1" s="537"/>
      <c r="I1" s="537"/>
      <c r="J1" s="537"/>
      <c r="K1" s="537"/>
      <c r="L1" s="537"/>
      <c r="M1" s="537"/>
      <c r="N1" s="537"/>
      <c r="O1" s="537"/>
      <c r="P1" s="537"/>
      <c r="Q1" s="537"/>
      <c r="R1" s="537"/>
      <c r="S1" s="537"/>
      <c r="T1" s="537"/>
    </row>
    <row r="2" spans="1:20" ht="113.25" customHeight="1">
      <c r="A2" s="537"/>
      <c r="B2" s="537"/>
      <c r="C2" s="537"/>
      <c r="D2" s="537"/>
      <c r="E2" s="537"/>
      <c r="F2" s="537"/>
      <c r="G2" s="537"/>
      <c r="H2" s="537"/>
      <c r="I2" s="537"/>
      <c r="J2" s="537"/>
      <c r="K2" s="537"/>
      <c r="L2" s="537"/>
      <c r="M2" s="537"/>
      <c r="N2" s="537"/>
      <c r="O2" s="537"/>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0" t="s">
        <v>554</v>
      </c>
      <c r="D7" s="114">
        <f>'Output - Jobs vs Yr (BAU)'!X4/'Output - Jobs vs Yr (BAU)'!C4-1</f>
        <v>0.33527248682867894</v>
      </c>
      <c r="E7" s="92" t="s">
        <v>518</v>
      </c>
      <c r="F7" s="109"/>
      <c r="G7" s="109"/>
      <c r="H7" s="29" t="s">
        <v>0</v>
      </c>
      <c r="I7" s="29"/>
      <c r="J7" s="29"/>
      <c r="K7" s="29"/>
      <c r="L7" s="29"/>
      <c r="M7" s="7" t="s">
        <v>0</v>
      </c>
      <c r="N7" t="s">
        <v>0</v>
      </c>
      <c r="O7" t="s">
        <v>0</v>
      </c>
      <c r="P7" t="s">
        <v>0</v>
      </c>
    </row>
    <row r="8" spans="1:20" ht="15" thickBot="1">
      <c r="B8" s="1" t="s">
        <v>367</v>
      </c>
      <c r="C8" s="109"/>
      <c r="D8" s="104" t="s">
        <v>342</v>
      </c>
      <c r="E8" s="498" t="s">
        <v>717</v>
      </c>
      <c r="F8" s="109"/>
      <c r="G8" s="498"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524">
        <v>0.16</v>
      </c>
      <c r="D11" s="125">
        <f>'Output - Jobs vs Yr (BAU)'!N18/'Output -Jobs vs Yr'!N14</f>
        <v>5.7616332506155575E-2</v>
      </c>
      <c r="E11" s="497">
        <f>(7.7/3)^(1/6)</f>
        <v>1.1701141873017888</v>
      </c>
      <c r="F11" s="109"/>
      <c r="G11" s="494">
        <f>(12.5/3)^(1/6)</f>
        <v>1.2685223586294079</v>
      </c>
      <c r="H11"/>
      <c r="I11"/>
      <c r="J11"/>
      <c r="K11"/>
      <c r="L11"/>
      <c r="M11" t="s">
        <v>0</v>
      </c>
      <c r="N11" t="s">
        <v>0</v>
      </c>
      <c r="O11" s="111" t="s">
        <v>0</v>
      </c>
      <c r="P11" s="31" t="s">
        <v>0</v>
      </c>
    </row>
    <row r="12" spans="1:20" ht="15" thickBot="1">
      <c r="B12" t="s">
        <v>380</v>
      </c>
      <c r="C12" s="209">
        <v>0.18</v>
      </c>
      <c r="D12" s="125">
        <f>'Output - Jobs vs Yr (BAU)'!X18/'Output -Jobs vs Yr'!X14</f>
        <v>6.765515161744784E-2</v>
      </c>
      <c r="E12" s="497">
        <f>(D12/D11)^(1/10)</f>
        <v>1.016191425646793</v>
      </c>
      <c r="F12" s="109"/>
      <c r="G12" s="495">
        <f>(C12/C11)^(1/10)</f>
        <v>1.0118479409178089</v>
      </c>
      <c r="H12"/>
      <c r="I12"/>
      <c r="J12"/>
      <c r="K12"/>
      <c r="L12"/>
      <c r="M12" t="s">
        <v>0</v>
      </c>
      <c r="N12" t="s">
        <v>0</v>
      </c>
      <c r="O12" s="111" t="s">
        <v>0</v>
      </c>
      <c r="P12" s="31" t="s">
        <v>0</v>
      </c>
    </row>
    <row r="13" spans="1:20" ht="15" thickBot="1">
      <c r="B13" t="s">
        <v>577</v>
      </c>
      <c r="C13" s="210">
        <v>0.2</v>
      </c>
      <c r="D13" s="172">
        <f>'Output - Jobs vs Yr (BAU)'!AH18/'Output -Jobs vs Yr'!AH14</f>
        <v>7.7141082081647924E-2</v>
      </c>
      <c r="E13" s="497">
        <f>(D13/D12)^(1/10)</f>
        <v>1.0132077090608522</v>
      </c>
      <c r="F13" s="109"/>
      <c r="G13" s="496">
        <f>(C13/C12)^(1/10)</f>
        <v>1.0105917512032914</v>
      </c>
      <c r="H13"/>
      <c r="I13"/>
      <c r="J13"/>
      <c r="K13"/>
      <c r="L13"/>
      <c r="M13"/>
      <c r="O13" s="111"/>
      <c r="P13" s="31"/>
    </row>
    <row r="14" spans="1:20">
      <c r="B14" t="s">
        <v>578</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1">
        <v>2020</v>
      </c>
      <c r="O16" s="291">
        <v>2030</v>
      </c>
      <c r="P16" s="291">
        <v>2040</v>
      </c>
      <c r="Q16" s="198">
        <v>2031</v>
      </c>
    </row>
    <row r="17" spans="2:17" ht="15" thickBot="1">
      <c r="B17" t="s">
        <v>352</v>
      </c>
      <c r="C17" s="195">
        <f>D17*$C$11/$D$11</f>
        <v>3.3698976212698814E-4</v>
      </c>
      <c r="D17" s="126">
        <f>'Output - Jobs vs Yr (BAU)'!N10/'Output -Jobs vs Yr'!$N$14</f>
        <v>1.2135071366174264E-4</v>
      </c>
      <c r="E17" s="105">
        <f t="shared" ref="E17:E23" si="0">IF($C$24&lt;&gt;0,C17/$C$24,0)</f>
        <v>2.1061860132936764E-3</v>
      </c>
      <c r="F17" s="172">
        <f>C17*$C$12/$C$11</f>
        <v>3.7911348239286165E-4</v>
      </c>
      <c r="G17" s="105">
        <f>'Output - Jobs vs Yr (BAU)'!X10/'Output - Jobs vs Yr (BAU)'!X24</f>
        <v>2.0991120724979704E-4</v>
      </c>
      <c r="H17" s="105">
        <f t="shared" ref="H17:H23" si="1">G17/$G$24</f>
        <v>3.1105572346269397E-3</v>
      </c>
      <c r="I17" s="172">
        <f>F17*$C$13/$C$12</f>
        <v>4.212372026587352E-4</v>
      </c>
      <c r="J17" s="105">
        <f>'Output - Jobs vs Yr (BAU)'!AH10/'Output - Jobs vs Yr (BAU)'!AH24</f>
        <v>1.9597070374111899E-4</v>
      </c>
      <c r="K17" s="105">
        <f>J17/$J$24</f>
        <v>2.5529964350295311E-3</v>
      </c>
      <c r="L17" s="105"/>
      <c r="M17" s="45" t="s">
        <v>259</v>
      </c>
      <c r="N17" s="86">
        <f>HLOOKUP(N16,'Output -Jobs vs Yr'!$H$175:$AH$184,9)</f>
        <v>3288.0441550083779</v>
      </c>
      <c r="O17" s="86">
        <f>HLOOKUP(O16,'Output -Jobs vs Yr'!$H$175:$AH$184,9)</f>
        <v>3563.5839285420352</v>
      </c>
      <c r="P17" s="86">
        <f>HLOOKUP(P16,'Output -Jobs vs Yr'!$H$175:$AH$184,9)</f>
        <v>4205.373764491138</v>
      </c>
      <c r="Q17" s="86">
        <f>HLOOKUP(Q16,'Output -Jobs vs Yr'!$H$175:$AH$184,9)</f>
        <v>3670.4001514478623</v>
      </c>
    </row>
    <row r="18" spans="2:17" ht="15" thickBot="1">
      <c r="B18" s="4" t="s">
        <v>353</v>
      </c>
      <c r="C18" s="195">
        <f>D18*$C$11/$D$11</f>
        <v>3.5830572820354519E-7</v>
      </c>
      <c r="D18" s="126">
        <f>'Output - Jobs vs Yr (BAU)'!N15/'Output -Jobs vs Yr'!$N$14</f>
        <v>1.2902663734397292E-7</v>
      </c>
      <c r="E18" s="105">
        <f t="shared" si="0"/>
        <v>2.2394108012721578E-6</v>
      </c>
      <c r="F18" s="172">
        <f t="shared" ref="F18:F23" si="2">C18*$C$12/$C$11</f>
        <v>4.0309394422898827E-7</v>
      </c>
      <c r="G18" s="105">
        <f>'Output - Jobs vs Yr (BAU)'!X15/'Output - Jobs vs Yr (BAU)'!X24</f>
        <v>1.2079142601010798E-7</v>
      </c>
      <c r="H18" s="105">
        <f t="shared" si="1"/>
        <v>1.7899408467958749E-6</v>
      </c>
      <c r="I18" s="172">
        <f t="shared" ref="I18:I24" si="3">F18*$C$13/$C$12</f>
        <v>4.4788216025443145E-7</v>
      </c>
      <c r="J18" s="105">
        <f>'Output - Jobs vs Yr (BAU)'!AH15/'Output - Jobs vs Yr (BAU)'!AH24</f>
        <v>1.0117191302928642E-7</v>
      </c>
      <c r="K18" s="105">
        <f t="shared" ref="K18:K24" si="4">J18/$J$24</f>
        <v>1.3180109493819749E-6</v>
      </c>
      <c r="L18" s="105"/>
      <c r="M18" s="46" t="s">
        <v>260</v>
      </c>
      <c r="N18" s="87">
        <f>HLOOKUP(N16,'Output -Jobs vs Yr'!$H$175:$AH$184,10)</f>
        <v>2959.2389897201429</v>
      </c>
      <c r="O18" s="87">
        <f>HLOOKUP(O16,'Output -Jobs vs Yr'!$H$175:$AH$184,10)</f>
        <v>3207.2246369552504</v>
      </c>
      <c r="P18" s="87">
        <f>HLOOKUP(P16,'Output -Jobs vs Yr'!$H$175:$AH$184,10)</f>
        <v>3784.835198656132</v>
      </c>
      <c r="Q18" s="87">
        <f>HLOOKUP(Q16,'Output -Jobs vs Yr'!$H$175:$AH$184,10)</f>
        <v>3303.3592009126551</v>
      </c>
    </row>
    <row r="19" spans="2:17" ht="15" thickBot="1">
      <c r="B19" s="4" t="s">
        <v>354</v>
      </c>
      <c r="C19" s="195">
        <f>D19*$C$11/$D$11</f>
        <v>3.5830572820354522E-13</v>
      </c>
      <c r="D19" s="126">
        <f>'Output - Jobs vs Yr (BAU)'!N11/'Output -Jobs vs Yr'!$N$14</f>
        <v>1.2902663734397291E-13</v>
      </c>
      <c r="E19" s="105">
        <f t="shared" si="0"/>
        <v>2.2394108012721578E-12</v>
      </c>
      <c r="F19" s="172">
        <f t="shared" si="2"/>
        <v>4.0309394422898832E-13</v>
      </c>
      <c r="G19" s="105">
        <f>'Output - Jobs vs Yr (BAU)'!X11/'Output - Jobs vs Yr (BAU)'!X24</f>
        <v>1.2079142601010799E-13</v>
      </c>
      <c r="H19" s="105">
        <f t="shared" si="1"/>
        <v>1.7899408467958749E-12</v>
      </c>
      <c r="I19" s="172">
        <f t="shared" si="3"/>
        <v>4.4788216025443152E-13</v>
      </c>
      <c r="J19" s="105">
        <f>'Output - Jobs vs Yr (BAU)'!AH11/'Output - Jobs vs Yr (BAU)'!AH24</f>
        <v>1.0117191302928642E-13</v>
      </c>
      <c r="K19" s="105">
        <f t="shared" si="4"/>
        <v>1.318010949381975E-12</v>
      </c>
      <c r="L19" s="105"/>
      <c r="M19" s="46" t="s">
        <v>261</v>
      </c>
      <c r="N19" s="87">
        <f>HLOOKUP(N16,'Output -Jobs vs Yr'!$H$175:$AH$184,8)</f>
        <v>6247.2831447285207</v>
      </c>
      <c r="O19" s="87">
        <f>HLOOKUP(O16,'Output -Jobs vs Yr'!$H$175:$AH$184,8)</f>
        <v>6770.8085654972856</v>
      </c>
      <c r="P19" s="87">
        <f>HLOOKUP(P16,'Output -Jobs vs Yr'!$H$175:$AH$184,8)</f>
        <v>7990.20896314727</v>
      </c>
      <c r="Q19" s="87">
        <f>HLOOKUP(Q16,'Output -Jobs vs Yr'!$H$175:$AH$184,8)</f>
        <v>6973.7593523605174</v>
      </c>
    </row>
    <row r="20" spans="2:17" ht="15" thickBot="1">
      <c r="B20" s="4" t="s">
        <v>51</v>
      </c>
      <c r="C20" s="195">
        <f>D20*$C$11/$D$11</f>
        <v>5.5673549483839554E-2</v>
      </c>
      <c r="D20" s="126">
        <f>'Output - Jobs vs Yr (BAU)'!N12/'Output -Jobs vs Yr'!$N$14</f>
        <v>2.0048160867867534E-2</v>
      </c>
      <c r="E20" s="105">
        <f t="shared" si="0"/>
        <v>0.34795968427399726</v>
      </c>
      <c r="F20" s="172">
        <f t="shared" si="2"/>
        <v>6.2632743169319494E-2</v>
      </c>
      <c r="G20" s="105">
        <f>'Output - Jobs vs Yr (BAU)'!X12/'Output - Jobs vs Yr (BAU)'!X24</f>
        <v>1.8961384054882954E-2</v>
      </c>
      <c r="H20" s="105">
        <f t="shared" si="1"/>
        <v>0.28097818655422502</v>
      </c>
      <c r="I20" s="172">
        <f t="shared" si="3"/>
        <v>6.9591936854799447E-2</v>
      </c>
      <c r="J20" s="105">
        <f>'Output - Jobs vs Yr (BAU)'!AH12/'Output - Jobs vs Yr (BAU)'!AH24</f>
        <v>1.620445913438931E-2</v>
      </c>
      <c r="K20" s="105">
        <f t="shared" si="4"/>
        <v>0.21110260672599351</v>
      </c>
      <c r="L20" s="105"/>
      <c r="M20" s="47" t="s">
        <v>458</v>
      </c>
      <c r="N20" s="88">
        <f>HLOOKUP(N16,'Output -Jobs vs Yr'!$H$175:$AH$188,11)-HLOOKUP(N16,'Output -Jobs vs Yr'!$H$175:$AH$188,14)</f>
        <v>15741.503470207648</v>
      </c>
      <c r="O20" s="88">
        <f>HLOOKUP(O16,'Output -Jobs vs Yr'!$H$175:$AH$188,11)-HLOOKUP(O16,'Output -Jobs vs Yr'!$H$175:$AH$188,14)</f>
        <v>81826.784974535709</v>
      </c>
      <c r="P20" s="88">
        <f>HLOOKUP(P16,'Output -Jobs vs Yr'!$H$175:$AH$188,11)-HLOOKUP(P16,'Output -Jobs vs Yr'!$H$175:$AH$188,14)</f>
        <v>157969.00353522596</v>
      </c>
      <c r="Q20" s="88">
        <f>HLOOKUP(Q16,'Output -Jobs vs Yr'!$H$175:$AH$188,11)-HLOOKUP(Q16,'Output -Jobs vs Yr'!$H$175:$AH$188,14)</f>
        <v>88800.544326896226</v>
      </c>
    </row>
    <row r="21" spans="2:17" ht="15" thickBot="1">
      <c r="B21" t="s">
        <v>355</v>
      </c>
      <c r="C21" s="195">
        <f t="shared" ref="C21:C23" si="5">D21*$C$11/$D$11</f>
        <v>9.3862632504146226E-2</v>
      </c>
      <c r="D21" s="126">
        <f>'Output - Jobs vs Yr (BAU)'!N13/'Output -Jobs vs Yr'!$N$14</f>
        <v>3.3800129026637343E-2</v>
      </c>
      <c r="E21" s="105">
        <f t="shared" si="0"/>
        <v>0.58664145315091398</v>
      </c>
      <c r="F21" s="172">
        <f t="shared" si="2"/>
        <v>0.1055954615671645</v>
      </c>
      <c r="G21" s="105">
        <f>'Output - Jobs vs Yr (BAU)'!X13/'Output - Jobs vs Yr (BAU)'!X24</f>
        <v>4.4864557102060325E-2</v>
      </c>
      <c r="H21" s="105">
        <f t="shared" si="1"/>
        <v>0.66482287677987773</v>
      </c>
      <c r="I21" s="172">
        <f t="shared" si="3"/>
        <v>0.11732829063018278</v>
      </c>
      <c r="J21" s="105">
        <f>'Output - Jobs vs Yr (BAU)'!AH13/'Output - Jobs vs Yr (BAU)'!AH24</f>
        <v>5.7337665257806168E-2</v>
      </c>
      <c r="K21" s="105">
        <f t="shared" si="4"/>
        <v>0.74696295008191771</v>
      </c>
      <c r="L21" s="105"/>
      <c r="N21" s="160"/>
    </row>
    <row r="22" spans="2:17" ht="15" thickBot="1">
      <c r="B22" s="4" t="s">
        <v>356</v>
      </c>
      <c r="C22" s="195">
        <f t="shared" si="5"/>
        <v>3.5830572820354519E-7</v>
      </c>
      <c r="D22" s="126">
        <f>'Output - Jobs vs Yr (BAU)'!N14/'Output -Jobs vs Yr'!$N$14</f>
        <v>1.2902663734397292E-7</v>
      </c>
      <c r="E22" s="105">
        <f t="shared" si="0"/>
        <v>2.2394108012721578E-6</v>
      </c>
      <c r="F22" s="172">
        <f t="shared" si="2"/>
        <v>4.0309394422898827E-7</v>
      </c>
      <c r="G22" s="105">
        <f>'Output - Jobs vs Yr (BAU)'!X14/'Output - Jobs vs Yr (BAU)'!X24</f>
        <v>1.2079142601010798E-7</v>
      </c>
      <c r="H22" s="105">
        <f t="shared" si="1"/>
        <v>1.7899408467958749E-6</v>
      </c>
      <c r="I22" s="172">
        <f t="shared" si="3"/>
        <v>4.4788216025443145E-7</v>
      </c>
      <c r="J22" s="105">
        <f>'Output - Jobs vs Yr (BAU)'!AH14/'Output - Jobs vs Yr (BAU)'!AH24</f>
        <v>1.0117191302928642E-7</v>
      </c>
      <c r="K22" s="105">
        <f t="shared" si="4"/>
        <v>1.3180109493819749E-6</v>
      </c>
      <c r="L22" s="105"/>
      <c r="O22" t="s">
        <v>0</v>
      </c>
    </row>
    <row r="23" spans="2:17" ht="15" thickBot="1">
      <c r="B23" t="s">
        <v>357</v>
      </c>
      <c r="C23" s="195">
        <f t="shared" si="5"/>
        <v>1.0126111638072519E-2</v>
      </c>
      <c r="D23" s="126">
        <f>'Output - Jobs vs Yr (BAU)'!N16/'Output -Jobs vs Yr'!$N$14</f>
        <v>3.646433844585237E-3</v>
      </c>
      <c r="E23" s="105">
        <f t="shared" si="0"/>
        <v>6.3288197737953245E-2</v>
      </c>
      <c r="F23" s="172">
        <f t="shared" si="2"/>
        <v>1.1391875592831583E-2</v>
      </c>
      <c r="G23" s="105">
        <f>'Output - Jobs vs Yr (BAU)'!X16/'Output - Jobs vs Yr (BAU)'!X24</f>
        <v>3.447379725348755E-3</v>
      </c>
      <c r="H23" s="105">
        <f t="shared" si="1"/>
        <v>5.1084799547786747E-2</v>
      </c>
      <c r="I23" s="172">
        <f t="shared" si="3"/>
        <v>1.265763954759065E-2</v>
      </c>
      <c r="J23" s="105">
        <f>'Output - Jobs vs Yr (BAU)'!AH16/'Output - Jobs vs Yr (BAU)'!AH24</f>
        <v>3.0227591179186903E-3</v>
      </c>
      <c r="K23" s="105">
        <f t="shared" si="4"/>
        <v>3.9378810733842404E-2</v>
      </c>
      <c r="L23" s="105"/>
      <c r="M23" s="44"/>
      <c r="N23" s="197"/>
      <c r="O23" t="s">
        <v>0</v>
      </c>
    </row>
    <row r="24" spans="2:17">
      <c r="B24" s="108" t="s">
        <v>369</v>
      </c>
      <c r="C24" s="137">
        <f t="shared" ref="C24:H24" si="6">SUM(C17:C23)</f>
        <v>0.15999999999999998</v>
      </c>
      <c r="D24" s="205">
        <f t="shared" si="6"/>
        <v>5.7616332506155575E-2</v>
      </c>
      <c r="E24" s="200">
        <f t="shared" si="6"/>
        <v>1</v>
      </c>
      <c r="F24" s="200">
        <f t="shared" si="6"/>
        <v>0.17999999999999997</v>
      </c>
      <c r="G24" s="200">
        <f t="shared" si="6"/>
        <v>6.7483473672514643E-2</v>
      </c>
      <c r="H24" s="105">
        <f t="shared" si="6"/>
        <v>0.99999999999999989</v>
      </c>
      <c r="I24" s="172">
        <f t="shared" si="3"/>
        <v>0.19999999999999998</v>
      </c>
      <c r="J24" s="105">
        <f>SUM(J17:J23)</f>
        <v>7.6761056557782523E-2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16%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0" t="s">
        <v>342</v>
      </c>
      <c r="E27" s="107"/>
      <c r="F27" s="98"/>
      <c r="G27" s="134" t="s">
        <v>0</v>
      </c>
      <c r="H27" s="135" t="s">
        <v>0</v>
      </c>
      <c r="I27" s="135"/>
      <c r="J27" s="135"/>
      <c r="K27" s="135"/>
      <c r="L27" s="135"/>
      <c r="M27"/>
    </row>
    <row r="28" spans="2:17" ht="15" thickBot="1">
      <c r="B28" t="s">
        <v>370</v>
      </c>
      <c r="C28" s="208">
        <f>D28</f>
        <v>0.35567921051986312</v>
      </c>
      <c r="D28" s="105">
        <f>('Output - Jobs vs Yr (BAU)'!N8+'Output - Jobs vs Yr (BAU)'!N7)/'Output -Jobs vs Yr'!N14</f>
        <v>0.35567921051986312</v>
      </c>
      <c r="E28" s="136" t="s">
        <v>0</v>
      </c>
      <c r="F28" s="98"/>
      <c r="G28" s="98" t="s">
        <v>0</v>
      </c>
      <c r="H28" s="135" t="s">
        <v>0</v>
      </c>
      <c r="I28" s="135"/>
      <c r="J28" s="135"/>
      <c r="K28" s="135"/>
      <c r="L28" s="135"/>
      <c r="M28"/>
    </row>
    <row r="29" spans="2:17" ht="15" thickBot="1">
      <c r="B29" t="s">
        <v>371</v>
      </c>
      <c r="C29" s="278">
        <f>D29</f>
        <v>0.33386358851666881</v>
      </c>
      <c r="D29" s="105">
        <f>('Output - Jobs vs Yr (BAU)'!X8+'Output - Jobs vs Yr (BAU)'!X7)/'Output -Jobs vs Yr'!X14</f>
        <v>0.33386358851666881</v>
      </c>
      <c r="E29" s="107"/>
      <c r="F29" s="98"/>
      <c r="G29" s="96"/>
      <c r="H29"/>
      <c r="I29"/>
      <c r="J29"/>
      <c r="K29"/>
      <c r="L29"/>
    </row>
    <row r="30" spans="2:17" ht="15" thickBot="1">
      <c r="B30" t="s">
        <v>579</v>
      </c>
      <c r="C30" s="210">
        <f>D30</f>
        <v>0.28033674853559765</v>
      </c>
      <c r="D30" s="105">
        <f>('Output - Jobs vs Yr (BAU)'!AH8+'Output - Jobs vs Yr (BAU)'!AH7)/'Output -Jobs vs Yr'!AH14</f>
        <v>0.28033674853559765</v>
      </c>
      <c r="E30" s="107"/>
      <c r="F30" s="98"/>
      <c r="G30" s="96"/>
      <c r="H30"/>
      <c r="I30"/>
      <c r="J30"/>
      <c r="K30"/>
      <c r="L30"/>
    </row>
    <row r="31" spans="2:17">
      <c r="B31" t="s">
        <v>580</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0" t="s">
        <v>342</v>
      </c>
      <c r="E33" s="200" t="s">
        <v>536</v>
      </c>
      <c r="F33" s="201" t="s">
        <v>358</v>
      </c>
      <c r="G33" s="202" t="s">
        <v>342</v>
      </c>
      <c r="H33" s="201" t="s">
        <v>706</v>
      </c>
      <c r="I33" s="202" t="s">
        <v>342</v>
      </c>
      <c r="J33" s="163"/>
      <c r="K33" s="163"/>
      <c r="L33" s="163"/>
      <c r="M33" s="7" t="s">
        <v>0</v>
      </c>
    </row>
    <row r="34" spans="1:18" ht="15" thickBot="1">
      <c r="B34" s="4" t="s">
        <v>366</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6.2571907951519429E-4</v>
      </c>
      <c r="D35" s="105">
        <f>'Output - Jobs vs Yr (BAU)'!N7/'Output -Jobs vs Yr'!N14</f>
        <v>6.2571907951519429E-4</v>
      </c>
      <c r="E35" s="203">
        <f>C35</f>
        <v>6.2571907951519429E-4</v>
      </c>
      <c r="F35" s="200">
        <f>C35*$C$29/$C$28</f>
        <v>5.8734053358067487E-4</v>
      </c>
      <c r="G35" s="204">
        <f>'Output - Jobs vs Yr (BAU)'!X7/'Output - Jobs vs Yr (BAU)'!X24</f>
        <v>6.2441959077598746E-4</v>
      </c>
      <c r="H35" s="200">
        <f>F35*$C$30/$C$29</f>
        <v>4.9317488079101736E-4</v>
      </c>
      <c r="I35" s="204">
        <f>'Output - Jobs vs Yr (BAU)'!AH7/'Output - Jobs vs Yr (BAU)'!AH24</f>
        <v>5.5240262313583396E-4</v>
      </c>
      <c r="J35"/>
      <c r="K35"/>
      <c r="L35"/>
    </row>
    <row r="36" spans="1:18" ht="15" thickBot="1">
      <c r="B36" s="4" t="s">
        <v>364</v>
      </c>
      <c r="C36" s="209">
        <f>D36</f>
        <v>0.35505349144034792</v>
      </c>
      <c r="D36" s="105">
        <f>'Output - Jobs vs Yr (BAU)'!N8/'Output -Jobs vs Yr'!N14</f>
        <v>0.35505349144034792</v>
      </c>
      <c r="E36" s="203">
        <f>C36</f>
        <v>0.35505349144034792</v>
      </c>
      <c r="F36" s="200">
        <f>C36*$C$29/$C$28</f>
        <v>0.33327624798308814</v>
      </c>
      <c r="G36" s="204">
        <f>'Output - Jobs vs Yr (BAU)'!X8/'Output - Jobs vs Yr (BAU)'!X24</f>
        <v>0.33239197527700914</v>
      </c>
      <c r="H36" s="200">
        <f>F36*$C$30/$C$29</f>
        <v>0.27984357365480661</v>
      </c>
      <c r="I36" s="204">
        <f>'Output - Jobs vs Yr (BAU)'!AH8/'Output - Jobs vs Yr (BAU)'!AH24</f>
        <v>0.27840330332340141</v>
      </c>
      <c r="J36"/>
      <c r="K36"/>
      <c r="L36"/>
    </row>
    <row r="37" spans="1:18">
      <c r="B37" s="4" t="s">
        <v>368</v>
      </c>
      <c r="C37" s="138">
        <f>SUM(C35:C36)+'Output -Jobs vs Yr'!N30/'Output -Jobs vs Yr'!N49</f>
        <v>0.35567921051986312</v>
      </c>
      <c r="D37" s="105">
        <f>SUM(D34:D36)</f>
        <v>0.35567921051986312</v>
      </c>
      <c r="E37" s="203">
        <f>SUM(E34:E36)</f>
        <v>0.35567921051986312</v>
      </c>
      <c r="F37" s="203">
        <f>SUM(F34:F36)</f>
        <v>0.33386358851666881</v>
      </c>
      <c r="G37" s="203">
        <f>SUM(G34:G36)</f>
        <v>0.33301639486778511</v>
      </c>
      <c r="H37" s="200">
        <f>C37*$C$30/$C$28</f>
        <v>0.28033674853559765</v>
      </c>
      <c r="I37" s="203">
        <f>SUM(I34:I36)</f>
        <v>0.27895570594653724</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35,6%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0.15999999999999998</v>
      </c>
      <c r="D40" s="105" t="s">
        <v>0</v>
      </c>
      <c r="E40" s="105" t="s">
        <v>0</v>
      </c>
      <c r="F40" s="105" t="s">
        <v>0</v>
      </c>
      <c r="G40" s="103" t="s">
        <v>0</v>
      </c>
      <c r="H40"/>
      <c r="I40"/>
      <c r="J40"/>
      <c r="K40"/>
      <c r="L40"/>
    </row>
    <row r="41" spans="1:18">
      <c r="B41" s="4" t="s">
        <v>374</v>
      </c>
      <c r="C41" s="105">
        <f>C24+C37</f>
        <v>0.5156792105198631</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7"/>
      <c r="J44" s="277"/>
      <c r="K44" s="277"/>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522</v>
      </c>
    </row>
    <row r="46" spans="1:18" s="1" customFormat="1" ht="15" thickBot="1">
      <c r="A46"/>
      <c r="B46" s="4" t="s">
        <v>121</v>
      </c>
      <c r="C46" s="84">
        <v>0.21</v>
      </c>
      <c r="D46" s="4" t="s">
        <v>0</v>
      </c>
      <c r="E46" s="28" t="s">
        <v>523</v>
      </c>
      <c r="F46" s="28"/>
      <c r="H46" s="49">
        <v>0.9</v>
      </c>
      <c r="I46" s="277"/>
      <c r="J46" s="277"/>
      <c r="K46" s="277"/>
      <c r="L46"/>
      <c r="M46" s="12">
        <f t="shared" si="7"/>
        <v>0.39900000000000002</v>
      </c>
      <c r="N46" s="28" t="s">
        <v>523</v>
      </c>
      <c r="O46"/>
      <c r="P46"/>
      <c r="Q46"/>
      <c r="R46"/>
    </row>
    <row r="47" spans="1:18" s="1" customFormat="1" ht="15" thickBot="1">
      <c r="A47"/>
      <c r="B47" s="4" t="s">
        <v>118</v>
      </c>
      <c r="C47" s="42">
        <v>0.18</v>
      </c>
      <c r="D47" s="4"/>
      <c r="E47" s="28" t="s">
        <v>523</v>
      </c>
      <c r="F47" s="28"/>
      <c r="H47" s="49">
        <v>0.9</v>
      </c>
      <c r="I47" s="277"/>
      <c r="J47" s="277"/>
      <c r="K47" s="277"/>
      <c r="L47"/>
      <c r="M47" s="12">
        <f t="shared" si="7"/>
        <v>0.34199999999999997</v>
      </c>
      <c r="N47" s="28" t="s">
        <v>523</v>
      </c>
      <c r="O47"/>
      <c r="P47"/>
      <c r="Q47"/>
    </row>
    <row r="48" spans="1:18" ht="15" thickBot="1">
      <c r="B48" s="4" t="s">
        <v>49</v>
      </c>
      <c r="C48" s="42">
        <v>0.15</v>
      </c>
      <c r="D48" s="4"/>
      <c r="E48" s="28" t="s">
        <v>523</v>
      </c>
      <c r="F48" s="28"/>
      <c r="G48" s="1"/>
      <c r="H48" s="49">
        <v>0.9</v>
      </c>
      <c r="I48" s="277"/>
      <c r="J48" s="277"/>
      <c r="K48" s="277"/>
      <c r="L48"/>
      <c r="M48" s="12">
        <f t="shared" si="7"/>
        <v>0.28500000000000003</v>
      </c>
      <c r="N48" s="28" t="s">
        <v>523</v>
      </c>
    </row>
    <row r="49" spans="1:17" s="1" customFormat="1" ht="15" thickBot="1">
      <c r="A49"/>
      <c r="B49" s="4" t="s">
        <v>50</v>
      </c>
      <c r="C49" s="42">
        <v>0.25</v>
      </c>
      <c r="D49" s="4" t="s">
        <v>0</v>
      </c>
      <c r="E49" s="28" t="s">
        <v>523</v>
      </c>
      <c r="F49" s="28"/>
      <c r="H49" s="49">
        <v>0.9</v>
      </c>
      <c r="I49" s="277"/>
      <c r="J49" s="277"/>
      <c r="K49" s="277"/>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7"/>
      <c r="J50" s="277"/>
      <c r="K50" s="277"/>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7"/>
      <c r="J51" s="277"/>
      <c r="K51" s="277"/>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7"/>
      <c r="J52" s="277"/>
      <c r="K52" s="277"/>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7"/>
      <c r="J53" s="277"/>
      <c r="K53" s="277"/>
      <c r="L53"/>
      <c r="M53" s="161">
        <f t="shared" si="7"/>
        <v>0.26600000000000001</v>
      </c>
      <c r="N53" s="28" t="s">
        <v>523</v>
      </c>
    </row>
    <row r="54" spans="1:17" ht="15" thickBot="1">
      <c r="B54" s="4" t="s">
        <v>347</v>
      </c>
      <c r="C54" s="84">
        <v>0.79</v>
      </c>
      <c r="D54" s="4" t="s">
        <v>0</v>
      </c>
      <c r="E54" s="28" t="s">
        <v>523</v>
      </c>
      <c r="F54" s="28"/>
      <c r="G54" s="110"/>
      <c r="H54" s="49">
        <v>0.9</v>
      </c>
      <c r="I54" s="277"/>
      <c r="J54" s="277"/>
      <c r="K54" s="277"/>
      <c r="L54"/>
      <c r="M54" s="12">
        <f t="shared" si="7"/>
        <v>1.5010000000000001</v>
      </c>
      <c r="N54" s="28" t="s">
        <v>523</v>
      </c>
    </row>
    <row r="55" spans="1:17" ht="15" thickBot="1">
      <c r="B55" s="4" t="s">
        <v>348</v>
      </c>
      <c r="C55" s="84">
        <v>0.23</v>
      </c>
      <c r="D55" s="4"/>
      <c r="E55" s="28" t="s">
        <v>523</v>
      </c>
      <c r="F55" s="28"/>
      <c r="G55" s="110"/>
      <c r="H55" s="49">
        <v>0.9</v>
      </c>
      <c r="I55" s="277"/>
      <c r="J55" s="277"/>
      <c r="K55" s="277"/>
      <c r="L55"/>
      <c r="M55" s="12">
        <f t="shared" si="7"/>
        <v>0.43700000000000006</v>
      </c>
      <c r="N55" s="28" t="s">
        <v>523</v>
      </c>
    </row>
    <row r="56" spans="1:17" ht="15.75" hidden="1" customHeight="1" thickBot="1">
      <c r="B56" s="4" t="s">
        <v>120</v>
      </c>
      <c r="C56" s="42">
        <v>0.11</v>
      </c>
      <c r="D56" s="4"/>
      <c r="E56" s="28" t="s">
        <v>523</v>
      </c>
      <c r="F56" s="28"/>
      <c r="G56" s="110"/>
      <c r="H56" s="49">
        <v>0.8</v>
      </c>
      <c r="I56" s="277"/>
      <c r="J56" s="277"/>
      <c r="K56" s="277"/>
      <c r="L56"/>
      <c r="M56" s="12">
        <f t="shared" si="7"/>
        <v>0.19800000000000001</v>
      </c>
      <c r="N56" s="28"/>
    </row>
    <row r="57" spans="1:17" ht="15" thickBot="1">
      <c r="B57" s="4" t="s">
        <v>53</v>
      </c>
      <c r="C57" s="84">
        <v>0.17</v>
      </c>
      <c r="D57" s="4" t="s">
        <v>0</v>
      </c>
      <c r="E57" s="28" t="s">
        <v>523</v>
      </c>
      <c r="F57" s="28"/>
      <c r="G57" s="110"/>
      <c r="H57" s="49">
        <v>0.9</v>
      </c>
      <c r="I57" s="277"/>
      <c r="J57" s="277"/>
      <c r="K57" s="277"/>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523</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523</v>
      </c>
      <c r="F60" s="28"/>
      <c r="G60" s="110"/>
      <c r="H60" s="49">
        <v>0.9</v>
      </c>
      <c r="I60" s="277"/>
      <c r="J60" s="277"/>
      <c r="K60" s="277"/>
      <c r="L60"/>
      <c r="M60" s="161">
        <f t="shared" si="7"/>
        <v>0.20900000000000002</v>
      </c>
      <c r="N60" s="28" t="s">
        <v>523</v>
      </c>
    </row>
    <row r="61" spans="1:17" ht="15" thickBot="1">
      <c r="B61" s="4" t="s">
        <v>76</v>
      </c>
      <c r="C61" s="42">
        <v>0.11</v>
      </c>
      <c r="D61" s="4"/>
      <c r="E61" s="28" t="s">
        <v>523</v>
      </c>
      <c r="F61" s="28"/>
      <c r="G61" s="110"/>
      <c r="H61" s="49">
        <v>0.9</v>
      </c>
      <c r="I61" s="277"/>
      <c r="J61" s="277"/>
      <c r="K61" s="277"/>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704</v>
      </c>
    </row>
    <row r="2" spans="1:37">
      <c r="A2" s="272" t="s">
        <v>656</v>
      </c>
    </row>
    <row r="3" spans="1:37">
      <c r="A3" s="272" t="s">
        <v>657</v>
      </c>
    </row>
    <row r="5" spans="1:37">
      <c r="A5" s="6" t="s">
        <v>185</v>
      </c>
    </row>
    <row r="6" spans="1:37">
      <c r="A6" s="6" t="s">
        <v>184</v>
      </c>
    </row>
    <row r="9" spans="1:37">
      <c r="AK9" s="300" t="s">
        <v>714</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581</v>
      </c>
      <c r="AB10" s="300" t="s">
        <v>582</v>
      </c>
      <c r="AC10" s="300" t="s">
        <v>583</v>
      </c>
      <c r="AD10" s="300" t="s">
        <v>584</v>
      </c>
      <c r="AE10" s="300" t="s">
        <v>585</v>
      </c>
      <c r="AF10" s="300" t="s">
        <v>586</v>
      </c>
      <c r="AG10" s="300" t="s">
        <v>587</v>
      </c>
      <c r="AH10" s="300" t="s">
        <v>588</v>
      </c>
      <c r="AI10" s="300" t="s">
        <v>589</v>
      </c>
      <c r="AJ10" s="300" t="s">
        <v>590</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690</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691</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692</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694</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693</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695</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696</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697</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698</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699</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700</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701</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702</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703</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594</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66" t="s">
        <v>595</v>
      </c>
      <c r="B78" s="566"/>
      <c r="C78" s="566"/>
      <c r="D78" s="566"/>
      <c r="E78" s="566"/>
      <c r="F78" s="566"/>
      <c r="G78" s="566"/>
      <c r="H78" s="566"/>
      <c r="I78" s="566"/>
      <c r="J78" s="566"/>
      <c r="K78" s="566"/>
      <c r="L78" s="566"/>
      <c r="M78" s="566"/>
      <c r="N78" s="566"/>
      <c r="O78" s="566"/>
      <c r="P78" s="566"/>
      <c r="Q78" s="566"/>
      <c r="R78" s="566"/>
      <c r="S78" s="566"/>
      <c r="T78" s="566"/>
      <c r="U78" s="566"/>
      <c r="V78" s="566"/>
      <c r="W78" s="566"/>
      <c r="X78" s="566"/>
      <c r="Y78" s="566"/>
      <c r="Z78" s="566"/>
      <c r="AA78" s="566"/>
      <c r="AB78" s="566"/>
      <c r="AC78" s="566"/>
      <c r="AD78" s="566"/>
      <c r="AE78" s="566"/>
      <c r="AF78" s="566"/>
      <c r="AG78" s="298"/>
      <c r="AH78" s="298"/>
      <c r="AI78" s="298"/>
      <c r="AJ78" s="298"/>
      <c r="AK78" s="298"/>
    </row>
    <row r="79" spans="1:37" customFormat="1" ht="15" customHeight="1">
      <c r="A79" s="567" t="s">
        <v>596</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297"/>
      <c r="AH79" s="297"/>
      <c r="AI79" s="297"/>
      <c r="AJ79" s="297"/>
      <c r="AK79" s="297"/>
    </row>
    <row r="80" spans="1:37" customFormat="1" ht="15" customHeight="1">
      <c r="A80" s="567" t="s">
        <v>597</v>
      </c>
      <c r="B80" s="567"/>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297"/>
      <c r="AH80" s="297"/>
      <c r="AI80" s="297"/>
      <c r="AJ80" s="297"/>
      <c r="AK80" s="297"/>
    </row>
    <row r="81" spans="1:37" customFormat="1" ht="15" customHeight="1">
      <c r="A81" s="567" t="s">
        <v>598</v>
      </c>
      <c r="B81" s="567"/>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67"/>
      <c r="AA81" s="567"/>
      <c r="AB81" s="567"/>
      <c r="AC81" s="567"/>
      <c r="AD81" s="567"/>
      <c r="AE81" s="567"/>
      <c r="AF81" s="567"/>
      <c r="AG81" s="297"/>
      <c r="AH81" s="297"/>
      <c r="AI81" s="297"/>
      <c r="AJ81" s="297"/>
      <c r="AK81" s="297"/>
    </row>
    <row r="82" spans="1:37" customFormat="1" ht="15" customHeight="1">
      <c r="A82" s="567" t="s">
        <v>599</v>
      </c>
      <c r="B82" s="567"/>
      <c r="C82" s="567"/>
      <c r="D82" s="567"/>
      <c r="E82" s="567"/>
      <c r="F82" s="567"/>
      <c r="G82" s="567"/>
      <c r="H82" s="567"/>
      <c r="I82" s="567"/>
      <c r="J82" s="567"/>
      <c r="K82" s="567"/>
      <c r="L82" s="567"/>
      <c r="M82" s="567"/>
      <c r="N82" s="567"/>
      <c r="O82" s="567"/>
      <c r="P82" s="567"/>
      <c r="Q82" s="567"/>
      <c r="R82" s="567"/>
      <c r="S82" s="567"/>
      <c r="T82" s="567"/>
      <c r="U82" s="567"/>
      <c r="V82" s="567"/>
      <c r="W82" s="567"/>
      <c r="X82" s="567"/>
      <c r="Y82" s="567"/>
      <c r="Z82" s="567"/>
      <c r="AA82" s="567"/>
      <c r="AB82" s="567"/>
      <c r="AC82" s="567"/>
      <c r="AD82" s="567"/>
      <c r="AE82" s="567"/>
      <c r="AF82" s="567"/>
      <c r="AG82" s="297"/>
      <c r="AH82" s="297"/>
      <c r="AI82" s="297"/>
      <c r="AJ82" s="297"/>
      <c r="AK82" s="297"/>
    </row>
    <row r="83" spans="1:37" customFormat="1" ht="15" customHeight="1">
      <c r="A83" s="567" t="s">
        <v>600</v>
      </c>
      <c r="B83" s="567"/>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7"/>
      <c r="AA83" s="567"/>
      <c r="AB83" s="567"/>
      <c r="AC83" s="567"/>
      <c r="AD83" s="567"/>
      <c r="AE83" s="567"/>
      <c r="AF83" s="567"/>
      <c r="AG83" s="297"/>
      <c r="AH83" s="297"/>
      <c r="AI83" s="297"/>
      <c r="AJ83" s="297"/>
      <c r="AK83" s="297"/>
    </row>
    <row r="84" spans="1:37" customFormat="1" ht="15" customHeight="1">
      <c r="A84" s="567" t="s">
        <v>601</v>
      </c>
      <c r="B84" s="567"/>
      <c r="C84" s="567"/>
      <c r="D84" s="567"/>
      <c r="E84" s="567"/>
      <c r="F84" s="567"/>
      <c r="G84" s="567"/>
      <c r="H84" s="567"/>
      <c r="I84" s="567"/>
      <c r="J84" s="567"/>
      <c r="K84" s="567"/>
      <c r="L84" s="567"/>
      <c r="M84" s="567"/>
      <c r="N84" s="567"/>
      <c r="O84" s="567"/>
      <c r="P84" s="567"/>
      <c r="Q84" s="567"/>
      <c r="R84" s="567"/>
      <c r="S84" s="567"/>
      <c r="T84" s="567"/>
      <c r="U84" s="567"/>
      <c r="V84" s="567"/>
      <c r="W84" s="567"/>
      <c r="X84" s="567"/>
      <c r="Y84" s="567"/>
      <c r="Z84" s="567"/>
      <c r="AA84" s="567"/>
      <c r="AB84" s="567"/>
      <c r="AC84" s="567"/>
      <c r="AD84" s="567"/>
      <c r="AE84" s="567"/>
      <c r="AF84" s="567"/>
      <c r="AG84" s="297"/>
      <c r="AH84" s="297"/>
      <c r="AI84" s="297"/>
      <c r="AJ84" s="297"/>
      <c r="AK84" s="297"/>
    </row>
    <row r="85" spans="1:37" customFormat="1" ht="15" customHeight="1">
      <c r="A85" s="567" t="s">
        <v>602</v>
      </c>
      <c r="B85" s="567"/>
      <c r="C85" s="567"/>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297"/>
      <c r="AH85" s="297"/>
      <c r="AI85" s="297"/>
      <c r="AJ85" s="297"/>
      <c r="AK85" s="297"/>
    </row>
    <row r="86" spans="1:37" customFormat="1" ht="15" customHeight="1">
      <c r="A86" s="567" t="s">
        <v>603</v>
      </c>
      <c r="B86" s="567"/>
      <c r="C86" s="567"/>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297"/>
      <c r="AH86" s="297"/>
      <c r="AI86" s="297"/>
      <c r="AJ86" s="297"/>
      <c r="AK86" s="297"/>
    </row>
    <row r="87" spans="1:37" customFormat="1" ht="15" customHeight="1">
      <c r="A87" s="567" t="s">
        <v>604</v>
      </c>
      <c r="B87" s="567"/>
      <c r="C87" s="567"/>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297"/>
      <c r="AH87" s="297"/>
      <c r="AI87" s="297"/>
      <c r="AJ87" s="297"/>
      <c r="AK87" s="297"/>
    </row>
    <row r="88" spans="1:37" customFormat="1" ht="15" customHeight="1">
      <c r="A88" s="567" t="s">
        <v>605</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297"/>
      <c r="AH88" s="297"/>
      <c r="AI88" s="297"/>
      <c r="AJ88" s="297"/>
      <c r="AK88" s="297"/>
    </row>
    <row r="89" spans="1:37" customFormat="1" ht="15" customHeight="1">
      <c r="A89" s="567" t="s">
        <v>606</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297"/>
      <c r="AH89" s="297"/>
      <c r="AI89" s="297"/>
      <c r="AJ89" s="297"/>
      <c r="AK89" s="297"/>
    </row>
    <row r="90" spans="1:37" customFormat="1" ht="15" customHeight="1">
      <c r="A90" s="567" t="s">
        <v>607</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297"/>
      <c r="AH90" s="297"/>
      <c r="AI90" s="297"/>
      <c r="AJ90" s="297"/>
      <c r="AK90" s="297"/>
    </row>
    <row r="91" spans="1:37" customFormat="1" ht="15" customHeight="1">
      <c r="A91" s="567" t="s">
        <v>608</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297"/>
      <c r="AH91" s="297"/>
      <c r="AI91" s="297"/>
      <c r="AJ91" s="297"/>
      <c r="AK91" s="297"/>
    </row>
    <row r="92" spans="1:37" customFormat="1" ht="15" customHeight="1">
      <c r="A92" s="567" t="s">
        <v>609</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c r="AG92" s="297"/>
      <c r="AH92" s="297"/>
      <c r="AI92" s="297"/>
      <c r="AJ92" s="297"/>
      <c r="AK92" s="297"/>
    </row>
    <row r="93" spans="1:37" customFormat="1" ht="15" customHeight="1">
      <c r="A93" s="567" t="s">
        <v>610</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297"/>
      <c r="AH93" s="297"/>
      <c r="AI93" s="297"/>
      <c r="AJ93" s="297"/>
      <c r="AK93" s="297"/>
    </row>
    <row r="94" spans="1:37" customFormat="1" ht="15" customHeight="1">
      <c r="A94" s="567" t="s">
        <v>611</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c r="AG94" s="297"/>
      <c r="AH94" s="297"/>
      <c r="AI94" s="297"/>
      <c r="AJ94" s="297"/>
      <c r="AK94" s="297"/>
    </row>
    <row r="95" spans="1:37" customFormat="1" ht="15" customHeight="1">
      <c r="A95" s="567" t="s">
        <v>612</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c r="AG95" s="297"/>
      <c r="AH95" s="297"/>
      <c r="AI95" s="297"/>
      <c r="AJ95" s="297"/>
      <c r="AK95" s="297"/>
    </row>
    <row r="96" spans="1:37" customFormat="1" ht="15" customHeight="1">
      <c r="A96" s="567" t="s">
        <v>613</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297"/>
      <c r="AH96" s="297"/>
      <c r="AI96" s="297"/>
      <c r="AJ96" s="297"/>
      <c r="AK96" s="297"/>
    </row>
    <row r="97" spans="1:37" customFormat="1" ht="15" customHeight="1">
      <c r="A97" s="567" t="s">
        <v>614</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297"/>
      <c r="AH97" s="297"/>
      <c r="AI97" s="297"/>
      <c r="AJ97" s="297"/>
      <c r="AK97" s="297"/>
    </row>
    <row r="98" spans="1:37" customFormat="1" ht="15" customHeight="1">
      <c r="A98" s="567" t="s">
        <v>615</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c r="AG98" s="297"/>
      <c r="AH98" s="297"/>
      <c r="AI98" s="297"/>
      <c r="AJ98" s="297"/>
      <c r="AK98" s="297"/>
    </row>
    <row r="99" spans="1:37" customFormat="1" ht="15" customHeight="1">
      <c r="A99" s="567" t="s">
        <v>616</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c r="AG99" s="297"/>
      <c r="AH99" s="297"/>
      <c r="AI99" s="297"/>
      <c r="AJ99" s="297"/>
      <c r="AK99" s="297"/>
    </row>
    <row r="100" spans="1:37" customFormat="1" ht="15" customHeight="1">
      <c r="A100" s="567" t="s">
        <v>617</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c r="AG100" s="297"/>
      <c r="AH100" s="297"/>
      <c r="AI100" s="297"/>
      <c r="AJ100" s="297"/>
      <c r="AK100" s="297"/>
    </row>
    <row r="101" spans="1:37" customFormat="1" ht="15" customHeight="1">
      <c r="A101" s="567" t="s">
        <v>618</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297"/>
      <c r="AH101" s="297"/>
      <c r="AI101" s="297"/>
      <c r="AJ101" s="297"/>
      <c r="AK101" s="297"/>
    </row>
    <row r="102" spans="1:37" customFormat="1" ht="15" customHeight="1">
      <c r="A102" s="567" t="s">
        <v>619</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c r="AG102" s="297"/>
      <c r="AH102" s="297"/>
      <c r="AI102" s="297"/>
      <c r="AJ102" s="297"/>
      <c r="AK102" s="297"/>
    </row>
    <row r="103" spans="1:37" customFormat="1" ht="15" customHeight="1">
      <c r="A103" s="567" t="s">
        <v>620</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c r="AG103" s="297"/>
      <c r="AH103" s="297"/>
      <c r="AI103" s="297"/>
      <c r="AJ103" s="297"/>
      <c r="AK103" s="297"/>
    </row>
    <row r="104" spans="1:37" customFormat="1" ht="15" customHeight="1">
      <c r="A104" s="567" t="s">
        <v>621</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c r="AG104" s="297"/>
      <c r="AH104" s="297"/>
      <c r="AI104" s="297"/>
      <c r="AJ104" s="297"/>
      <c r="AK104" s="297"/>
    </row>
    <row r="105" spans="1:37" customFormat="1" ht="15" customHeight="1">
      <c r="A105" s="567" t="s">
        <v>622</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c r="AG105" s="297"/>
      <c r="AH105" s="297"/>
      <c r="AI105" s="297"/>
      <c r="AJ105" s="297"/>
      <c r="AK105" s="297"/>
    </row>
    <row r="106" spans="1:37" customFormat="1" ht="15" customHeight="1">
      <c r="A106" s="567" t="s">
        <v>623</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297"/>
      <c r="AH106" s="297"/>
      <c r="AI106" s="297"/>
      <c r="AJ106" s="297"/>
      <c r="AK106" s="297"/>
    </row>
    <row r="107" spans="1:37" customFormat="1" ht="15" customHeight="1">
      <c r="A107" s="567" t="s">
        <v>624</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297"/>
      <c r="AH107" s="297"/>
      <c r="AI107" s="297"/>
      <c r="AJ107" s="297"/>
      <c r="AK107" s="297"/>
    </row>
    <row r="108" spans="1:37" customFormat="1" ht="15" customHeight="1">
      <c r="A108" s="567" t="s">
        <v>625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297"/>
      <c r="AH108" s="297"/>
      <c r="AI108" s="297"/>
      <c r="AJ108" s="297"/>
      <c r="AK108" s="297"/>
    </row>
    <row r="109" spans="1:37" customFormat="1" ht="15" customHeight="1">
      <c r="A109" s="567" t="s">
        <v>626</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c r="AG109" s="297"/>
      <c r="AH109" s="297"/>
      <c r="AI109" s="297"/>
      <c r="AJ109" s="297"/>
      <c r="AK109" s="297"/>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125" zoomScaleNormal="125" zoomScalePageLayoutView="125" workbookViewId="0">
      <pane xSplit="2" ySplit="3" topLeftCell="E174"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7"/>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c r="AI1" s="537"/>
      <c r="AJ1" s="537"/>
      <c r="AK1" s="537"/>
      <c r="AL1" s="537"/>
    </row>
    <row r="2" spans="1:38" hidden="1">
      <c r="A2" s="537"/>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row>
    <row r="3" spans="1:38" hidden="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row>
    <row r="4" spans="1:38" hidden="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row>
    <row r="5" spans="1:38" hidden="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row>
    <row r="6" spans="1:38" hidden="1">
      <c r="A6" s="537"/>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row>
    <row r="7" spans="1:38" ht="23.25" hidden="1" customHeight="1">
      <c r="A7" s="537"/>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7"/>
      <c r="AL7" s="537"/>
    </row>
    <row r="8" spans="1:38" s="159" customFormat="1" ht="15.75" hidden="1" customHeight="1">
      <c r="A8" s="537"/>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row>
    <row r="9" spans="1:38" ht="21" hidden="1" customHeight="1">
      <c r="A9" s="537"/>
      <c r="B9" s="537"/>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61843</v>
      </c>
      <c r="D13" s="330">
        <f>EIA_electricity_aeo2014!F58*1000</f>
        <v>65768.999999999985</v>
      </c>
      <c r="E13" s="330">
        <f>EIA_electricity_aeo2014!G58*1000</f>
        <v>64998.236234841701</v>
      </c>
      <c r="F13" s="330">
        <f>EIA_electricity_aeo2014!H58*1000</f>
        <v>75053.081955556612</v>
      </c>
      <c r="G13" s="330">
        <f>EIA_electricity_aeo2014!I58*1000</f>
        <v>69055.949062592452</v>
      </c>
      <c r="H13" s="286">
        <f>EIA_electricity_aeo2014!J58*1000</f>
        <v>68379.763198489367</v>
      </c>
      <c r="I13" s="83">
        <f>EIA_electricity_aeo2014!K58*1000</f>
        <v>72295.275144932908</v>
      </c>
      <c r="J13" s="83">
        <f>EIA_electricity_aeo2014!L58*1000</f>
        <v>77330.796956587772</v>
      </c>
      <c r="K13" s="83">
        <f>EIA_electricity_aeo2014!M58*1000</f>
        <v>77957.264408972682</v>
      </c>
      <c r="L13" s="83">
        <f>EIA_electricity_aeo2014!N58*1000</f>
        <v>77968.351741421691</v>
      </c>
      <c r="M13" s="83">
        <f>EIA_electricity_aeo2014!O58*1000</f>
        <v>77676.008987662412</v>
      </c>
      <c r="N13" s="177">
        <f>EIA_electricity_aeo2014!P58*1000</f>
        <v>77503.376092340826</v>
      </c>
      <c r="O13" s="83">
        <f>EIA_electricity_aeo2014!Q58*1000</f>
        <v>76925.243711586518</v>
      </c>
      <c r="P13" s="83">
        <f>EIA_electricity_aeo2014!R58*1000</f>
        <v>77540.648291556834</v>
      </c>
      <c r="Q13" s="83">
        <f>EIA_electricity_aeo2014!S58*1000</f>
        <v>79098.684898045947</v>
      </c>
      <c r="R13" s="83">
        <f>EIA_electricity_aeo2014!T58*1000</f>
        <v>79063.71677894835</v>
      </c>
      <c r="S13" s="83">
        <f>EIA_electricity_aeo2014!U58*1000</f>
        <v>79206.256626302464</v>
      </c>
      <c r="T13" s="83">
        <f>EIA_electricity_aeo2014!V58*1000</f>
        <v>81434.988394138607</v>
      </c>
      <c r="U13" s="83">
        <f>EIA_electricity_aeo2014!W58*1000</f>
        <v>82277.340027621045</v>
      </c>
      <c r="V13" s="83">
        <f>EIA_electricity_aeo2014!X58*1000</f>
        <v>82142.556740957676</v>
      </c>
      <c r="W13" s="83">
        <f>EIA_electricity_aeo2014!Y58*1000</f>
        <v>82826.442967123017</v>
      </c>
      <c r="X13" s="184">
        <f>EIA_electricity_aeo2014!Z58*1000</f>
        <v>82577.25640294599</v>
      </c>
      <c r="Y13" s="174">
        <f>EIA_electricity_aeo2014!AA58*1000</f>
        <v>85044.676180647279</v>
      </c>
      <c r="Z13" s="174">
        <f>EIA_electricity_aeo2014!AB58*1000</f>
        <v>87302.604455246081</v>
      </c>
      <c r="AA13" s="174">
        <f>EIA_electricity_aeo2014!AC58*1000</f>
        <v>89794.192470970753</v>
      </c>
      <c r="AB13" s="174">
        <f>EIA_electricity_aeo2014!AD58*1000</f>
        <v>91781.985999872515</v>
      </c>
      <c r="AC13" s="174">
        <f>EIA_electricity_aeo2014!AE58*1000</f>
        <v>93320.066289266018</v>
      </c>
      <c r="AD13" s="174">
        <f>EIA_electricity_aeo2014!AF58*1000</f>
        <v>95067.040117189114</v>
      </c>
      <c r="AE13" s="174">
        <f>EIA_electricity_aeo2014!AG58*1000</f>
        <v>96445.741999285674</v>
      </c>
      <c r="AF13" s="174">
        <f>EIA_electricity_aeo2014!AH58*1000</f>
        <v>97456.179483133266</v>
      </c>
      <c r="AG13" s="174">
        <f>EIA_electricity_aeo2014!AI58*1000</f>
        <v>97706.426785849282</v>
      </c>
      <c r="AH13" s="184">
        <f>EIA_electricity_aeo2014!AJ58*1000</f>
        <v>98354.731076901735</v>
      </c>
      <c r="AI13" s="115">
        <f>X13/C13-1</f>
        <v>0.33527248682867894</v>
      </c>
      <c r="AJ13" s="165">
        <f>(1+AJ11)^21-1</f>
        <v>0.24007814276920247</v>
      </c>
      <c r="AK13" s="168">
        <f>(1+AK11)^21-1</f>
        <v>0.11389489977934208</v>
      </c>
      <c r="AL13" s="121"/>
    </row>
    <row r="14" spans="1:38" s="20" customFormat="1">
      <c r="A14" s="20" t="s">
        <v>131</v>
      </c>
      <c r="B14" s="33"/>
      <c r="C14" s="330">
        <f>EIA_electricity_aeo2014!E58 * 1000</f>
        <v>61843</v>
      </c>
      <c r="D14" s="330">
        <f>IF(Inputs!$C$7="BAU",'Output -Jobs vs Yr'!D13,C14+($X$14-$C$14)/($X$11-$C$11) )</f>
        <v>65768.999999999985</v>
      </c>
      <c r="E14" s="330">
        <f>IF(Inputs!$C$7="BAU",'Output -Jobs vs Yr'!E13,D14+($X$14-$C$14)/($X$11-$C$11) )</f>
        <v>64998.236234841701</v>
      </c>
      <c r="F14" s="330">
        <f>IF(Inputs!$C$7="BAU",'Output -Jobs vs Yr'!F13,E14+($X$14-$C$14)/($X$11-$C$11) )</f>
        <v>75053.081955556612</v>
      </c>
      <c r="G14" s="330">
        <f>IF(Inputs!$C$7="BAU",'Output -Jobs vs Yr'!G13,F14+($X$14-$C$14)/($X$11-$C$11) )</f>
        <v>69055.949062592452</v>
      </c>
      <c r="H14" s="286">
        <f>EIA_electricity_aeo2014!J58*1000</f>
        <v>68379.763198489367</v>
      </c>
      <c r="I14" s="83">
        <f>IF(Inputs!$C$7="BAU",'Output -Jobs vs Yr'!I13,H14+($X$14-$C$14)/($X$11-$C$11) )</f>
        <v>72295.275144932908</v>
      </c>
      <c r="J14" s="83">
        <f>IF(Inputs!$C$7="BAU",'Output -Jobs vs Yr'!J13,I14+($X$14-$C$14)/($X$11-$C$11) )</f>
        <v>77330.796956587772</v>
      </c>
      <c r="K14" s="83">
        <f>IF(Inputs!$C$7="BAU",'Output -Jobs vs Yr'!K13,J14+($X$14-$C$14)/($X$11-$C$11) )</f>
        <v>77957.264408972682</v>
      </c>
      <c r="L14" s="83">
        <f>IF(Inputs!$C$7="BAU",'Output -Jobs vs Yr'!L13,K14+($X$14-$C$14)/($X$11-$C$11) )</f>
        <v>77968.351741421691</v>
      </c>
      <c r="M14" s="83">
        <f>IF(Inputs!$C$7="BAU",'Output -Jobs vs Yr'!M13,L14+($X$14-$C$14)/($X$11-$C$11) )</f>
        <v>77676.008987662412</v>
      </c>
      <c r="N14" s="177">
        <f>IF(Inputs!$C$7="BAU",'Output -Jobs vs Yr'!N13,M14+($X$14-$C$14)/($X$11-$C$11) )</f>
        <v>77503.376092340826</v>
      </c>
      <c r="O14" s="83">
        <f>IF(Inputs!$C$7="BAU",'Output -Jobs vs Yr'!O13,N14+($X$14-$C$14)/($X$11-$C$11) )</f>
        <v>76925.243711586518</v>
      </c>
      <c r="P14" s="83">
        <f>IF(Inputs!$C$7="BAU",'Output -Jobs vs Yr'!P13,O14+($X$14-$C$14)/($X$11-$C$11) )</f>
        <v>77540.648291556834</v>
      </c>
      <c r="Q14" s="83">
        <f>IF(Inputs!$C$7="BAU",'Output -Jobs vs Yr'!Q13,P14+($X$14-$C$14)/($X$11-$C$11) )</f>
        <v>79098.684898045947</v>
      </c>
      <c r="R14" s="83">
        <f>IF(Inputs!$C$7="BAU",'Output -Jobs vs Yr'!R13,Q14+($X$14-$C$14)/($X$11-$C$11) )</f>
        <v>79063.71677894835</v>
      </c>
      <c r="S14" s="83">
        <f>IF(Inputs!$C$7="BAU",'Output -Jobs vs Yr'!S13,R14+($X$14-$C$14)/($X$11-$C$11) )</f>
        <v>79206.256626302464</v>
      </c>
      <c r="T14" s="83">
        <f>IF(Inputs!$C$7="BAU",'Output -Jobs vs Yr'!T13,S14+($X$14-$C$14)/($X$11-$C$11) )</f>
        <v>81434.988394138607</v>
      </c>
      <c r="U14" s="83">
        <f>IF(Inputs!$C$7="BAU",'Output -Jobs vs Yr'!U13,T14+($X$14-$C$14)/($X$11-$C$11) )</f>
        <v>82277.340027621045</v>
      </c>
      <c r="V14" s="83">
        <f>IF(Inputs!$C$7="BAU",'Output -Jobs vs Yr'!V13,U14+($X$14-$C$14)/($X$11-$C$11) )</f>
        <v>82142.556740957676</v>
      </c>
      <c r="W14" s="83">
        <f>IF(Inputs!$C$7="BAU",'Output -Jobs vs Yr'!W13,V14+($X$14-$C$14)/($X$11-$C$11) )</f>
        <v>82826.442967123017</v>
      </c>
      <c r="X14" s="184">
        <f>IF(Inputs!$C$7="BAU",'Output -Jobs vs Yr'!X13,C14*(1+Inputs!C7) )</f>
        <v>82577.25640294599</v>
      </c>
      <c r="Y14" s="174">
        <f>IF(Inputs!$C$7="BAU",'Output -Jobs vs Yr'!Y13,D14*(1+Inputs!D7) )</f>
        <v>85044.676180647279</v>
      </c>
      <c r="Z14" s="174">
        <f>IF(Inputs!$C$7="BAU",'Output -Jobs vs Yr'!Z13,E14*(1+Inputs!E7) )</f>
        <v>87302.604455246081</v>
      </c>
      <c r="AA14" s="174">
        <f>IF(Inputs!$C$7="BAU",'Output -Jobs vs Yr'!AA13,F14*(1+Inputs!F7) )</f>
        <v>89794.192470970753</v>
      </c>
      <c r="AB14" s="174">
        <f>IF(Inputs!$C$7="BAU",'Output -Jobs vs Yr'!AB13,G14*(1+Inputs!G7) )</f>
        <v>91781.985999872515</v>
      </c>
      <c r="AC14" s="174">
        <f>IF(Inputs!$C$7="BAU",'Output -Jobs vs Yr'!AC13,H14*(1+Inputs!H7) )</f>
        <v>93320.066289266018</v>
      </c>
      <c r="AD14" s="174">
        <f>IF(Inputs!$C$7="BAU",'Output -Jobs vs Yr'!AD13,I14*(1+Inputs!L7) )</f>
        <v>95067.040117189114</v>
      </c>
      <c r="AE14" s="174">
        <f>IF(Inputs!$C$7="BAU",'Output -Jobs vs Yr'!AE13,J14*(1+Inputs!M7) )</f>
        <v>96445.741999285674</v>
      </c>
      <c r="AF14" s="174">
        <f>IF(Inputs!$C$7="BAU",'Output -Jobs vs Yr'!AF13,K14*(1+Inputs!N7) )</f>
        <v>97456.179483133266</v>
      </c>
      <c r="AG14" s="174">
        <f>IF(Inputs!$C$7="BAU",'Output -Jobs vs Yr'!AG13,L14*(1+Inputs!O7) )</f>
        <v>97706.426785849282</v>
      </c>
      <c r="AH14" s="184">
        <f>IF(Inputs!$C$7="BAU",'Output -Jobs vs Yr'!AH13,M14*(1+Inputs!P7) )</f>
        <v>98354.731076901735</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1.5296961660980225E-2</v>
      </c>
      <c r="D16" s="381">
        <f t="shared" si="1"/>
        <v>1.7743467134629667E-2</v>
      </c>
      <c r="E16" s="381">
        <f t="shared" si="1"/>
        <v>2.3299529930531873E-2</v>
      </c>
      <c r="F16" s="381">
        <f t="shared" si="1"/>
        <v>2.6581637292847286E-2</v>
      </c>
      <c r="G16" s="381">
        <f t="shared" si="1"/>
        <v>3.1119306923555308E-2</v>
      </c>
      <c r="H16" s="381">
        <f t="shared" si="1"/>
        <v>4.748671622553674E-2</v>
      </c>
      <c r="I16" s="381">
        <f t="shared" si="1"/>
        <v>5.7752782819508131E-2</v>
      </c>
      <c r="J16" s="381">
        <f t="shared" si="1"/>
        <v>7.0425471769059916E-2</v>
      </c>
      <c r="K16" s="381">
        <f t="shared" si="1"/>
        <v>8.6116239623717061E-2</v>
      </c>
      <c r="L16" s="381">
        <f t="shared" si="1"/>
        <v>0.10559448023546317</v>
      </c>
      <c r="M16" s="381">
        <f t="shared" si="1"/>
        <v>0.1298381187682742</v>
      </c>
      <c r="N16" s="381">
        <f>Inputs!C11</f>
        <v>0.16</v>
      </c>
      <c r="O16" s="381">
        <f t="shared" ref="O16:W16" si="2">O95</f>
        <v>0.16199966761743384</v>
      </c>
      <c r="P16" s="381">
        <f t="shared" si="2"/>
        <v>0.16392986904153475</v>
      </c>
      <c r="Q16" s="381">
        <f t="shared" si="2"/>
        <v>0.16588108147298453</v>
      </c>
      <c r="R16" s="381">
        <f t="shared" si="2"/>
        <v>0.16785763679876473</v>
      </c>
      <c r="S16" s="381">
        <f t="shared" si="2"/>
        <v>0.1698571306678674</v>
      </c>
      <c r="T16" s="381">
        <f t="shared" si="2"/>
        <v>0.17187592627530546</v>
      </c>
      <c r="U16" s="381">
        <f t="shared" si="2"/>
        <v>0.17392093039377893</v>
      </c>
      <c r="V16" s="381">
        <f t="shared" si="2"/>
        <v>0.17599197245847811</v>
      </c>
      <c r="W16" s="381">
        <f t="shared" si="2"/>
        <v>0.17808551706445461</v>
      </c>
      <c r="X16" s="382">
        <f>Inputs!C12</f>
        <v>0.18</v>
      </c>
      <c r="Y16" s="383">
        <f>Y95</f>
        <v>0.18211816867696623</v>
      </c>
      <c r="Z16" s="383">
        <f t="shared" ref="Z16:AG16" si="3">Z95</f>
        <v>0.18405085759600179</v>
      </c>
      <c r="AA16" s="383">
        <f t="shared" si="3"/>
        <v>0.1860030710907486</v>
      </c>
      <c r="AB16" s="383">
        <f t="shared" si="3"/>
        <v>0.18797688174008928</v>
      </c>
      <c r="AC16" s="383">
        <f t="shared" si="3"/>
        <v>0.18997240740663573</v>
      </c>
      <c r="AD16" s="383">
        <f t="shared" si="3"/>
        <v>0.19198823763631581</v>
      </c>
      <c r="AE16" s="383">
        <f t="shared" si="3"/>
        <v>0.19402607681778752</v>
      </c>
      <c r="AF16" s="383">
        <f t="shared" si="3"/>
        <v>0.19608619802175614</v>
      </c>
      <c r="AG16" s="383">
        <f t="shared" si="3"/>
        <v>0.19816995491464365</v>
      </c>
      <c r="AH16" s="382">
        <f>Inputs!C13</f>
        <v>0.2</v>
      </c>
      <c r="AI16" s="384" t="s">
        <v>0</v>
      </c>
      <c r="AJ16" s="385"/>
      <c r="AK16" s="386"/>
      <c r="AL16" s="387"/>
    </row>
    <row r="17" spans="1:37" s="281" customFormat="1">
      <c r="A17" s="281" t="s">
        <v>115</v>
      </c>
      <c r="B17" s="282"/>
      <c r="C17" s="337"/>
      <c r="D17" s="332">
        <f>D16/C16-1</f>
        <v>0.15993407892823797</v>
      </c>
      <c r="E17" s="332">
        <f t="shared" ref="E17:M17" si="4">E16/D16-1</f>
        <v>0.31313287046692917</v>
      </c>
      <c r="F17" s="332">
        <f t="shared" si="4"/>
        <v>0.14086581884274474</v>
      </c>
      <c r="G17" s="332">
        <f t="shared" si="4"/>
        <v>0.17070692751981231</v>
      </c>
      <c r="H17" s="284"/>
      <c r="I17" s="284">
        <f t="shared" si="4"/>
        <v>0.21618817660949663</v>
      </c>
      <c r="J17" s="284">
        <f t="shared" si="4"/>
        <v>0.21942992754404766</v>
      </c>
      <c r="K17" s="284">
        <f t="shared" si="4"/>
        <v>0.2227996129881884</v>
      </c>
      <c r="L17" s="284">
        <f t="shared" si="4"/>
        <v>0.22618545232415888</v>
      </c>
      <c r="M17" s="284">
        <f t="shared" si="4"/>
        <v>0.22959191123201328</v>
      </c>
      <c r="N17" s="284">
        <f>N16/M16-1</f>
        <v>0.23230374498537354</v>
      </c>
      <c r="O17" s="284">
        <f>O16/N16-1</f>
        <v>1.2497922608961431E-2</v>
      </c>
      <c r="P17" s="284">
        <f t="shared" ref="P17:X17" si="5">P16/O16-1</f>
        <v>1.1914848051782112E-2</v>
      </c>
      <c r="Q17" s="284">
        <f t="shared" si="5"/>
        <v>1.190272671391801E-2</v>
      </c>
      <c r="R17" s="284">
        <f t="shared" si="5"/>
        <v>1.1915495777027996E-2</v>
      </c>
      <c r="S17" s="284">
        <f t="shared" si="5"/>
        <v>1.19118433169636E-2</v>
      </c>
      <c r="T17" s="284">
        <f t="shared" si="5"/>
        <v>1.1885256741947181E-2</v>
      </c>
      <c r="U17" s="284">
        <f t="shared" si="5"/>
        <v>1.1898141658290395E-2</v>
      </c>
      <c r="V17" s="284">
        <f t="shared" si="5"/>
        <v>1.1907951849211562E-2</v>
      </c>
      <c r="W17" s="284">
        <f t="shared" si="5"/>
        <v>1.1895682381027006E-2</v>
      </c>
      <c r="X17" s="283">
        <f t="shared" si="5"/>
        <v>1.0750357283981105E-2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0.55508303284122695</v>
      </c>
      <c r="D18" s="332">
        <f t="shared" ref="D18:G18" si="6">($N$18-$C$18)/($N$11-$C$11)+C18</f>
        <v>0.53689852907751068</v>
      </c>
      <c r="E18" s="332">
        <f t="shared" si="6"/>
        <v>0.5187140253137944</v>
      </c>
      <c r="F18" s="332">
        <f t="shared" si="6"/>
        <v>0.50052952155007813</v>
      </c>
      <c r="G18" s="332">
        <f t="shared" si="6"/>
        <v>0.48234501778636185</v>
      </c>
      <c r="H18" s="284">
        <f>H32/H14</f>
        <v>0.4294768508447947</v>
      </c>
      <c r="I18" s="172">
        <f>($N$18-$H$18)/($N$11-$H$11)+H18</f>
        <v>0.41707295761072022</v>
      </c>
      <c r="J18" s="172">
        <f t="shared" ref="J18:M18" si="7">($N$18-$H$18)/($N$11-$H$11)+I18</f>
        <v>0.40466906437664574</v>
      </c>
      <c r="K18" s="172">
        <f t="shared" si="7"/>
        <v>0.39226517114257126</v>
      </c>
      <c r="L18" s="172">
        <f t="shared" si="7"/>
        <v>0.37986127790849677</v>
      </c>
      <c r="M18" s="172">
        <f t="shared" si="7"/>
        <v>0.36745738467442229</v>
      </c>
      <c r="N18" s="180">
        <f>Inputs!C36</f>
        <v>0.35505349144034792</v>
      </c>
      <c r="O18" s="91">
        <f t="shared" ref="O18:W18" si="8">($X$18-$N$18)/($X$11-$N$11)+N18</f>
        <v>0.35287576709462193</v>
      </c>
      <c r="P18" s="91">
        <f t="shared" si="8"/>
        <v>0.35069804274889593</v>
      </c>
      <c r="Q18" s="91">
        <f t="shared" si="8"/>
        <v>0.34852031840316994</v>
      </c>
      <c r="R18" s="91">
        <f t="shared" si="8"/>
        <v>0.34634259405744394</v>
      </c>
      <c r="S18" s="22">
        <f t="shared" si="8"/>
        <v>0.34416486971171795</v>
      </c>
      <c r="T18" s="91">
        <f t="shared" si="8"/>
        <v>0.34198714536599195</v>
      </c>
      <c r="U18" s="91">
        <f t="shared" si="8"/>
        <v>0.33980942102026596</v>
      </c>
      <c r="V18" s="91">
        <f t="shared" si="8"/>
        <v>0.33763169667453996</v>
      </c>
      <c r="W18" s="91">
        <f t="shared" si="8"/>
        <v>0.33545397232881397</v>
      </c>
      <c r="X18" s="185">
        <f>Inputs!F36</f>
        <v>0.33327624798308814</v>
      </c>
      <c r="Y18" s="172">
        <f>($AH$18-$X$18)/($AH$11-$X$11)+X18</f>
        <v>0.32793298055025999</v>
      </c>
      <c r="Z18" s="172">
        <f t="shared" ref="Z18:AG18" si="9">($AH$18-$X$18)/($AH$11-$X$11)+Y18</f>
        <v>0.32258971311743184</v>
      </c>
      <c r="AA18" s="172">
        <f t="shared" si="9"/>
        <v>0.3172464456846037</v>
      </c>
      <c r="AB18" s="172">
        <f t="shared" si="9"/>
        <v>0.31190317825177555</v>
      </c>
      <c r="AC18" s="172">
        <f t="shared" si="9"/>
        <v>0.3065599108189474</v>
      </c>
      <c r="AD18" s="172">
        <f t="shared" si="9"/>
        <v>0.30121664338611925</v>
      </c>
      <c r="AE18" s="172">
        <f t="shared" si="9"/>
        <v>0.29587337595329111</v>
      </c>
      <c r="AF18" s="172">
        <f t="shared" si="9"/>
        <v>0.29053010852046296</v>
      </c>
      <c r="AG18" s="172">
        <f t="shared" si="9"/>
        <v>0.28518684108763481</v>
      </c>
      <c r="AH18" s="185">
        <f>Inputs!H36</f>
        <v>0.27984357365480661</v>
      </c>
      <c r="AK18"/>
    </row>
    <row r="19" spans="1:37" s="281" customFormat="1">
      <c r="A19" s="281" t="s">
        <v>114</v>
      </c>
      <c r="B19" s="285"/>
      <c r="C19" s="330">
        <f t="shared" ref="C19:AH19" si="10">C16*C14</f>
        <v>946.0100000000001</v>
      </c>
      <c r="D19" s="330">
        <f t="shared" si="10"/>
        <v>1166.9700899774584</v>
      </c>
      <c r="E19" s="330">
        <f t="shared" si="10"/>
        <v>1514.4283505854755</v>
      </c>
      <c r="F19" s="330">
        <f t="shared" si="10"/>
        <v>1995.0338022529475</v>
      </c>
      <c r="G19" s="330">
        <f t="shared" si="10"/>
        <v>2148.973273776216</v>
      </c>
      <c r="H19" s="286">
        <f t="shared" si="10"/>
        <v>3247.1304105760651</v>
      </c>
      <c r="I19" s="286">
        <f t="shared" si="10"/>
        <v>4175.2533243218941</v>
      </c>
      <c r="J19" s="286">
        <f t="shared" si="10"/>
        <v>5446.0578579450766</v>
      </c>
      <c r="K19" s="286">
        <f t="shared" si="10"/>
        <v>6713.3864622525607</v>
      </c>
      <c r="L19" s="286">
        <f t="shared" si="10"/>
        <v>8233.0275769511936</v>
      </c>
      <c r="M19" s="286">
        <f t="shared" si="10"/>
        <v>10085.306880385646</v>
      </c>
      <c r="N19" s="287">
        <f t="shared" si="10"/>
        <v>12400.540174774533</v>
      </c>
      <c r="O19" s="286">
        <f t="shared" si="10"/>
        <v>12461.863912667108</v>
      </c>
      <c r="P19" s="286">
        <f t="shared" si="10"/>
        <v>12711.228319830618</v>
      </c>
      <c r="Q19" s="286">
        <f t="shared" si="10"/>
        <v>13120.97539397869</v>
      </c>
      <c r="R19" s="286">
        <f t="shared" si="10"/>
        <v>13271.448655041113</v>
      </c>
      <c r="S19" s="286">
        <f t="shared" si="10"/>
        <v>13453.747481486495</v>
      </c>
      <c r="T19" s="286">
        <f t="shared" si="10"/>
        <v>13996.714061461324</v>
      </c>
      <c r="U19" s="286">
        <f t="shared" si="10"/>
        <v>14309.75152792916</v>
      </c>
      <c r="V19" s="286">
        <f t="shared" si="10"/>
        <v>14456.4305836236</v>
      </c>
      <c r="W19" s="286">
        <f t="shared" si="10"/>
        <v>14750.189922409663</v>
      </c>
      <c r="X19" s="287">
        <f>Inputs!C12*'Output -Jobs vs Yr'!X14</f>
        <v>14863.906152530277</v>
      </c>
      <c r="Y19" s="286">
        <f t="shared" si="10"/>
        <v>15488.180681745092</v>
      </c>
      <c r="Z19" s="286">
        <f t="shared" si="10"/>
        <v>16068.119220352568</v>
      </c>
      <c r="AA19" s="286">
        <f t="shared" si="10"/>
        <v>16701.995565714336</v>
      </c>
      <c r="AB19" s="286">
        <f t="shared" si="10"/>
        <v>17252.891528168566</v>
      </c>
      <c r="AC19" s="286">
        <f t="shared" si="10"/>
        <v>17728.237652318698</v>
      </c>
      <c r="AD19" s="286">
        <f t="shared" si="10"/>
        <v>18251.753489400071</v>
      </c>
      <c r="AE19" s="286">
        <f t="shared" si="10"/>
        <v>18712.988945901918</v>
      </c>
      <c r="AF19" s="286">
        <f t="shared" si="10"/>
        <v>19109.811708573478</v>
      </c>
      <c r="AG19" s="286">
        <f t="shared" si="10"/>
        <v>19362.478191022681</v>
      </c>
      <c r="AH19" s="287">
        <f t="shared" si="10"/>
        <v>19670.946215380347</v>
      </c>
    </row>
    <row r="20" spans="1:37" s="20" customFormat="1">
      <c r="A20" s="20" t="s">
        <v>211</v>
      </c>
      <c r="B20" s="33"/>
      <c r="C20" s="330">
        <f>'Output - Jobs vs Yr (BAU)'!C18</f>
        <v>946.01</v>
      </c>
      <c r="D20" s="330">
        <f>'Output - Jobs vs Yr (BAU)'!D18</f>
        <v>829.01</v>
      </c>
      <c r="E20" s="330">
        <f>'Output - Jobs vs Yr (BAU)'!E18</f>
        <v>1365.4506511426737</v>
      </c>
      <c r="F20" s="330">
        <f>'Output - Jobs vs Yr (BAU)'!F18</f>
        <v>1520.9084033874851</v>
      </c>
      <c r="G20" s="330">
        <f>'Output - Jobs vs Yr (BAU)'!G18</f>
        <v>1837.151766043982</v>
      </c>
      <c r="H20" s="286">
        <f>'Output - Jobs vs Yr (BAU)'!H18</f>
        <v>3246.1304105760655</v>
      </c>
      <c r="I20" s="83">
        <f>'Output - Jobs vs Yr (BAU)'!I18</f>
        <v>3608.025124044038</v>
      </c>
      <c r="J20" s="83">
        <f>'Output - Jobs vs Yr (BAU)'!J18</f>
        <v>3966.0482639987799</v>
      </c>
      <c r="K20" s="83">
        <f>'Output - Jobs vs Yr (BAU)'!K18</f>
        <v>4180.6113438497523</v>
      </c>
      <c r="L20" s="83">
        <f>'Output - Jobs vs Yr (BAU)'!L18</f>
        <v>4340.2445570919699</v>
      </c>
      <c r="M20" s="83">
        <f>'Output - Jobs vs Yr (BAU)'!M18</f>
        <v>4400.7447668976456</v>
      </c>
      <c r="N20" s="177">
        <f>'Output - Jobs vs Yr (BAU)'!N18</f>
        <v>4465.4602872859377</v>
      </c>
      <c r="O20" s="83">
        <f>'Output - Jobs vs Yr (BAU)'!O18</f>
        <v>4515.5077880409726</v>
      </c>
      <c r="P20" s="83">
        <f>'Output - Jobs vs Yr (BAU)'!P18</f>
        <v>4607.3246027351724</v>
      </c>
      <c r="Q20" s="83">
        <f>'Output - Jobs vs Yr (BAU)'!Q18</f>
        <v>4736.3325566416852</v>
      </c>
      <c r="R20" s="83">
        <f>'Output - Jobs vs Yr (BAU)'!R18</f>
        <v>4823.7501156514199</v>
      </c>
      <c r="S20" s="83">
        <f>'Output - Jobs vs Yr (BAU)'!S18</f>
        <v>4901.9463748500511</v>
      </c>
      <c r="T20" s="83">
        <f>'Output - Jobs vs Yr (BAU)'!T18</f>
        <v>5061.1611053302813</v>
      </c>
      <c r="U20" s="83">
        <f>'Output - Jobs vs Yr (BAU)'!U18</f>
        <v>5168.5923408806557</v>
      </c>
      <c r="V20" s="83">
        <f>'Output - Jobs vs Yr (BAU)'!V18</f>
        <v>5237.7808007121293</v>
      </c>
      <c r="W20" s="83">
        <f>'Output - Jobs vs Yr (BAU)'!W18</f>
        <v>5491.1009610559749</v>
      </c>
      <c r="X20" s="184">
        <f>'Output - Jobs vs Yr (BAU)'!X18</f>
        <v>5586.7768020941767</v>
      </c>
      <c r="Y20" s="174">
        <f>'Output - Jobs vs Yr (BAU)'!Y18</f>
        <v>5806.6760352534666</v>
      </c>
      <c r="Z20" s="174">
        <f>'Output - Jobs vs Yr (BAU)'!Z18</f>
        <v>6022.0474428041507</v>
      </c>
      <c r="AA20" s="174">
        <f>'Output - Jobs vs Yr (BAU)'!AA18</f>
        <v>6254.5402998742456</v>
      </c>
      <c r="AB20" s="174">
        <f>'Output - Jobs vs Yr (BAU)'!AB18</f>
        <v>6502.5547546360922</v>
      </c>
      <c r="AC20" s="174">
        <f>'Output - Jobs vs Yr (BAU)'!AC18</f>
        <v>6698.2490938550891</v>
      </c>
      <c r="AD20" s="174">
        <f>'Output - Jobs vs Yr (BAU)'!AD18</f>
        <v>6908.3741538676541</v>
      </c>
      <c r="AE20" s="174">
        <f>'Output - Jobs vs Yr (BAU)'!AE18</f>
        <v>7104.3767909002472</v>
      </c>
      <c r="AF20" s="174">
        <f>'Output - Jobs vs Yr (BAU)'!AF18</f>
        <v>7283.1783718350935</v>
      </c>
      <c r="AG20" s="174">
        <f>'Output - Jobs vs Yr (BAU)'!AG18</f>
        <v>7422.8561262287294</v>
      </c>
      <c r="AH20" s="184">
        <f>'Output - Jobs vs Yr (BAU)'!AH18</f>
        <v>7587.1903831216841</v>
      </c>
    </row>
    <row r="21" spans="1:37" s="20" customFormat="1">
      <c r="A21" s="20" t="s">
        <v>116</v>
      </c>
      <c r="B21" s="33"/>
      <c r="C21" s="330">
        <f t="shared" ref="C21:AH21" si="11">MAX(C19:C20)</f>
        <v>946.0100000000001</v>
      </c>
      <c r="D21" s="330">
        <f t="shared" si="11"/>
        <v>1166.9700899774584</v>
      </c>
      <c r="E21" s="330">
        <f t="shared" si="11"/>
        <v>1514.4283505854755</v>
      </c>
      <c r="F21" s="330">
        <f t="shared" si="11"/>
        <v>1995.0338022529475</v>
      </c>
      <c r="G21" s="330">
        <f t="shared" si="11"/>
        <v>2148.973273776216</v>
      </c>
      <c r="H21" s="286">
        <f t="shared" si="11"/>
        <v>3247.1304105760651</v>
      </c>
      <c r="I21" s="83">
        <f t="shared" si="11"/>
        <v>4175.2533243218941</v>
      </c>
      <c r="J21" s="83">
        <f t="shared" si="11"/>
        <v>5446.0578579450766</v>
      </c>
      <c r="K21" s="83">
        <f t="shared" si="11"/>
        <v>6713.3864622525607</v>
      </c>
      <c r="L21" s="83">
        <f t="shared" si="11"/>
        <v>8233.0275769511936</v>
      </c>
      <c r="M21" s="83">
        <f t="shared" si="11"/>
        <v>10085.306880385646</v>
      </c>
      <c r="N21" s="177">
        <f t="shared" si="11"/>
        <v>12400.540174774533</v>
      </c>
      <c r="O21" s="83">
        <f t="shared" si="11"/>
        <v>12461.863912667108</v>
      </c>
      <c r="P21" s="83">
        <f t="shared" si="11"/>
        <v>12711.228319830618</v>
      </c>
      <c r="Q21" s="83">
        <f t="shared" si="11"/>
        <v>13120.97539397869</v>
      </c>
      <c r="R21" s="83">
        <f t="shared" si="11"/>
        <v>13271.448655041113</v>
      </c>
      <c r="S21" s="83">
        <f t="shared" si="11"/>
        <v>13453.747481486495</v>
      </c>
      <c r="T21" s="83">
        <f t="shared" si="11"/>
        <v>13996.714061461324</v>
      </c>
      <c r="U21" s="83">
        <f t="shared" si="11"/>
        <v>14309.75152792916</v>
      </c>
      <c r="V21" s="83">
        <f t="shared" si="11"/>
        <v>14456.4305836236</v>
      </c>
      <c r="W21" s="83">
        <f t="shared" si="11"/>
        <v>14750.189922409663</v>
      </c>
      <c r="X21" s="184">
        <f t="shared" si="11"/>
        <v>14863.906152530277</v>
      </c>
      <c r="Y21" s="174">
        <f t="shared" si="11"/>
        <v>15488.180681745092</v>
      </c>
      <c r="Z21" s="174">
        <f t="shared" si="11"/>
        <v>16068.119220352568</v>
      </c>
      <c r="AA21" s="174">
        <f t="shared" si="11"/>
        <v>16701.995565714336</v>
      </c>
      <c r="AB21" s="174">
        <f t="shared" si="11"/>
        <v>17252.891528168566</v>
      </c>
      <c r="AC21" s="174">
        <f t="shared" si="11"/>
        <v>17728.237652318698</v>
      </c>
      <c r="AD21" s="174">
        <f t="shared" si="11"/>
        <v>18251.753489400071</v>
      </c>
      <c r="AE21" s="174">
        <f t="shared" si="11"/>
        <v>18712.988945901918</v>
      </c>
      <c r="AF21" s="174">
        <f t="shared" si="11"/>
        <v>19109.811708573478</v>
      </c>
      <c r="AG21" s="174">
        <f t="shared" si="11"/>
        <v>19362.478191022681</v>
      </c>
      <c r="AH21" s="184">
        <f t="shared" si="11"/>
        <v>19670.946215380347</v>
      </c>
      <c r="AI21" s="99"/>
    </row>
    <row r="22" spans="1:37" s="20" customFormat="1">
      <c r="A22" s="20" t="s">
        <v>378</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537</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538</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539</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381</v>
      </c>
      <c r="B26" s="33"/>
      <c r="C26" s="332">
        <f>C31/C14</f>
        <v>5.1727762236631464E-4</v>
      </c>
      <c r="D26" s="332">
        <f t="shared" ref="D26:G26" si="21">C26+($N$26-$C$26)/($N$11-$C$11)</f>
        <v>5.2713593665257644E-4</v>
      </c>
      <c r="E26" s="332">
        <f t="shared" si="21"/>
        <v>5.3699425093883823E-4</v>
      </c>
      <c r="F26" s="332">
        <f t="shared" si="21"/>
        <v>5.4685256522510003E-4</v>
      </c>
      <c r="G26" s="332">
        <f t="shared" si="21"/>
        <v>5.5671087951136183E-4</v>
      </c>
      <c r="H26" s="284">
        <f>H31/H14</f>
        <v>5.9601814431911658E-4</v>
      </c>
      <c r="I26" s="91">
        <f>H26+($N$26-$H$26)/($N$11-$H$11)</f>
        <v>6.0096830018512948E-4</v>
      </c>
      <c r="J26" s="172">
        <f t="shared" ref="J26:M26" si="22">I26+($N$26-$H$26)/($N$11-$H$11)</f>
        <v>6.0591845605114237E-4</v>
      </c>
      <c r="K26" s="172">
        <f t="shared" si="22"/>
        <v>6.1086861191715527E-4</v>
      </c>
      <c r="L26" s="172">
        <f t="shared" si="22"/>
        <v>6.1581876778316817E-4</v>
      </c>
      <c r="M26" s="172">
        <f t="shared" si="22"/>
        <v>6.2076892364918107E-4</v>
      </c>
      <c r="N26" s="180">
        <f>Inputs!C35</f>
        <v>6.2571907951519429E-4</v>
      </c>
      <c r="O26" s="91">
        <f t="shared" ref="O26:W26" si="23">N26+($X$26-$N$26)/($X$11-$N$11)</f>
        <v>6.2188122492174238E-4</v>
      </c>
      <c r="P26" s="91">
        <f t="shared" si="23"/>
        <v>6.1804337032829047E-4</v>
      </c>
      <c r="Q26" s="91">
        <f t="shared" si="23"/>
        <v>6.1420551573483856E-4</v>
      </c>
      <c r="R26" s="91">
        <f t="shared" si="23"/>
        <v>6.1036766114138665E-4</v>
      </c>
      <c r="S26" s="22">
        <f t="shared" si="23"/>
        <v>6.0652980654793474E-4</v>
      </c>
      <c r="T26" s="91">
        <f t="shared" si="23"/>
        <v>6.0269195195448283E-4</v>
      </c>
      <c r="U26" s="91">
        <f t="shared" si="23"/>
        <v>5.9885409736103092E-4</v>
      </c>
      <c r="V26" s="91">
        <f t="shared" si="23"/>
        <v>5.9501624276757901E-4</v>
      </c>
      <c r="W26" s="91">
        <f t="shared" si="23"/>
        <v>5.911783881741271E-4</v>
      </c>
      <c r="X26" s="185">
        <f>Inputs!F35</f>
        <v>5.8734053358067487E-4</v>
      </c>
      <c r="Y26" s="172">
        <f>X26+($AH$26-$X$26)/($AH$11-$X$11)</f>
        <v>5.7792396830170915E-4</v>
      </c>
      <c r="Z26" s="172">
        <f t="shared" ref="Z26:AG26" si="24">Y26+($AH$26-$X$26)/($AH$11-$X$11)</f>
        <v>5.6850740302274343E-4</v>
      </c>
      <c r="AA26" s="172">
        <f t="shared" si="24"/>
        <v>5.5909083774377771E-4</v>
      </c>
      <c r="AB26" s="172">
        <f t="shared" si="24"/>
        <v>5.4967427246481199E-4</v>
      </c>
      <c r="AC26" s="172">
        <f t="shared" si="24"/>
        <v>5.4025770718584627E-4</v>
      </c>
      <c r="AD26" s="172">
        <f t="shared" si="24"/>
        <v>5.3084114190688056E-4</v>
      </c>
      <c r="AE26" s="172">
        <f t="shared" si="24"/>
        <v>5.2142457662791484E-4</v>
      </c>
      <c r="AF26" s="172">
        <f t="shared" si="24"/>
        <v>5.1200801134894912E-4</v>
      </c>
      <c r="AG26" s="172">
        <f t="shared" si="24"/>
        <v>5.025914460699834E-4</v>
      </c>
      <c r="AH26" s="185">
        <f>Inputs!H35</f>
        <v>4.9317488079101736E-4</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0.34477139951826591</v>
      </c>
      <c r="T27" s="13"/>
      <c r="U27" s="13"/>
      <c r="V27" s="13"/>
      <c r="W27" s="13"/>
      <c r="X27" s="176"/>
      <c r="Y27"/>
      <c r="Z27"/>
      <c r="AA27"/>
      <c r="AB27"/>
      <c r="AC27"/>
      <c r="AD27"/>
      <c r="AE27"/>
      <c r="AF27"/>
      <c r="AG27"/>
      <c r="AH27" s="280"/>
      <c r="AI27" s="24"/>
    </row>
    <row r="28" spans="1:37" s="1" customFormat="1">
      <c r="A28" s="1" t="s">
        <v>377</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376</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31.99</v>
      </c>
      <c r="D31" s="330">
        <f t="shared" ref="D31:AH31" si="27">D26*D14</f>
        <v>34.669203417703294</v>
      </c>
      <c r="E31" s="330">
        <f t="shared" si="27"/>
        <v>34.903679179274469</v>
      </c>
      <c r="F31" s="330">
        <f t="shared" si="27"/>
        <v>41.042970395445799</v>
      </c>
      <c r="G31" s="330">
        <f t="shared" si="27"/>
        <v>38.444198138127646</v>
      </c>
      <c r="H31" s="286">
        <f>'Output - Jobs vs Yr (BAU)'!H7</f>
        <v>40.755579570544249</v>
      </c>
      <c r="I31" s="174">
        <f t="shared" si="27"/>
        <v>43.44716861526657</v>
      </c>
      <c r="J31" s="174">
        <f t="shared" si="27"/>
        <v>46.856157097140041</v>
      </c>
      <c r="K31" s="174">
        <f t="shared" si="27"/>
        <v>47.621645898367795</v>
      </c>
      <c r="L31" s="174">
        <f t="shared" si="27"/>
        <v>48.014374295486938</v>
      </c>
      <c r="M31" s="174">
        <f t="shared" si="27"/>
        <v>48.218852492635307</v>
      </c>
      <c r="N31" s="184">
        <f t="shared" si="27"/>
        <v>48.495341147819417</v>
      </c>
      <c r="O31" s="174">
        <f t="shared" si="27"/>
        <v>47.838364786764984</v>
      </c>
      <c r="P31" s="174">
        <f t="shared" si="27"/>
        <v>47.923483607554381</v>
      </c>
      <c r="Q31" s="174">
        <f t="shared" si="27"/>
        <v>48.582848551751795</v>
      </c>
      <c r="R31" s="174">
        <f t="shared" si="27"/>
        <v>48.257935891511714</v>
      </c>
      <c r="S31" s="174">
        <f t="shared" si="27"/>
        <v>48.040955508937309</v>
      </c>
      <c r="T31" s="174">
        <f t="shared" si="27"/>
        <v>49.080212112654053</v>
      </c>
      <c r="U31" s="174">
        <f t="shared" si="27"/>
        <v>49.27212219550762</v>
      </c>
      <c r="V31" s="174">
        <f t="shared" si="27"/>
        <v>48.87615548332731</v>
      </c>
      <c r="W31" s="174">
        <f t="shared" si="27"/>
        <v>48.965203051500048</v>
      </c>
      <c r="X31" s="184">
        <f t="shared" si="27"/>
        <v>48.500969837334495</v>
      </c>
      <c r="Y31" s="174">
        <f t="shared" si="27"/>
        <v>49.14935674125352</v>
      </c>
      <c r="Z31" s="174">
        <f t="shared" si="27"/>
        <v>49.632176935973739</v>
      </c>
      <c r="AA31" s="174">
        <f t="shared" si="27"/>
        <v>50.203110293121057</v>
      </c>
      <c r="AB31" s="174">
        <f t="shared" si="27"/>
        <v>50.450196379855484</v>
      </c>
      <c r="AC31" s="174">
        <f t="shared" si="27"/>
        <v>50.416885047870046</v>
      </c>
      <c r="AD31" s="174">
        <f t="shared" si="27"/>
        <v>50.465496133515892</v>
      </c>
      <c r="AE31" s="174">
        <f t="shared" si="27"/>
        <v>50.289180189542634</v>
      </c>
      <c r="AF31" s="174">
        <f t="shared" si="27"/>
        <v>49.898344650825322</v>
      </c>
      <c r="AG31" s="174">
        <f t="shared" si="27"/>
        <v>49.106414328630954</v>
      </c>
      <c r="AH31" s="184">
        <f t="shared" si="27"/>
        <v>48.50608277408358</v>
      </c>
      <c r="AI31" s="127"/>
    </row>
    <row r="32" spans="1:37">
      <c r="A32" s="9" t="s">
        <v>59</v>
      </c>
      <c r="B32" s="35">
        <v>0</v>
      </c>
      <c r="C32" s="330">
        <f>EIA_electricity_aeo2014!E52*1000</f>
        <v>34328</v>
      </c>
      <c r="D32" s="330">
        <f t="shared" ref="D32:AH32" si="28">D18*D14</f>
        <v>35311.279358898792</v>
      </c>
      <c r="E32" s="330">
        <f t="shared" si="28"/>
        <v>33715.496755671666</v>
      </c>
      <c r="F32" s="330">
        <f t="shared" si="28"/>
        <v>37566.283202073551</v>
      </c>
      <c r="G32" s="330">
        <f t="shared" si="28"/>
        <v>33308.792978850252</v>
      </c>
      <c r="H32" s="286">
        <f>EIA_electricity_aeo2014!J52*1000</f>
        <v>29367.52536</v>
      </c>
      <c r="I32" s="174">
        <f t="shared" si="28"/>
        <v>30152.404225977956</v>
      </c>
      <c r="J32" s="174">
        <f t="shared" si="28"/>
        <v>31293.381251922736</v>
      </c>
      <c r="K32" s="174">
        <f t="shared" si="28"/>
        <v>30579.919665192348</v>
      </c>
      <c r="L32" s="174">
        <f t="shared" si="28"/>
        <v>29617.157728915612</v>
      </c>
      <c r="M32" s="174">
        <f t="shared" si="28"/>
        <v>28542.623114553349</v>
      </c>
      <c r="N32" s="184">
        <f t="shared" si="28"/>
        <v>27517.844280000001</v>
      </c>
      <c r="O32" s="174">
        <f t="shared" si="28"/>
        <v>27145.054383666833</v>
      </c>
      <c r="P32" s="174">
        <f t="shared" si="28"/>
        <v>27193.353589329505</v>
      </c>
      <c r="Q32" s="174">
        <f t="shared" si="28"/>
        <v>27567.498845938982</v>
      </c>
      <c r="R32" s="174">
        <f t="shared" si="28"/>
        <v>27383.132765044029</v>
      </c>
      <c r="S32" s="174">
        <f t="shared" si="28"/>
        <v>27260.010992144285</v>
      </c>
      <c r="T32" s="174">
        <f t="shared" si="28"/>
        <v>27849.719213824148</v>
      </c>
      <c r="U32" s="174">
        <f t="shared" si="28"/>
        <v>27958.615277873461</v>
      </c>
      <c r="V32" s="174">
        <f t="shared" si="28"/>
        <v>27733.930801634211</v>
      </c>
      <c r="W32" s="174">
        <f t="shared" si="28"/>
        <v>27784.459307187371</v>
      </c>
      <c r="X32" s="184">
        <f t="shared" si="28"/>
        <v>27521.03818271128</v>
      </c>
      <c r="Y32" s="174">
        <f t="shared" si="28"/>
        <v>27888.954139851365</v>
      </c>
      <c r="Z32" s="174">
        <f t="shared" si="28"/>
        <v>28162.922125622459</v>
      </c>
      <c r="AA32" s="174">
        <f t="shared" si="28"/>
        <v>28486.888404534671</v>
      </c>
      <c r="AB32" s="174">
        <f t="shared" si="28"/>
        <v>28627.093139620203</v>
      </c>
      <c r="AC32" s="174">
        <f t="shared" si="28"/>
        <v>28608.191199255649</v>
      </c>
      <c r="AD32" s="174">
        <f t="shared" si="28"/>
        <v>28635.774720753245</v>
      </c>
      <c r="AE32" s="174">
        <f t="shared" si="28"/>
        <v>28535.727281648768</v>
      </c>
      <c r="AF32" s="174">
        <f t="shared" si="28"/>
        <v>28313.954401224422</v>
      </c>
      <c r="AG32" s="174">
        <f t="shared" si="28"/>
        <v>27864.587209016623</v>
      </c>
      <c r="AH32" s="184">
        <f t="shared" si="28"/>
        <v>27523.939430417646</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0</v>
      </c>
      <c r="D34" s="330">
        <f>MAX(D58*D$14,'Output - Jobs vs Yr (BAU)'!D10)</f>
        <v>0</v>
      </c>
      <c r="E34" s="330">
        <f>MAX(E58*E$14,'Output - Jobs vs Yr (BAU)'!E10)</f>
        <v>1.399089</v>
      </c>
      <c r="F34" s="330">
        <f>MAX(F58*F$14,'Output - Jobs vs Yr (BAU)'!F10)</f>
        <v>1.3473730000000002</v>
      </c>
      <c r="G34" s="330">
        <f>MAX(G58*G$14,'Output - Jobs vs Yr (BAU)'!G10)</f>
        <v>1.4659610000000001</v>
      </c>
      <c r="H34" s="286">
        <f>'Output - Jobs vs Yr (BAU)'!H10</f>
        <v>1.6648689999999999</v>
      </c>
      <c r="I34" s="286">
        <f>MAX(I58*I$14,'Output - Jobs vs Yr (BAU)'!I10)</f>
        <v>2.7274476777396335</v>
      </c>
      <c r="J34" s="286">
        <f>MAX(J58*J$14,'Output - Jobs vs Yr (BAU)'!J10)</f>
        <v>4.5205683267975667</v>
      </c>
      <c r="K34" s="286">
        <f>MAX(K58*K$14,'Output - Jobs vs Yr (BAU)'!K10)</f>
        <v>7.0614059894081684</v>
      </c>
      <c r="L34" s="286">
        <f>MAX(L58*L$14,'Output - Jobs vs Yr (BAU)'!L10)</f>
        <v>10.94326667845486</v>
      </c>
      <c r="M34" s="286">
        <f>MAX(M58*M$14,'Output - Jobs vs Yr (BAU)'!M10)</f>
        <v>16.893108505499143</v>
      </c>
      <c r="N34" s="287">
        <f>MAX(Inputs!$E17*N$21,'Output - Jobs vs Yr (BAU)'!N10)</f>
        <v>26.117844273396443</v>
      </c>
      <c r="O34" s="286">
        <f>MAX(O58*O$14,'Output - Jobs vs Yr (BAU)'!O10)</f>
        <v>26.230153984322335</v>
      </c>
      <c r="P34" s="286">
        <f>MAX(P58*P$14,'Output - Jobs vs Yr (BAU)'!P10)</f>
        <v>26.753255624890098</v>
      </c>
      <c r="Q34" s="286">
        <f>MAX(Q58*Q$14,'Output - Jobs vs Yr (BAU)'!Q10)</f>
        <v>27.614152995435479</v>
      </c>
      <c r="R34" s="286">
        <f>MAX(R58*R$14,'Output - Jobs vs Yr (BAU)'!R10)</f>
        <v>27.928971487246553</v>
      </c>
      <c r="S34" s="286">
        <f>MAX(S58*S$14,'Output - Jobs vs Yr (BAU)'!S10)</f>
        <v>28.310820539732369</v>
      </c>
      <c r="T34" s="286">
        <f>MAX(T58*T$14,'Output - Jobs vs Yr (BAU)'!T10)</f>
        <v>29.452302970147962</v>
      </c>
      <c r="U34" s="286">
        <f>MAX(U58*U$14,'Output - Jobs vs Yr (BAU)'!U10)</f>
        <v>30.10951191764611</v>
      </c>
      <c r="V34" s="286">
        <f>MAX(V58*V$14,'Output - Jobs vs Yr (BAU)'!V10)</f>
        <v>30.416339107179571</v>
      </c>
      <c r="W34" s="286">
        <f>MAX(W58*W$14,'Output - Jobs vs Yr (BAU)'!W10)</f>
        <v>31.032944731791886</v>
      </c>
      <c r="X34" s="287">
        <f>Inputs!F17*'Output -Jobs vs Yr'!$X$14</f>
        <v>31.306151241369086</v>
      </c>
      <c r="Y34" s="286">
        <f>MAX(Y58*Y$14,'Output - Jobs vs Yr (BAU)'!Y10)</f>
        <v>32.583078175017533</v>
      </c>
      <c r="Z34" s="286">
        <f>MAX(Z58*Z$14,'Output - Jobs vs Yr (BAU)'!Z10)</f>
        <v>33.802430427589293</v>
      </c>
      <c r="AA34" s="286">
        <f>MAX(AA58*AA$14,'Output - Jobs vs Yr (BAU)'!AA10)</f>
        <v>35.135385734334669</v>
      </c>
      <c r="AB34" s="286">
        <f>MAX(AB58*AB$14,'Output - Jobs vs Yr (BAU)'!AB10)</f>
        <v>36.293568919222423</v>
      </c>
      <c r="AC34" s="286">
        <f>MAX(AC58*AC$14,'Output - Jobs vs Yr (BAU)'!AC10)</f>
        <v>37.292630091367492</v>
      </c>
      <c r="AD34" s="286">
        <f>MAX(AD58*AD$14,'Output - Jobs vs Yr (BAU)'!AD10)</f>
        <v>38.393145639152721</v>
      </c>
      <c r="AE34" s="286">
        <f>MAX(AE58*AE$14,'Output - Jobs vs Yr (BAU)'!AE10)</f>
        <v>39.362487120458752</v>
      </c>
      <c r="AF34" s="286">
        <f>MAX(AF58*AF$14,'Output - Jobs vs Yr (BAU)'!AF10)</f>
        <v>40.196163486940847</v>
      </c>
      <c r="AG34" s="286">
        <f>MAX(AG58*AG$14,'Output - Jobs vs Yr (BAU)'!AG10)</f>
        <v>40.726219912290176</v>
      </c>
      <c r="AH34" s="287">
        <f>Inputs!I17*'Output -Jobs vs Yr'!$AH$14</f>
        <v>41.430671787086254</v>
      </c>
      <c r="AI34" s="127"/>
    </row>
    <row r="35" spans="1:36" s="20" customFormat="1">
      <c r="A35" s="9" t="s">
        <v>50</v>
      </c>
      <c r="B35" s="35">
        <v>1</v>
      </c>
      <c r="C35" s="330">
        <f>EIA_RE_aeo2014!E74*1000</f>
        <v>0</v>
      </c>
      <c r="D35" s="330">
        <f>MAX(D59*D$14,'Output - Jobs vs Yr (BAU)'!D11)</f>
        <v>0</v>
      </c>
      <c r="E35" s="330">
        <f>MAX(E59*E$14,'Output - Jobs vs Yr (BAU)'!E11)</f>
        <v>1E-8</v>
      </c>
      <c r="F35" s="330">
        <f>MAX(F59*F$14,'Output - Jobs vs Yr (BAU)'!F11)</f>
        <v>1E-8</v>
      </c>
      <c r="G35" s="330">
        <f>MAX(G59*G$14,'Output - Jobs vs Yr (BAU)'!G11)</f>
        <v>1E-8</v>
      </c>
      <c r="H35" s="286">
        <f>'Output - Jobs vs Yr (BAU)'!H11</f>
        <v>1E-8</v>
      </c>
      <c r="I35" s="286">
        <f>MAX(I59*I$14,'Output - Jobs vs Yr (BAU)'!I11)</f>
        <v>1.2275689071082406E-8</v>
      </c>
      <c r="J35" s="286">
        <f>MAX(J59*J$14,'Output - Jobs vs Yr (BAU)'!J11)</f>
        <v>1.5245862831102169E-8</v>
      </c>
      <c r="K35" s="286">
        <f>MAX(K59*K$14,'Output - Jobs vs Yr (BAU)'!K11)</f>
        <v>1.7845128118623123E-8</v>
      </c>
      <c r="L35" s="286">
        <f>MAX(L59*L$14,'Output - Jobs vs Yr (BAU)'!L11)</f>
        <v>2.072263559085386E-8</v>
      </c>
      <c r="M35" s="286">
        <f>MAX(M59*M$14,'Output - Jobs vs Yr (BAU)'!M11)</f>
        <v>2.3970500232541152E-8</v>
      </c>
      <c r="N35" s="287">
        <f>MAX(Inputs!$E19*N$21,'Output - Jobs vs Yr (BAU)'!N11)</f>
        <v>2.776990360899942E-8</v>
      </c>
      <c r="O35" s="286">
        <f>MAX(O59*O$14,'Output - Jobs vs Yr (BAU)'!O11)</f>
        <v>2.7889317363600266E-8</v>
      </c>
      <c r="P35" s="286">
        <f>MAX(P59*P$14,'Output - Jobs vs Yr (BAU)'!P11)</f>
        <v>2.8445507299653787E-8</v>
      </c>
      <c r="Q35" s="286">
        <f>MAX(Q59*Q$14,'Output - Jobs vs Yr (BAU)'!Q11)</f>
        <v>2.9360859912489366E-8</v>
      </c>
      <c r="R35" s="286">
        <f>MAX(R59*R$14,'Output - Jobs vs Yr (BAU)'!R11)</f>
        <v>2.9695591947813935E-8</v>
      </c>
      <c r="S35" s="286">
        <f>MAX(S59*S$14,'Output - Jobs vs Yr (BAU)'!S11)</f>
        <v>3.0101594498013686E-8</v>
      </c>
      <c r="T35" s="286">
        <f>MAX(T59*T$14,'Output - Jobs vs Yr (BAU)'!T11)</f>
        <v>3.1315280311137849E-8</v>
      </c>
      <c r="U35" s="286">
        <f>MAX(U59*U$14,'Output - Jobs vs Yr (BAU)'!U11)</f>
        <v>3.2014060383947519E-8</v>
      </c>
      <c r="V35" s="286">
        <f>MAX(V59*V$14,'Output - Jobs vs Yr (BAU)'!V11)</f>
        <v>3.234029563478878E-8</v>
      </c>
      <c r="W35" s="286">
        <f>MAX(W59*W$14,'Output - Jobs vs Yr (BAU)'!W11)</f>
        <v>3.2995904060239583E-8</v>
      </c>
      <c r="X35" s="287">
        <f>Inputs!F19*'Output -Jobs vs Yr'!$X$14</f>
        <v>3.3286391987071978E-8</v>
      </c>
      <c r="Y35" s="286">
        <f>MAX(Y59*Y$14,'Output - Jobs vs Yr (BAU)'!Y11)</f>
        <v>3.4644089716331827E-8</v>
      </c>
      <c r="Z35" s="286">
        <f>MAX(Z59*Z$14,'Output - Jobs vs Yr (BAU)'!Z11)</f>
        <v>3.594057093296213E-8</v>
      </c>
      <c r="AA35" s="286">
        <f>MAX(AA59*AA$14,'Output - Jobs vs Yr (BAU)'!AA11)</f>
        <v>3.7357841056634927E-8</v>
      </c>
      <c r="AB35" s="286">
        <f>MAX(AB59*AB$14,'Output - Jobs vs Yr (BAU)'!AB11)</f>
        <v>3.858928401453087E-8</v>
      </c>
      <c r="AC35" s="286">
        <f>MAX(AC59*AC$14,'Output - Jobs vs Yr (BAU)'!AC11)</f>
        <v>3.9651539848494256E-8</v>
      </c>
      <c r="AD35" s="286">
        <f>MAX(AD59*AD$14,'Output - Jobs vs Yr (BAU)'!AD11)</f>
        <v>4.0821667457890046E-8</v>
      </c>
      <c r="AE35" s="286">
        <f>MAX(AE59*AE$14,'Output - Jobs vs Yr (BAU)'!AE11)</f>
        <v>4.1852323710308711E-8</v>
      </c>
      <c r="AF35" s="286">
        <f>MAX(AF59*AF$14,'Output - Jobs vs Yr (BAU)'!AF11)</f>
        <v>4.2738733480424787E-8</v>
      </c>
      <c r="AG35" s="286">
        <f>MAX(AG59*AG$14,'Output - Jobs vs Yr (BAU)'!AG11)</f>
        <v>4.3302318119539703E-8</v>
      </c>
      <c r="AH35" s="287">
        <f>Inputs!I19*'Output -Jobs vs Yr'!$AH$14</f>
        <v>4.4051329425966421E-8</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925</v>
      </c>
      <c r="D37" s="330">
        <f>MAX(D61*D$14,'Output - Jobs vs Yr (BAU)'!D12)</f>
        <v>1140.9699930526476</v>
      </c>
      <c r="E37" s="330">
        <f>MAX(E61*E$14,'Output - Jobs vs Yr (BAU)'!E12)</f>
        <v>1307.8452420843826</v>
      </c>
      <c r="F37" s="330">
        <f>MAX(F61*F$14,'Output - Jobs vs Yr (BAU)'!F12)</f>
        <v>1751.5603922989746</v>
      </c>
      <c r="G37" s="330">
        <f>MAX(G61*G$14,'Output - Jobs vs Yr (BAU)'!G12)</f>
        <v>1869.2159758261607</v>
      </c>
      <c r="H37" s="286">
        <f>'Output - Jobs vs Yr (BAU)'!H12</f>
        <v>1563.744157249922</v>
      </c>
      <c r="I37" s="118">
        <f>MAX(I61*I$14,'Output - Jobs vs Yr (BAU)'!I12)</f>
        <v>1917.5638024240116</v>
      </c>
      <c r="J37" s="118">
        <f>MAX(J61*J$14,'Output - Jobs vs Yr (BAU)'!J12)</f>
        <v>2378.9986443798502</v>
      </c>
      <c r="K37" s="118">
        <f>MAX(K61*K$14,'Output - Jobs vs Yr (BAU)'!K12)</f>
        <v>2781.6347299666568</v>
      </c>
      <c r="L37" s="118">
        <f>MAX(L61*L$14,'Output - Jobs vs Yr (BAU)'!L12)</f>
        <v>3226.7376980090417</v>
      </c>
      <c r="M37" s="118">
        <f>MAX(M61*M$14,'Output - Jobs vs Yr (BAU)'!M12)</f>
        <v>3728.4988505701185</v>
      </c>
      <c r="N37" s="184">
        <f>MAX(Inputs!$E20*N$21,'Output - Jobs vs Yr (BAU)'!N12)</f>
        <v>4314.8880440415651</v>
      </c>
      <c r="O37" s="174">
        <f>MAX(O61*O$14,'Output - Jobs vs Yr (BAU)'!O12)</f>
        <v>4333.442555042976</v>
      </c>
      <c r="P37" s="174">
        <f>MAX(P61*P$14,'Output - Jobs vs Yr (BAU)'!P12)</f>
        <v>4419.86335574449</v>
      </c>
      <c r="Q37" s="174">
        <f>MAX(Q61*Q$14,'Output - Jobs vs Yr (BAU)'!Q12)</f>
        <v>4562.0908586129726</v>
      </c>
      <c r="R37" s="174">
        <f>MAX(R61*R$14,'Output - Jobs vs Yr (BAU)'!R12)</f>
        <v>4614.1015273396588</v>
      </c>
      <c r="S37" s="174">
        <f>MAX(S61*S$14,'Output - Jobs vs Yr (BAU)'!S12)</f>
        <v>4677.1862097488392</v>
      </c>
      <c r="T37" s="174">
        <f>MAX(T61*T$14,'Output - Jobs vs Yr (BAU)'!T12)</f>
        <v>4865.7687298039391</v>
      </c>
      <c r="U37" s="174">
        <f>MAX(U61*U$14,'Output - Jobs vs Yr (BAU)'!U12)</f>
        <v>4974.3451881177443</v>
      </c>
      <c r="V37" s="174">
        <f>MAX(V61*V$14,'Output - Jobs vs Yr (BAU)'!V12)</f>
        <v>5025.0356263425165</v>
      </c>
      <c r="W37" s="174">
        <f>MAX(W61*W$14,'Output - Jobs vs Yr (BAU)'!W12)</f>
        <v>5126.9040734347791</v>
      </c>
      <c r="X37" s="184">
        <f>Inputs!F20*'Output -Jobs vs Yr'!$X$14</f>
        <v>5172.0400919127596</v>
      </c>
      <c r="Y37" s="174">
        <f>MAX(Y61*Y$14,'Output - Jobs vs Yr (BAU)'!Y12)</f>
        <v>5382.9991856817123</v>
      </c>
      <c r="Z37" s="174">
        <f>MAX(Z61*Z$14,'Output - Jobs vs Yr (BAU)'!Z12)</f>
        <v>5584.4464567896193</v>
      </c>
      <c r="AA37" s="174">
        <f>MAX(AA61*AA$14,'Output - Jobs vs Yr (BAU)'!AA12)</f>
        <v>5804.6619101061824</v>
      </c>
      <c r="AB37" s="174">
        <f>MAX(AB61*AB$14,'Output - Jobs vs Yr (BAU)'!AB12)</f>
        <v>5996.0035355853006</v>
      </c>
      <c r="AC37" s="174">
        <f>MAX(AC61*AC$14,'Output - Jobs vs Yr (BAU)'!AC12)</f>
        <v>6161.0568631811739</v>
      </c>
      <c r="AD37" s="174">
        <f>MAX(AD61*AD$14,'Output - Jobs vs Yr (BAU)'!AD12)</f>
        <v>6342.8713088801724</v>
      </c>
      <c r="AE37" s="174">
        <f>MAX(AE61*AE$14,'Output - Jobs vs Yr (BAU)'!AE12)</f>
        <v>6503.0146930162555</v>
      </c>
      <c r="AF37" s="174">
        <f>MAX(AF61*AF$14,'Output - Jobs vs Yr (BAU)'!AF12)</f>
        <v>6640.7450565439121</v>
      </c>
      <c r="AG37" s="174">
        <f>MAX(AG61*AG$14,'Output - Jobs vs Yr (BAU)'!AG12)</f>
        <v>6728.3148463192847</v>
      </c>
      <c r="AH37" s="184">
        <f>Inputs!I20*'Output -Jobs vs Yr'!$AH$14</f>
        <v>6844.6962344745261</v>
      </c>
      <c r="AI37" s="127"/>
    </row>
    <row r="38" spans="1:36" s="20" customFormat="1">
      <c r="A38" s="9" t="s">
        <v>347</v>
      </c>
      <c r="B38" s="35">
        <v>1</v>
      </c>
      <c r="C38" s="330">
        <f>'Output - Jobs vs Yr (BAU)'!C13</f>
        <v>0</v>
      </c>
      <c r="D38" s="330">
        <f>MAX(D62*D$14,'Output - Jobs vs Yr (BAU)'!D13)</f>
        <v>0</v>
      </c>
      <c r="E38" s="330">
        <f>MAX(E62*E$14,'Output - Jobs vs Yr (BAU)'!E13)</f>
        <v>0.02</v>
      </c>
      <c r="F38" s="330">
        <f>MAX(F62*F$14,'Output - Jobs vs Yr (BAU)'!F13)</f>
        <v>0.02</v>
      </c>
      <c r="G38" s="330">
        <f>MAX(G62*G$14,'Output - Jobs vs Yr (BAU)'!G13)</f>
        <v>0.02</v>
      </c>
      <c r="H38" s="286">
        <f>'Output - Jobs vs Yr (BAU)'!H13</f>
        <v>1401.7951455690322</v>
      </c>
      <c r="I38" s="118">
        <f>MAX(I62*I$14,'Output - Jobs vs Yr (BAU)'!I13)</f>
        <v>1909.8070960124198</v>
      </c>
      <c r="J38" s="118">
        <f>MAX(J62*J$14,'Output - Jobs vs Yr (BAU)'!J13)</f>
        <v>2632.417093613104</v>
      </c>
      <c r="K38" s="118">
        <f>MAX(K62*K$14,'Output - Jobs vs Yr (BAU)'!K13)</f>
        <v>3419.6482464209148</v>
      </c>
      <c r="L38" s="118">
        <f>MAX(L62*L$14,'Output - Jobs vs Yr (BAU)'!L13)</f>
        <v>4407.2311266399829</v>
      </c>
      <c r="M38" s="118">
        <f>MAX(M62*M$14,'Output - Jobs vs Yr (BAU)'!M13)</f>
        <v>5657.9226411504642</v>
      </c>
      <c r="N38" s="184">
        <f>MAX(Inputs!$E21*N$21,'Output - Jobs vs Yr (BAU)'!N13)</f>
        <v>7274.6709079860211</v>
      </c>
      <c r="O38" s="174">
        <f>MAX(O62*O$14,'Output - Jobs vs Yr (BAU)'!O13)</f>
        <v>7305.9528230707574</v>
      </c>
      <c r="P38" s="174">
        <f>MAX(P62*P$14,'Output - Jobs vs Yr (BAU)'!P13)</f>
        <v>7451.6536798001252</v>
      </c>
      <c r="Q38" s="174">
        <f>MAX(Q62*Q$14,'Output - Jobs vs Yr (BAU)'!Q13)</f>
        <v>7691.4416573495328</v>
      </c>
      <c r="R38" s="174">
        <f>MAX(R62*R$14,'Output - Jobs vs Yr (BAU)'!R13)</f>
        <v>7779.1288684264</v>
      </c>
      <c r="S38" s="174">
        <f>MAX(S62*S$14,'Output - Jobs vs Yr (BAU)'!S13)</f>
        <v>7885.4862754268725</v>
      </c>
      <c r="T38" s="174">
        <f>MAX(T62*T$14,'Output - Jobs vs Yr (BAU)'!T13)</f>
        <v>8203.426337462537</v>
      </c>
      <c r="U38" s="174">
        <f>MAX(U62*U$14,'Output - Jobs vs Yr (BAU)'!U13)</f>
        <v>8386.480450228757</v>
      </c>
      <c r="V38" s="174">
        <f>MAX(V62*V$14,'Output - Jobs vs Yr (BAU)'!V13)</f>
        <v>8471.9418231549971</v>
      </c>
      <c r="W38" s="174">
        <f>MAX(W62*W$14,'Output - Jobs vs Yr (BAU)'!W13)</f>
        <v>8643.6865870839538</v>
      </c>
      <c r="X38" s="184">
        <f>Inputs!F21*'Output -Jobs vs Yr'!$X$14</f>
        <v>8719.7835048191719</v>
      </c>
      <c r="Y38" s="174">
        <f>MAX(Y62*Y$14,'Output - Jobs vs Yr (BAU)'!Y13)</f>
        <v>9075.4492756461368</v>
      </c>
      <c r="Z38" s="174">
        <f>MAX(Z62*Z$14,'Output - Jobs vs Yr (BAU)'!Z13)</f>
        <v>9415.0786212198946</v>
      </c>
      <c r="AA38" s="174">
        <f>MAX(AA62*AA$14,'Output - Jobs vs Yr (BAU)'!AA13)</f>
        <v>9786.3501201277631</v>
      </c>
      <c r="AB38" s="174">
        <f>MAX(AB62*AB$14,'Output - Jobs vs Yr (BAU)'!AB13)</f>
        <v>10108.94188662373</v>
      </c>
      <c r="AC38" s="174">
        <f>MAX(AC62*AC$14,'Output - Jobs vs Yr (BAU)'!AC13)</f>
        <v>10387.212986191666</v>
      </c>
      <c r="AD38" s="174">
        <f>MAX(AD62*AD$14,'Output - Jobs vs Yr (BAU)'!AD13)</f>
        <v>10693.74243615145</v>
      </c>
      <c r="AE38" s="174">
        <f>MAX(AE62*AE$14,'Output - Jobs vs Yr (BAU)'!AE13)</f>
        <v>10963.735633145268</v>
      </c>
      <c r="AF38" s="174">
        <f>MAX(AF62*AF$14,'Output - Jobs vs Yr (BAU)'!AF13)</f>
        <v>11195.941673829122</v>
      </c>
      <c r="AG38" s="174">
        <f>MAX(AG62*AG$14,'Output - Jobs vs Yr (BAU)'!AG13)</f>
        <v>11343.579664802503</v>
      </c>
      <c r="AH38" s="184">
        <f>Inputs!I21*'Output -Jobs vs Yr'!$AH$14</f>
        <v>11539.792472644198</v>
      </c>
      <c r="AI38" s="127"/>
    </row>
    <row r="39" spans="1:36" s="20" customFormat="1">
      <c r="A39" s="9" t="s">
        <v>348</v>
      </c>
      <c r="B39" s="35">
        <v>1</v>
      </c>
      <c r="C39" s="330">
        <f>'Output - Jobs vs Yr (BAU)'!C14</f>
        <v>0</v>
      </c>
      <c r="D39" s="330">
        <f>MAX(D63*D$14,'Output - Jobs vs Yr (BAU)'!D14)</f>
        <v>0</v>
      </c>
      <c r="E39" s="330">
        <f>MAX(E63*E$14,'Output - Jobs vs Yr (BAU)'!E14)</f>
        <v>0.01</v>
      </c>
      <c r="F39" s="330">
        <f>MAX(F63*F$14,'Output - Jobs vs Yr (BAU)'!F14)</f>
        <v>0.01</v>
      </c>
      <c r="G39" s="330">
        <f>MAX(G63*G$14,'Output - Jobs vs Yr (BAU)'!G14)</f>
        <v>0.01</v>
      </c>
      <c r="H39" s="286">
        <f>'Output - Jobs vs Yr (BAU)'!H14</f>
        <v>0.01</v>
      </c>
      <c r="I39" s="118">
        <f>MAX(I63*I$14,'Output - Jobs vs Yr (BAU)'!I14)</f>
        <v>1.2275689071082408E-2</v>
      </c>
      <c r="J39" s="118">
        <f>MAX(J63*J$14,'Output - Jobs vs Yr (BAU)'!J14)</f>
        <v>1.524586283110217E-2</v>
      </c>
      <c r="K39" s="118">
        <f>MAX(K63*K$14,'Output - Jobs vs Yr (BAU)'!K14)</f>
        <v>1.7845128118623127E-2</v>
      </c>
      <c r="L39" s="118">
        <f>MAX(L63*L$14,'Output - Jobs vs Yr (BAU)'!L14)</f>
        <v>2.0722635590853866E-2</v>
      </c>
      <c r="M39" s="118">
        <f>MAX(M63*M$14,'Output - Jobs vs Yr (BAU)'!M14)</f>
        <v>2.3970500232541155E-2</v>
      </c>
      <c r="N39" s="184">
        <f>MAX(Inputs!$E22*N$21,'Output - Jobs vs Yr (BAU)'!N14)</f>
        <v>2.7769903608999419E-2</v>
      </c>
      <c r="O39" s="174">
        <f>MAX(O63*O$14,'Output - Jobs vs Yr (BAU)'!O14)</f>
        <v>2.7889317363600268E-2</v>
      </c>
      <c r="P39" s="174">
        <f>MAX(P63*P$14,'Output - Jobs vs Yr (BAU)'!P14)</f>
        <v>2.844550729965379E-2</v>
      </c>
      <c r="Q39" s="174">
        <f>MAX(Q63*Q$14,'Output - Jobs vs Yr (BAU)'!Q14)</f>
        <v>2.9360859912489368E-2</v>
      </c>
      <c r="R39" s="174">
        <f>MAX(R63*R$14,'Output - Jobs vs Yr (BAU)'!R14)</f>
        <v>2.9695591947813939E-2</v>
      </c>
      <c r="S39" s="174">
        <f>MAX(S63*S$14,'Output - Jobs vs Yr (BAU)'!S14)</f>
        <v>3.0101594498013685E-2</v>
      </c>
      <c r="T39" s="174">
        <f>MAX(T63*T$14,'Output - Jobs vs Yr (BAU)'!T14)</f>
        <v>3.1315280311137846E-2</v>
      </c>
      <c r="U39" s="174">
        <f>MAX(U63*U$14,'Output - Jobs vs Yr (BAU)'!U14)</f>
        <v>3.2014060383947517E-2</v>
      </c>
      <c r="V39" s="174">
        <f>MAX(V63*V$14,'Output - Jobs vs Yr (BAU)'!V14)</f>
        <v>3.2340295634788782E-2</v>
      </c>
      <c r="W39" s="174">
        <f>MAX(W63*W$14,'Output - Jobs vs Yr (BAU)'!W14)</f>
        <v>3.2995904060239591E-2</v>
      </c>
      <c r="X39" s="184">
        <f>Inputs!F22*'Output -Jobs vs Yr'!$X$14</f>
        <v>3.3286391987071978E-2</v>
      </c>
      <c r="Y39" s="174">
        <f>MAX(Y63*Y$14,'Output - Jobs vs Yr (BAU)'!Y14)</f>
        <v>3.4644089716331823E-2</v>
      </c>
      <c r="Z39" s="174">
        <f>MAX(Z63*Z$14,'Output - Jobs vs Yr (BAU)'!Z14)</f>
        <v>3.5940570932962129E-2</v>
      </c>
      <c r="AA39" s="174">
        <f>MAX(AA63*AA$14,'Output - Jobs vs Yr (BAU)'!AA14)</f>
        <v>3.7357841056634929E-2</v>
      </c>
      <c r="AB39" s="174">
        <f>MAX(AB63*AB$14,'Output - Jobs vs Yr (BAU)'!AB14)</f>
        <v>3.8589284014530871E-2</v>
      </c>
      <c r="AC39" s="174">
        <f>MAX(AC63*AC$14,'Output - Jobs vs Yr (BAU)'!AC14)</f>
        <v>3.9651539848494254E-2</v>
      </c>
      <c r="AD39" s="174">
        <f>MAX(AD63*AD$14,'Output - Jobs vs Yr (BAU)'!AD14)</f>
        <v>4.0821667457890044E-2</v>
      </c>
      <c r="AE39" s="174">
        <f>MAX(AE63*AE$14,'Output - Jobs vs Yr (BAU)'!AE14)</f>
        <v>4.1852323710308711E-2</v>
      </c>
      <c r="AF39" s="174">
        <f>MAX(AF63*AF$14,'Output - Jobs vs Yr (BAU)'!AF14)</f>
        <v>4.2738733480424784E-2</v>
      </c>
      <c r="AG39" s="174">
        <f>MAX(AG63*AG$14,'Output - Jobs vs Yr (BAU)'!AG14)</f>
        <v>4.3302318119539704E-2</v>
      </c>
      <c r="AH39" s="184">
        <f>Inputs!I22*'Output -Jobs vs Yr'!$AH$14</f>
        <v>4.4051329425966415E-2</v>
      </c>
      <c r="AI39" s="127"/>
    </row>
    <row r="40" spans="1:36" s="20" customFormat="1">
      <c r="A40" s="9" t="s">
        <v>344</v>
      </c>
      <c r="B40" s="35">
        <v>1</v>
      </c>
      <c r="C40" s="330">
        <f>'Output - Jobs vs Yr (BAU)'!C15</f>
        <v>0.01</v>
      </c>
      <c r="D40" s="330">
        <f>MAX(D64*D$14,'Output - Jobs vs Yr (BAU)'!D15)</f>
        <v>1.2347932502959638E-2</v>
      </c>
      <c r="E40" s="330">
        <f>MAX(E64*E$14,'Output - Jobs vs Yr (BAU)'!E15)</f>
        <v>1.4168965326876433E-2</v>
      </c>
      <c r="F40" s="330">
        <f>MAX(F64*F$14,'Output - Jobs vs Yr (BAU)'!F15)</f>
        <v>1.8996283988435645E-2</v>
      </c>
      <c r="G40" s="330">
        <f>MAX(G64*G$14,'Output - Jobs vs Yr (BAU)'!G15)</f>
        <v>2.0293865535027204E-2</v>
      </c>
      <c r="H40" s="286">
        <f>'Output - Jobs vs Yr (BAU)'!H15</f>
        <v>0.01</v>
      </c>
      <c r="I40" s="118">
        <f>MAX(I64*I$14,'Output - Jobs vs Yr (BAU)'!I15)</f>
        <v>1.2275689071082408E-2</v>
      </c>
      <c r="J40" s="118">
        <f>MAX(J64*J$14,'Output - Jobs vs Yr (BAU)'!J15)</f>
        <v>1.524586283110217E-2</v>
      </c>
      <c r="K40" s="118">
        <f>MAX(K64*K$14,'Output - Jobs vs Yr (BAU)'!K15)</f>
        <v>1.7845128118623127E-2</v>
      </c>
      <c r="L40" s="118">
        <f>MAX(L64*L$14,'Output - Jobs vs Yr (BAU)'!L15)</f>
        <v>2.0722635590853866E-2</v>
      </c>
      <c r="M40" s="118">
        <f>MAX(M64*M$14,'Output - Jobs vs Yr (BAU)'!M15)</f>
        <v>2.3970500232541155E-2</v>
      </c>
      <c r="N40" s="184">
        <f>MAX(Inputs!$E18*N$21,'Output - Jobs vs Yr (BAU)'!N15)</f>
        <v>2.7769903608999419E-2</v>
      </c>
      <c r="O40" s="174">
        <f>MAX(O64*O$14,'Output - Jobs vs Yr (BAU)'!O15)</f>
        <v>2.7889317363600268E-2</v>
      </c>
      <c r="P40" s="174">
        <f>MAX(P64*P$14,'Output - Jobs vs Yr (BAU)'!P15)</f>
        <v>2.844550729965379E-2</v>
      </c>
      <c r="Q40" s="174">
        <f>MAX(Q64*Q$14,'Output - Jobs vs Yr (BAU)'!Q15)</f>
        <v>2.9360859912489368E-2</v>
      </c>
      <c r="R40" s="174">
        <f>MAX(R64*R$14,'Output - Jobs vs Yr (BAU)'!R15)</f>
        <v>2.9695591947813939E-2</v>
      </c>
      <c r="S40" s="174">
        <f>MAX(S64*S$14,'Output - Jobs vs Yr (BAU)'!S15)</f>
        <v>3.0101594498013685E-2</v>
      </c>
      <c r="T40" s="174">
        <f>MAX(T64*T$14,'Output - Jobs vs Yr (BAU)'!T15)</f>
        <v>3.1315280311137846E-2</v>
      </c>
      <c r="U40" s="174">
        <f>MAX(U64*U$14,'Output - Jobs vs Yr (BAU)'!U15)</f>
        <v>3.2014060383947517E-2</v>
      </c>
      <c r="V40" s="174">
        <f>MAX(V64*V$14,'Output - Jobs vs Yr (BAU)'!V15)</f>
        <v>3.2340295634788782E-2</v>
      </c>
      <c r="W40" s="174">
        <f>MAX(W64*W$14,'Output - Jobs vs Yr (BAU)'!W15)</f>
        <v>3.2995904060239591E-2</v>
      </c>
      <c r="X40" s="184">
        <f>Inputs!F18*'Output -Jobs vs Yr'!$X$14</f>
        <v>3.3286391987071978E-2</v>
      </c>
      <c r="Y40" s="174">
        <f>MAX(Y64*Y$14,'Output - Jobs vs Yr (BAU)'!Y15)</f>
        <v>3.4644089716331823E-2</v>
      </c>
      <c r="Z40" s="174">
        <f>MAX(Z64*Z$14,'Output - Jobs vs Yr (BAU)'!Z15)</f>
        <v>3.5940570932962129E-2</v>
      </c>
      <c r="AA40" s="174">
        <f>MAX(AA64*AA$14,'Output - Jobs vs Yr (BAU)'!AA15)</f>
        <v>3.7357841056634929E-2</v>
      </c>
      <c r="AB40" s="174">
        <f>MAX(AB64*AB$14,'Output - Jobs vs Yr (BAU)'!AB15)</f>
        <v>3.8589284014530871E-2</v>
      </c>
      <c r="AC40" s="174">
        <f>MAX(AC64*AC$14,'Output - Jobs vs Yr (BAU)'!AC15)</f>
        <v>3.9651539848494254E-2</v>
      </c>
      <c r="AD40" s="174">
        <f>MAX(AD64*AD$14,'Output - Jobs vs Yr (BAU)'!AD15)</f>
        <v>4.0821667457890044E-2</v>
      </c>
      <c r="AE40" s="174">
        <f>MAX(AE64*AE$14,'Output - Jobs vs Yr (BAU)'!AE15)</f>
        <v>4.1852323710308711E-2</v>
      </c>
      <c r="AF40" s="174">
        <f>MAX(AF64*AF$14,'Output - Jobs vs Yr (BAU)'!AF15)</f>
        <v>4.2738733480424784E-2</v>
      </c>
      <c r="AG40" s="174">
        <f>MAX(AG64*AG$14,'Output - Jobs vs Yr (BAU)'!AG15)</f>
        <v>4.3302318119539704E-2</v>
      </c>
      <c r="AH40" s="184">
        <f>Inputs!I18*'Output -Jobs vs Yr'!$AH$14</f>
        <v>4.4051329425966415E-2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21</v>
      </c>
      <c r="D42" s="330">
        <f>MAX(D66*D$14,'Output - Jobs vs Yr (BAU)'!D16)</f>
        <v>25.987748992307754</v>
      </c>
      <c r="E42" s="330">
        <f>MAX(E66*E$14,'Output - Jobs vs Yr (BAU)'!E16)</f>
        <v>205.13985052576612</v>
      </c>
      <c r="F42" s="330">
        <f>MAX(F66*F$14,'Output - Jobs vs Yr (BAU)'!F16)</f>
        <v>242.07704065998456</v>
      </c>
      <c r="G42" s="330">
        <f>MAX(G66*G$14,'Output - Jobs vs Yr (BAU)'!G16)</f>
        <v>278.24104307452012</v>
      </c>
      <c r="H42" s="286">
        <f>'Output - Jobs vs Yr (BAU)'!H16</f>
        <v>278.90623874711076</v>
      </c>
      <c r="I42" s="118">
        <f>MAX(I66*I$14,'Output - Jobs vs Yr (BAU)'!I16)</f>
        <v>343.13042681730559</v>
      </c>
      <c r="J42" s="118">
        <f>MAX(J66*J$14,'Output - Jobs vs Yr (BAU)'!J16)</f>
        <v>427.09105988441598</v>
      </c>
      <c r="K42" s="118">
        <f>MAX(K66*K$14,'Output - Jobs vs Yr (BAU)'!K16)</f>
        <v>501.00638960149894</v>
      </c>
      <c r="L42" s="118">
        <f>MAX(L66*L$14,'Output - Jobs vs Yr (BAU)'!L16)</f>
        <v>583.07404033180831</v>
      </c>
      <c r="M42" s="118">
        <f>MAX(M66*M$14,'Output - Jobs vs Yr (BAU)'!M16)</f>
        <v>675.94433913512819</v>
      </c>
      <c r="N42" s="184">
        <f>MAX(Inputs!$E23*N$21,'Output - Jobs vs Yr (BAU)'!N16)</f>
        <v>784.80783863856391</v>
      </c>
      <c r="O42" s="174">
        <f>MAX(O66*O$14,'Output - Jobs vs Yr (BAU)'!O16)</f>
        <v>788.18260190643673</v>
      </c>
      <c r="P42" s="174">
        <f>MAX(P66*P$14,'Output - Jobs vs Yr (BAU)'!P16)</f>
        <v>803.90113761807049</v>
      </c>
      <c r="Q42" s="174">
        <f>MAX(Q66*Q$14,'Output - Jobs vs Yr (BAU)'!Q16)</f>
        <v>829.77000327156338</v>
      </c>
      <c r="R42" s="174">
        <f>MAX(R66*R$14,'Output - Jobs vs Yr (BAU)'!R16)</f>
        <v>839.22989657421886</v>
      </c>
      <c r="S42" s="174">
        <f>MAX(S66*S$14,'Output - Jobs vs Yr (BAU)'!S16)</f>
        <v>850.7039725519528</v>
      </c>
      <c r="T42" s="174">
        <f>MAX(T66*T$14,'Output - Jobs vs Yr (BAU)'!T16)</f>
        <v>885.00406063276205</v>
      </c>
      <c r="U42" s="174">
        <f>MAX(U66*U$14,'Output - Jobs vs Yr (BAU)'!U16)</f>
        <v>904.75234951222831</v>
      </c>
      <c r="V42" s="174">
        <f>MAX(V66*V$14,'Output - Jobs vs Yr (BAU)'!V16)</f>
        <v>913.97211439529644</v>
      </c>
      <c r="W42" s="174">
        <f>MAX(W66*W$14,'Output - Jobs vs Yr (BAU)'!W16)</f>
        <v>932.50032531802128</v>
      </c>
      <c r="X42" s="184">
        <f>Inputs!F23*'Output -Jobs vs Yr'!$X$14</f>
        <v>940.70983173971604</v>
      </c>
      <c r="Y42" s="174">
        <f>MAX(Y66*Y$14,'Output - Jobs vs Yr (BAU)'!Y16)</f>
        <v>979.07985402814757</v>
      </c>
      <c r="Z42" s="174">
        <f>MAX(Z66*Z$14,'Output - Jobs vs Yr (BAU)'!Z16)</f>
        <v>1015.7198307376594</v>
      </c>
      <c r="AA42" s="174">
        <f>MAX(AA66*AA$14,'Output - Jobs vs Yr (BAU)'!AA16)</f>
        <v>1055.7734340265883</v>
      </c>
      <c r="AB42" s="174">
        <f>MAX(AB66*AB$14,'Output - Jobs vs Yr (BAU)'!AB16)</f>
        <v>1090.5753584336935</v>
      </c>
      <c r="AC42" s="174">
        <f>MAX(AC66*AC$14,'Output - Jobs vs Yr (BAU)'!AC16)</f>
        <v>1120.5958697351386</v>
      </c>
      <c r="AD42" s="174">
        <f>MAX(AD66*AD$14,'Output - Jobs vs Yr (BAU)'!AD16)</f>
        <v>1153.6649553535567</v>
      </c>
      <c r="AE42" s="174">
        <f>MAX(AE66*AE$14,'Output - Jobs vs Yr (BAU)'!AE16)</f>
        <v>1182.7924279306631</v>
      </c>
      <c r="AF42" s="174">
        <f>MAX(AF66*AF$14,'Output - Jobs vs Yr (BAU)'!AF16)</f>
        <v>1207.8433372038037</v>
      </c>
      <c r="AG42" s="174">
        <f>MAX(AG66*AG$14,'Output - Jobs vs Yr (BAU)'!AG16)</f>
        <v>1223.770855309064</v>
      </c>
      <c r="AH42" s="184">
        <f>Inputs!I23*'Output -Jobs vs Yr'!$AH$14</f>
        <v>1244.9387337716346</v>
      </c>
      <c r="AI42" s="127"/>
    </row>
    <row r="43" spans="1:36">
      <c r="A43" s="10" t="s">
        <v>332</v>
      </c>
      <c r="B43" s="37"/>
      <c r="C43" s="330">
        <f>SUM(C31:C42)</f>
        <v>35306</v>
      </c>
      <c r="D43" s="330">
        <f t="shared" ref="D43:AG43" si="29">SUM(D31:D42)</f>
        <v>36512.918652293956</v>
      </c>
      <c r="E43" s="330">
        <f t="shared" si="29"/>
        <v>35264.82878543641</v>
      </c>
      <c r="F43" s="330">
        <f t="shared" si="29"/>
        <v>39602.359974721934</v>
      </c>
      <c r="G43" s="330">
        <f t="shared" si="29"/>
        <v>35496.210450764593</v>
      </c>
      <c r="H43" s="286">
        <f t="shared" si="29"/>
        <v>32655.411350146605</v>
      </c>
      <c r="I43" s="83">
        <f t="shared" si="29"/>
        <v>34371.104718915114</v>
      </c>
      <c r="J43" s="83">
        <f t="shared" si="29"/>
        <v>36786.295266964946</v>
      </c>
      <c r="K43" s="83">
        <f t="shared" si="29"/>
        <v>37340.927773343275</v>
      </c>
      <c r="L43" s="83">
        <f t="shared" si="29"/>
        <v>37898.199680162295</v>
      </c>
      <c r="M43" s="83">
        <f t="shared" si="29"/>
        <v>38676.148847431628</v>
      </c>
      <c r="N43" s="184">
        <f t="shared" si="29"/>
        <v>39973.879795922352</v>
      </c>
      <c r="O43" s="83">
        <f t="shared" si="29"/>
        <v>39654.756661120715</v>
      </c>
      <c r="P43" s="83">
        <f t="shared" si="29"/>
        <v>39952.505392767678</v>
      </c>
      <c r="Q43" s="83">
        <f t="shared" si="29"/>
        <v>40737.057088469424</v>
      </c>
      <c r="R43" s="83">
        <f t="shared" si="29"/>
        <v>40702.839355976648</v>
      </c>
      <c r="S43" s="83">
        <f t="shared" si="29"/>
        <v>40761.799429139726</v>
      </c>
      <c r="T43" s="83">
        <f t="shared" si="29"/>
        <v>41895.51348739813</v>
      </c>
      <c r="U43" s="83">
        <f t="shared" si="29"/>
        <v>42317.638927998138</v>
      </c>
      <c r="V43" s="83">
        <f t="shared" si="29"/>
        <v>42239.237540741138</v>
      </c>
      <c r="W43" s="83">
        <f t="shared" si="29"/>
        <v>42583.61443264853</v>
      </c>
      <c r="X43" s="184">
        <f t="shared" si="29"/>
        <v>42450.445305078902</v>
      </c>
      <c r="Y43" s="174">
        <f t="shared" si="29"/>
        <v>43426.284178337715</v>
      </c>
      <c r="Z43" s="174">
        <f t="shared" si="29"/>
        <v>44280.673522910998</v>
      </c>
      <c r="AA43" s="174">
        <f t="shared" si="29"/>
        <v>45239.087080542136</v>
      </c>
      <c r="AB43" s="174">
        <f t="shared" si="29"/>
        <v>45930.434864168623</v>
      </c>
      <c r="AC43" s="174">
        <f t="shared" si="29"/>
        <v>46386.845736622206</v>
      </c>
      <c r="AD43" s="174">
        <f t="shared" si="29"/>
        <v>46937.993706286819</v>
      </c>
      <c r="AE43" s="174">
        <f t="shared" si="29"/>
        <v>47299.005407740224</v>
      </c>
      <c r="AF43" s="174">
        <f t="shared" si="29"/>
        <v>47473.664454448728</v>
      </c>
      <c r="AG43" s="174">
        <f t="shared" si="29"/>
        <v>47276.171814367932</v>
      </c>
      <c r="AH43" s="184">
        <f>SUM(AH31:AH42)</f>
        <v>47270.391728572074</v>
      </c>
      <c r="AI43" s="127"/>
    </row>
    <row r="44" spans="1:36">
      <c r="A44" s="10" t="s">
        <v>124</v>
      </c>
      <c r="B44" s="37"/>
      <c r="C44" s="331">
        <f>SUMPRODUCT($B34:$B42,C34:C42)</f>
        <v>946.01</v>
      </c>
      <c r="D44" s="331">
        <f>SUMPRODUCT($B34:$B42,D34:D42)</f>
        <v>1166.9700899774584</v>
      </c>
      <c r="E44" s="331">
        <f t="shared" ref="E44:AG44" si="30">SUMPRODUCT($B34:$B42*E34:E42)</f>
        <v>1514.4283505854755</v>
      </c>
      <c r="F44" s="331">
        <f t="shared" si="30"/>
        <v>1995.0338022529475</v>
      </c>
      <c r="G44" s="331">
        <f t="shared" si="30"/>
        <v>2148.973273776216</v>
      </c>
      <c r="H44" s="402">
        <f t="shared" si="30"/>
        <v>3247.1304105760655</v>
      </c>
      <c r="I44" s="14">
        <f>SUMPRODUCT($B34:$B42*I34:I42)</f>
        <v>4175.2533243218941</v>
      </c>
      <c r="J44" s="14">
        <f t="shared" si="30"/>
        <v>5446.0578579450748</v>
      </c>
      <c r="K44" s="14">
        <f t="shared" si="30"/>
        <v>6713.3864622525625</v>
      </c>
      <c r="L44" s="14">
        <f t="shared" si="30"/>
        <v>8233.0275769511918</v>
      </c>
      <c r="M44" s="14">
        <f t="shared" si="30"/>
        <v>10085.306880385648</v>
      </c>
      <c r="N44" s="182">
        <f t="shared" si="30"/>
        <v>12407.540174774535</v>
      </c>
      <c r="O44" s="14">
        <f t="shared" si="30"/>
        <v>12461.86391266711</v>
      </c>
      <c r="P44" s="14">
        <f t="shared" si="30"/>
        <v>12711.22831983062</v>
      </c>
      <c r="Q44" s="14">
        <f t="shared" si="30"/>
        <v>13120.975393978691</v>
      </c>
      <c r="R44" s="14">
        <f t="shared" si="30"/>
        <v>13271.448655041117</v>
      </c>
      <c r="S44" s="14">
        <f t="shared" si="30"/>
        <v>13453.747481486496</v>
      </c>
      <c r="T44" s="14">
        <f t="shared" si="30"/>
        <v>13996.714061461325</v>
      </c>
      <c r="U44" s="14">
        <f t="shared" si="30"/>
        <v>14309.751527929157</v>
      </c>
      <c r="V44" s="14">
        <f t="shared" si="30"/>
        <v>14456.430583623598</v>
      </c>
      <c r="W44" s="14">
        <f t="shared" si="30"/>
        <v>14750.189922409665</v>
      </c>
      <c r="X44" s="187">
        <f t="shared" si="30"/>
        <v>14880.906152530277</v>
      </c>
      <c r="Y44" s="14">
        <f t="shared" si="30"/>
        <v>15488.180681745089</v>
      </c>
      <c r="Z44" s="14">
        <f t="shared" si="30"/>
        <v>16068.119220352572</v>
      </c>
      <c r="AA44" s="14">
        <f t="shared" si="30"/>
        <v>16701.99556571434</v>
      </c>
      <c r="AB44" s="14">
        <f t="shared" si="30"/>
        <v>17252.891528168566</v>
      </c>
      <c r="AC44" s="14">
        <f t="shared" si="30"/>
        <v>17728.237652318698</v>
      </c>
      <c r="AD44" s="14">
        <f t="shared" si="30"/>
        <v>18251.753489400071</v>
      </c>
      <c r="AE44" s="14">
        <f t="shared" si="30"/>
        <v>18712.988945901918</v>
      </c>
      <c r="AF44" s="14">
        <f t="shared" si="30"/>
        <v>19109.811708573485</v>
      </c>
      <c r="AG44" s="14">
        <f t="shared" si="30"/>
        <v>19362.478191022685</v>
      </c>
      <c r="AH44" s="187">
        <f>SUMPRODUCT($B34:$B42*AH34:AH42)</f>
        <v>19697.946215380351</v>
      </c>
      <c r="AI44" s="127"/>
    </row>
    <row r="45" spans="1:36">
      <c r="A45" s="10" t="s">
        <v>117</v>
      </c>
      <c r="B45" s="37"/>
      <c r="C45" s="332">
        <f t="shared" ref="C45:AG45" si="31">C44/C14</f>
        <v>1.5296961660980223E-2</v>
      </c>
      <c r="D45" s="332">
        <f t="shared" si="31"/>
        <v>1.7743467134629667E-2</v>
      </c>
      <c r="E45" s="332">
        <f t="shared" si="31"/>
        <v>2.3299529930531873E-2</v>
      </c>
      <c r="F45" s="332">
        <f t="shared" si="31"/>
        <v>2.6581637292847286E-2</v>
      </c>
      <c r="G45" s="332">
        <f t="shared" si="31"/>
        <v>3.1119306923555308E-2</v>
      </c>
      <c r="H45" s="284">
        <f t="shared" si="31"/>
        <v>4.7486716225536747E-2</v>
      </c>
      <c r="I45" s="23">
        <f t="shared" si="31"/>
        <v>5.7752782819508124E-2</v>
      </c>
      <c r="J45" s="23">
        <f t="shared" si="31"/>
        <v>7.0425471769059889E-2</v>
      </c>
      <c r="K45" s="23">
        <f t="shared" si="31"/>
        <v>8.6116239623717075E-2</v>
      </c>
      <c r="L45" s="23">
        <f t="shared" si="31"/>
        <v>0.10559448023546315</v>
      </c>
      <c r="M45" s="23">
        <f t="shared" si="31"/>
        <v>0.12983811876827422</v>
      </c>
      <c r="N45" s="178">
        <f t="shared" si="31"/>
        <v>0.16009031864614082</v>
      </c>
      <c r="O45" s="23">
        <f t="shared" si="31"/>
        <v>0.16199966761743387</v>
      </c>
      <c r="P45" s="23">
        <f t="shared" si="31"/>
        <v>0.16392986904153478</v>
      </c>
      <c r="Q45" s="207">
        <f t="shared" si="31"/>
        <v>0.16588108147298453</v>
      </c>
      <c r="R45" s="207">
        <f t="shared" si="31"/>
        <v>0.16785763679876478</v>
      </c>
      <c r="S45" s="207">
        <f t="shared" si="31"/>
        <v>0.1698571306678674</v>
      </c>
      <c r="T45" s="207">
        <f t="shared" si="31"/>
        <v>0.17187592627530549</v>
      </c>
      <c r="U45" s="207">
        <f t="shared" si="31"/>
        <v>0.17392093039377887</v>
      </c>
      <c r="V45" s="207">
        <f t="shared" si="31"/>
        <v>0.17599197245847811</v>
      </c>
      <c r="W45" s="207">
        <f t="shared" si="31"/>
        <v>0.17808551706445463</v>
      </c>
      <c r="X45" s="185">
        <f t="shared" si="31"/>
        <v>0.1802058678229396</v>
      </c>
      <c r="Y45" s="172">
        <f t="shared" si="31"/>
        <v>0.18211816867696617</v>
      </c>
      <c r="Z45" s="172">
        <f t="shared" si="31"/>
        <v>0.18405085759600184</v>
      </c>
      <c r="AA45" s="172">
        <f t="shared" si="31"/>
        <v>0.18600307109074865</v>
      </c>
      <c r="AB45" s="172">
        <f t="shared" si="31"/>
        <v>0.18797688174008928</v>
      </c>
      <c r="AC45" s="172">
        <f t="shared" si="31"/>
        <v>0.18997240740663573</v>
      </c>
      <c r="AD45" s="172">
        <f t="shared" si="31"/>
        <v>0.19198823763631581</v>
      </c>
      <c r="AE45" s="172">
        <f t="shared" si="31"/>
        <v>0.19402607681778752</v>
      </c>
      <c r="AF45" s="172">
        <f t="shared" si="31"/>
        <v>0.19608619802175623</v>
      </c>
      <c r="AG45" s="172">
        <f t="shared" si="31"/>
        <v>0.19816995491464368</v>
      </c>
      <c r="AH45" s="185">
        <f>AH44/AH14</f>
        <v>0.20027451653524317</v>
      </c>
      <c r="AI45" s="127"/>
    </row>
    <row r="46" spans="1:36" s="252" customFormat="1">
      <c r="A46" s="10" t="s">
        <v>333</v>
      </c>
      <c r="B46" s="37"/>
      <c r="C46" s="330">
        <f>SUM(EIA_electricity_aeo2014!E50,EIA_electricity_aeo2014!E55)*1000</f>
        <v>798</v>
      </c>
      <c r="D46" s="330">
        <f>SUM(EIA_electricity_aeo2014!F50,EIA_electricity_aeo2014!F55)*1000</f>
        <v>809.99999999999989</v>
      </c>
      <c r="E46" s="330">
        <f>SUM(EIA_electricity_aeo2014!G50,EIA_electricity_aeo2014!G55)*1000</f>
        <v>622.19244063453516</v>
      </c>
      <c r="F46" s="330">
        <f>SUM(EIA_electricity_aeo2014!H50,EIA_electricity_aeo2014!H55)*1000</f>
        <v>556.03861914739343</v>
      </c>
      <c r="G46" s="330">
        <f>SUM(EIA_electricity_aeo2014!I50,EIA_electricity_aeo2014!I55)*1000</f>
        <v>500.52496676113623</v>
      </c>
      <c r="H46" s="286">
        <f>SUM(EIA_electricity_aeo2014!J50,EIA_electricity_aeo2014!J55)*1000</f>
        <v>500.81000793554176</v>
      </c>
      <c r="I46" s="286">
        <f>SUM(EIA_electricity_aeo2014!K50,EIA_electricity_aeo2014!K55)*1000</f>
        <v>499.26172968470422</v>
      </c>
      <c r="J46" s="286">
        <f>SUM(EIA_electricity_aeo2014!L50,EIA_electricity_aeo2014!L55)*1000</f>
        <v>495.00335297241406</v>
      </c>
      <c r="K46" s="286">
        <f>SUM(EIA_electricity_aeo2014!M50,EIA_electricity_aeo2014!M55)*1000</f>
        <v>498.83572062018874</v>
      </c>
      <c r="L46" s="286">
        <f>SUM(EIA_electricity_aeo2014!N50,EIA_electricity_aeo2014!N55)*1000</f>
        <v>502.69677929296262</v>
      </c>
      <c r="M46" s="286">
        <f>SUM(EIA_electricity_aeo2014!O50,EIA_electricity_aeo2014!O55)*1000</f>
        <v>505.10710019538629</v>
      </c>
      <c r="N46" s="286">
        <f>SUM(EIA_electricity_aeo2014!P50,EIA_electricity_aeo2014!P55)*1000</f>
        <v>506.24472877381777</v>
      </c>
      <c r="O46" s="286">
        <f>SUM(EIA_electricity_aeo2014!Q50,EIA_electricity_aeo2014!Q55)*1000</f>
        <v>507.85018858636022</v>
      </c>
      <c r="P46" s="286">
        <f>SUM(EIA_electricity_aeo2014!R50,EIA_electricity_aeo2014!R55)*1000</f>
        <v>509.01440016213263</v>
      </c>
      <c r="Q46" s="286">
        <f>SUM(EIA_electricity_aeo2014!S50,EIA_electricity_aeo2014!S55)*1000</f>
        <v>509.31804072785678</v>
      </c>
      <c r="R46" s="286">
        <f>SUM(EIA_electricity_aeo2014!T50,EIA_electricity_aeo2014!T55)*1000</f>
        <v>508.38857924037552</v>
      </c>
      <c r="S46" s="286">
        <f>SUM(EIA_electricity_aeo2014!U50,EIA_electricity_aeo2014!U55)*1000</f>
        <v>507.961615930942</v>
      </c>
      <c r="T46" s="286">
        <f>SUM(EIA_electricity_aeo2014!V50,EIA_electricity_aeo2014!V55)*1000</f>
        <v>507.32472029875152</v>
      </c>
      <c r="U46" s="286">
        <f>SUM(EIA_electricity_aeo2014!W50,EIA_electricity_aeo2014!W55)*1000</f>
        <v>506.87751608925311</v>
      </c>
      <c r="V46" s="286">
        <f>SUM(EIA_electricity_aeo2014!X50,EIA_electricity_aeo2014!X55)*1000</f>
        <v>506.4772848229826</v>
      </c>
      <c r="W46" s="286">
        <f>SUM(EIA_electricity_aeo2014!Y50,EIA_electricity_aeo2014!Y55)*1000</f>
        <v>506.65624766947673</v>
      </c>
      <c r="X46" s="286">
        <f>SUM(EIA_electricity_aeo2014!Z50,EIA_electricity_aeo2014!Z55)*1000</f>
        <v>507.52915038185284</v>
      </c>
      <c r="Y46" s="286">
        <f>SUM(EIA_electricity_aeo2014!AA50,EIA_electricity_aeo2014!AA55)*1000</f>
        <v>506.54307302622749</v>
      </c>
      <c r="Z46" s="286">
        <f>SUM(EIA_electricity_aeo2014!AB50,EIA_electricity_aeo2014!AB55)*1000</f>
        <v>506.22969920723216</v>
      </c>
      <c r="AA46" s="286">
        <f>SUM(EIA_electricity_aeo2014!AC50,EIA_electricity_aeo2014!AC55)*1000</f>
        <v>506.29097947884736</v>
      </c>
      <c r="AB46" s="286">
        <f>SUM(EIA_electricity_aeo2014!AD50,EIA_electricity_aeo2014!AD55)*1000</f>
        <v>506.69793507215996</v>
      </c>
      <c r="AC46" s="286">
        <f>SUM(EIA_electricity_aeo2014!AE50,EIA_electricity_aeo2014!AE55)*1000</f>
        <v>506.63248317541962</v>
      </c>
      <c r="AD46" s="286">
        <f>SUM(EIA_electricity_aeo2014!AF50,EIA_electricity_aeo2014!AF55)*1000</f>
        <v>506.56648252845525</v>
      </c>
      <c r="AE46" s="286">
        <f>SUM(EIA_electricity_aeo2014!AG50,EIA_electricity_aeo2014!AG55)*1000</f>
        <v>506.69282689470498</v>
      </c>
      <c r="AF46" s="286">
        <f>SUM(EIA_electricity_aeo2014!AH50,EIA_electricity_aeo2014!AH55)*1000</f>
        <v>506.65050656727749</v>
      </c>
      <c r="AG46" s="286">
        <f>SUM(EIA_electricity_aeo2014!AI50,EIA_electricity_aeo2014!AI55)*1000</f>
        <v>506.82762300195094</v>
      </c>
      <c r="AH46" s="286">
        <f>SUM(EIA_electricity_aeo2014!AJ50,EIA_electricity_aeo2014!AJ55)*1000</f>
        <v>506.8643939390405</v>
      </c>
      <c r="AI46" s="292"/>
    </row>
    <row r="47" spans="1:36" s="252" customFormat="1">
      <c r="A47" s="10" t="s">
        <v>142</v>
      </c>
      <c r="B47" s="37"/>
      <c r="C47" s="330">
        <f>(C$14-C$43-C$46)*0.7</f>
        <v>18017.3</v>
      </c>
      <c r="D47" s="330">
        <f>(D$14-D$30-D$43-D$46)*EIA_electricity_aeo2014!F60</f>
        <v>5829.0852519022128</v>
      </c>
      <c r="E47" s="330">
        <f>(E$14-E$30-E$43-E$46)*EIA_electricity_aeo2014!G60</f>
        <v>7111.8567159525928</v>
      </c>
      <c r="F47" s="330">
        <f>(F$14-F$30-F$43-F$46)*EIA_electricity_aeo2014!H60</f>
        <v>5621.7710753948613</v>
      </c>
      <c r="G47" s="330">
        <f>(G$14-G$30-G$43-G$46)*EIA_electricity_aeo2014!I60</f>
        <v>7075.340298439809</v>
      </c>
      <c r="H47" s="286">
        <f>(H$14-H$30-H$43-H$46)*EIA_electricity_aeo2014!J60</f>
        <v>7770.3320210219044</v>
      </c>
      <c r="I47" s="286">
        <f>(I$14-I$30-I$43-I$46)*EIA_electricity_aeo2014!K60</f>
        <v>7490.6437365548654</v>
      </c>
      <c r="J47" s="286">
        <f>(J$14-J$30-J$43-J$46)*EIA_electricity_aeo2014!L60</f>
        <v>7113.0864990819846</v>
      </c>
      <c r="K47" s="286">
        <f>(K$14-K$30-K$43-K$46)*EIA_electricity_aeo2014!M60</f>
        <v>7061.3484079167183</v>
      </c>
      <c r="L47" s="286">
        <f>(L$14-L$30-L$43-L$46)*EIA_electricity_aeo2014!N60</f>
        <v>6896.5290227839896</v>
      </c>
      <c r="M47" s="286">
        <f>(M$14-M$30-M$43-M$46)*EIA_electricity_aeo2014!O60</f>
        <v>6671.6021367002268</v>
      </c>
      <c r="N47" s="287">
        <f>(N$14-N$43-N$46)*EIA_electricity_aeo2014!P60 - N30</f>
        <v>6394.6153012881005</v>
      </c>
      <c r="O47" s="286">
        <f>(O$14-O$43-O$46)*EIA_electricity_aeo2014!Q60 - O30</f>
        <v>6489.381328570792</v>
      </c>
      <c r="P47" s="286">
        <f>(P$14-P$43-P$46)*EIA_electricity_aeo2014!R60 - P30</f>
        <v>6489.0517213506228</v>
      </c>
      <c r="Q47" s="286">
        <f>(Q$14-Q$43-Q$46)*EIA_electricity_aeo2014!S60 - Q30</f>
        <v>6410.8098103113425</v>
      </c>
      <c r="R47" s="286">
        <f>(R$14-R$43-R$46)*EIA_electricity_aeo2014!T60 - R30</f>
        <v>6458.7281265806614</v>
      </c>
      <c r="S47" s="286">
        <f>(S$14-S$43-S$46)*EIA_electricity_aeo2014!U60 - S30</f>
        <v>6481.7577320270639</v>
      </c>
      <c r="T47" s="286">
        <f>(T$14-T$43-T$46)*EIA_electricity_aeo2014!V60 - T30</f>
        <v>6375.6758379347175</v>
      </c>
      <c r="U47" s="286">
        <f>(U$14-U$43-U$46)*EIA_electricity_aeo2014!W60 - U30</f>
        <v>6353.8416394323804</v>
      </c>
      <c r="V47" s="286">
        <f>(V$14-V$43-V$46)*EIA_electricity_aeo2014!X60 - V30</f>
        <v>6377.0727272855638</v>
      </c>
      <c r="W47" s="286">
        <f>(W$14-W$43-W$46)*EIA_electricity_aeo2014!Y60 - W30</f>
        <v>6358.0309543137737</v>
      </c>
      <c r="X47" s="287">
        <f>(X$14-X$43-X$46)*EIA_electricity_aeo2014!Z60 - X30</f>
        <v>6361.0790441364361</v>
      </c>
      <c r="Y47" s="286">
        <f>(Y$14-Y$43-Y$46)*EIA_electricity_aeo2014!AA60 - Y30</f>
        <v>6282.249904406126</v>
      </c>
      <c r="Z47" s="286">
        <f>(Z$14-Z$43-Z$46)*EIA_electricity_aeo2014!AB60 - Z30</f>
        <v>6229.8451059613799</v>
      </c>
      <c r="AA47" s="286">
        <f>(AA$14-AA$43-AA$46)*EIA_electricity_aeo2014!AC60 - AA30</f>
        <v>6178.4898590067778</v>
      </c>
      <c r="AB47" s="286">
        <f>(AB$14-AB$43-AB$46)*EIA_electricity_aeo2014!AD60 - AB30</f>
        <v>6159.8826894113872</v>
      </c>
      <c r="AC47" s="286">
        <f>(AC$14-AC$43-AC$46)*EIA_electricity_aeo2014!AE60 - AC30</f>
        <v>6156.7115270063387</v>
      </c>
      <c r="AD47" s="286">
        <f>(AD$14-AD$43-AD$46)*EIA_electricity_aeo2014!AF60 - AD30</f>
        <v>6148.3445967320849</v>
      </c>
      <c r="AE47" s="286">
        <f>(AE$14-AE$43-AE$46)*EIA_electricity_aeo2014!AG60 - AE30</f>
        <v>6151.8222450338617</v>
      </c>
      <c r="AF47" s="286">
        <f>(AF$14-AF$43-AF$46)*EIA_electricity_aeo2014!AH60 - AF30</f>
        <v>6169.0784351712418</v>
      </c>
      <c r="AG47" s="286">
        <f>(AG$14-AG$43-AG$46)*EIA_electricity_aeo2014!AI60 - AG30</f>
        <v>6214.9415052336099</v>
      </c>
      <c r="AH47" s="287">
        <f>(AH$14-AH$43-AH$46)*EIA_electricity_aeo2014!AJ60 - AH30</f>
        <v>6247.0336575037991</v>
      </c>
      <c r="AI47" s="292"/>
      <c r="AJ47" s="398"/>
    </row>
    <row r="48" spans="1:36" s="252" customFormat="1">
      <c r="A48" s="10" t="s">
        <v>222</v>
      </c>
      <c r="B48" s="37"/>
      <c r="C48" s="330">
        <f>(C$14-C$43-C$46)* 0.3</f>
        <v>7721.7</v>
      </c>
      <c r="D48" s="330">
        <f t="shared" ref="D48:AH48" si="32">(D$14-SUM(D30:D42,D46:D47))</f>
        <v>22616.996095803814</v>
      </c>
      <c r="E48" s="330">
        <f t="shared" si="32"/>
        <v>21999.358292818164</v>
      </c>
      <c r="F48" s="330">
        <f>(F$14-SUM(F30:F42,F46:F47))</f>
        <v>29272.91228629242</v>
      </c>
      <c r="G48" s="330">
        <f t="shared" si="32"/>
        <v>25983.873346626919</v>
      </c>
      <c r="H48" s="286">
        <f t="shared" si="32"/>
        <v>27453.209819385316</v>
      </c>
      <c r="I48" s="286">
        <f t="shared" si="32"/>
        <v>29934.264959778229</v>
      </c>
      <c r="J48" s="286">
        <f t="shared" si="32"/>
        <v>32936.411837568427</v>
      </c>
      <c r="K48" s="286">
        <f t="shared" si="32"/>
        <v>33056.152507092498</v>
      </c>
      <c r="L48" s="286">
        <f t="shared" si="32"/>
        <v>32670.926259182444</v>
      </c>
      <c r="M48" s="286">
        <f t="shared" si="32"/>
        <v>31823.150903335169</v>
      </c>
      <c r="N48" s="287">
        <f t="shared" si="32"/>
        <v>30628.636266356552</v>
      </c>
      <c r="O48" s="286">
        <f t="shared" si="32"/>
        <v>30273.255533308649</v>
      </c>
      <c r="P48" s="286">
        <f t="shared" si="32"/>
        <v>30590.076777276401</v>
      </c>
      <c r="Q48" s="286">
        <f t="shared" si="32"/>
        <v>31441.499958537323</v>
      </c>
      <c r="R48" s="286">
        <f t="shared" si="32"/>
        <v>31393.760717150668</v>
      </c>
      <c r="S48" s="286">
        <f t="shared" si="32"/>
        <v>31454.737849204728</v>
      </c>
      <c r="T48" s="286">
        <f t="shared" si="32"/>
        <v>32656.474348507007</v>
      </c>
      <c r="U48" s="286">
        <f t="shared" si="32"/>
        <v>33098.981944101273</v>
      </c>
      <c r="V48" s="286">
        <f t="shared" si="32"/>
        <v>33019.769188107988</v>
      </c>
      <c r="W48" s="286">
        <f t="shared" si="32"/>
        <v>33378.141332491243</v>
      </c>
      <c r="X48" s="287">
        <f t="shared" si="32"/>
        <v>33258.2029033488</v>
      </c>
      <c r="Y48" s="286">
        <f t="shared" si="32"/>
        <v>34829.599024877207</v>
      </c>
      <c r="Z48" s="286">
        <f t="shared" si="32"/>
        <v>36285.856127166473</v>
      </c>
      <c r="AA48" s="286">
        <f t="shared" si="32"/>
        <v>37870.324551942991</v>
      </c>
      <c r="AB48" s="286">
        <f t="shared" si="32"/>
        <v>39184.970511220345</v>
      </c>
      <c r="AC48" s="286">
        <f t="shared" si="32"/>
        <v>40269.876542462058</v>
      </c>
      <c r="AD48" s="286">
        <f t="shared" si="32"/>
        <v>41474.135331641752</v>
      </c>
      <c r="AE48" s="286">
        <f t="shared" si="32"/>
        <v>42488.221519616884</v>
      </c>
      <c r="AF48" s="286">
        <f t="shared" si="32"/>
        <v>43306.78608694602</v>
      </c>
      <c r="AG48" s="286">
        <f t="shared" si="32"/>
        <v>43708.485843245791</v>
      </c>
      <c r="AH48" s="287">
        <f t="shared" si="32"/>
        <v>44330.44129688682</v>
      </c>
      <c r="AI48" s="292"/>
    </row>
    <row r="49" spans="1:35" s="252" customFormat="1">
      <c r="A49" s="10" t="s">
        <v>334</v>
      </c>
      <c r="B49" s="37"/>
      <c r="C49" s="330">
        <f>SUM(C43,C46:C48)</f>
        <v>61843</v>
      </c>
      <c r="D49" s="330">
        <f t="shared" ref="D49:M49" si="33">SUM(D43,D46:D48)+D30</f>
        <v>65768.999999999985</v>
      </c>
      <c r="E49" s="330">
        <f t="shared" si="33"/>
        <v>64998.236234841701</v>
      </c>
      <c r="F49" s="330">
        <f t="shared" si="33"/>
        <v>75053.081955556612</v>
      </c>
      <c r="G49" s="330">
        <f t="shared" si="33"/>
        <v>69055.949062592452</v>
      </c>
      <c r="H49" s="286">
        <f>SUM(H43,H46:H48)+H30</f>
        <v>68379.763198489367</v>
      </c>
      <c r="I49" s="286">
        <f t="shared" si="33"/>
        <v>72295.275144932908</v>
      </c>
      <c r="J49" s="286">
        <f t="shared" si="33"/>
        <v>77330.796956587772</v>
      </c>
      <c r="K49" s="286">
        <f t="shared" si="33"/>
        <v>77957.264408972682</v>
      </c>
      <c r="L49" s="286">
        <f t="shared" si="33"/>
        <v>77968.351741421691</v>
      </c>
      <c r="M49" s="286">
        <f t="shared" si="33"/>
        <v>77676.008987662412</v>
      </c>
      <c r="N49" s="287">
        <f t="shared" ref="N49:AH49" si="34">SUM(N43,N46:N48)+N30</f>
        <v>77503.376092340826</v>
      </c>
      <c r="O49" s="286">
        <f t="shared" si="34"/>
        <v>76925.243711586518</v>
      </c>
      <c r="P49" s="286">
        <f t="shared" si="34"/>
        <v>77540.648291556834</v>
      </c>
      <c r="Q49" s="286">
        <f t="shared" si="34"/>
        <v>79098.684898045947</v>
      </c>
      <c r="R49" s="286">
        <f t="shared" si="34"/>
        <v>79063.71677894835</v>
      </c>
      <c r="S49" s="286">
        <f t="shared" si="34"/>
        <v>79206.256626302464</v>
      </c>
      <c r="T49" s="286">
        <f t="shared" si="34"/>
        <v>81434.988394138607</v>
      </c>
      <c r="U49" s="286">
        <f t="shared" si="34"/>
        <v>82277.340027621045</v>
      </c>
      <c r="V49" s="286">
        <f t="shared" si="34"/>
        <v>82142.556740957676</v>
      </c>
      <c r="W49" s="286">
        <f t="shared" si="34"/>
        <v>82826.442967123017</v>
      </c>
      <c r="X49" s="287">
        <f t="shared" si="34"/>
        <v>82577.25640294599</v>
      </c>
      <c r="Y49" s="286">
        <f t="shared" si="34"/>
        <v>85044.676180647279</v>
      </c>
      <c r="Z49" s="286">
        <f t="shared" si="34"/>
        <v>87302.604455246081</v>
      </c>
      <c r="AA49" s="286">
        <f t="shared" si="34"/>
        <v>89794.192470970753</v>
      </c>
      <c r="AB49" s="286">
        <f t="shared" si="34"/>
        <v>91781.985999872515</v>
      </c>
      <c r="AC49" s="286">
        <f t="shared" si="34"/>
        <v>93320.066289266018</v>
      </c>
      <c r="AD49" s="286">
        <f t="shared" si="34"/>
        <v>95067.040117189114</v>
      </c>
      <c r="AE49" s="286">
        <f t="shared" si="34"/>
        <v>96445.741999285674</v>
      </c>
      <c r="AF49" s="286">
        <f t="shared" si="34"/>
        <v>97456.179483133266</v>
      </c>
      <c r="AG49" s="286">
        <f t="shared" si="34"/>
        <v>97706.426785849282</v>
      </c>
      <c r="AH49" s="287">
        <f t="shared" si="34"/>
        <v>98354.731076901735</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542</v>
      </c>
      <c r="B51" s="37"/>
      <c r="C51" s="332"/>
      <c r="D51" s="332">
        <f>D44/C44-1</f>
        <v>0.233570564769356</v>
      </c>
      <c r="E51" s="332">
        <f t="shared" ref="E51:X51" si="36">E44/D44-1</f>
        <v>0.29774392985061748</v>
      </c>
      <c r="F51" s="332">
        <f t="shared" si="36"/>
        <v>0.31735106615091468</v>
      </c>
      <c r="G51" s="332">
        <f>G44/F44-1</f>
        <v>7.7161334985616836E-2</v>
      </c>
      <c r="H51" s="284"/>
      <c r="I51" s="164">
        <f t="shared" ref="I51:N51" si="37">I44/H44-1</f>
        <v>0.28582865373157973</v>
      </c>
      <c r="J51" s="172">
        <f t="shared" si="37"/>
        <v>0.30436585158089136</v>
      </c>
      <c r="K51" s="172">
        <f t="shared" si="37"/>
        <v>0.23270568131380087</v>
      </c>
      <c r="L51" s="172">
        <f t="shared" si="37"/>
        <v>0.22635984435621781</v>
      </c>
      <c r="M51" s="172">
        <f t="shared" si="37"/>
        <v>0.22498154975455353</v>
      </c>
      <c r="N51" s="172">
        <f t="shared" si="37"/>
        <v>0.23025906121957163</v>
      </c>
      <c r="O51" s="172">
        <f t="shared" ref="O51:R51" si="38">O44/N44-1</f>
        <v>4.3782842632271723E-3</v>
      </c>
      <c r="P51" s="172">
        <f t="shared" si="38"/>
        <v>2.0010201436242436E-2</v>
      </c>
      <c r="Q51" s="172">
        <f t="shared" si="38"/>
        <v>3.2235049504132585E-2</v>
      </c>
      <c r="R51" s="172">
        <f t="shared" si="38"/>
        <v>1.1468145968132726E-2</v>
      </c>
      <c r="S51" s="164">
        <f t="shared" si="36"/>
        <v>1.3736166351073775E-2</v>
      </c>
      <c r="T51" s="164">
        <f t="shared" si="36"/>
        <v>4.0358017773263422E-2</v>
      </c>
      <c r="U51" s="164">
        <f t="shared" si="36"/>
        <v>2.2365068336271277E-2</v>
      </c>
      <c r="V51" s="164">
        <f t="shared" si="36"/>
        <v>1.025028669492678E-2</v>
      </c>
      <c r="W51" s="164">
        <f t="shared" si="36"/>
        <v>2.0320322993065965E-2</v>
      </c>
      <c r="X51" s="185">
        <f t="shared" si="36"/>
        <v>8.8620031883126504E-3</v>
      </c>
      <c r="Y51" s="172">
        <f t="shared" ref="Y51:AH51" si="39">Y44/X44-1</f>
        <v>4.0808975138355574E-2</v>
      </c>
      <c r="Z51" s="172">
        <f t="shared" si="39"/>
        <v>3.7443941966083694E-2</v>
      </c>
      <c r="AA51" s="172">
        <f t="shared" si="39"/>
        <v>3.9449318035857717E-2</v>
      </c>
      <c r="AB51" s="172">
        <f t="shared" si="39"/>
        <v>3.298384078038552E-2</v>
      </c>
      <c r="AC51" s="172">
        <f t="shared" si="39"/>
        <v>2.755167870696007E-2</v>
      </c>
      <c r="AD51" s="172">
        <f t="shared" si="39"/>
        <v>2.9530055234390451E-2</v>
      </c>
      <c r="AE51" s="172">
        <f t="shared" si="39"/>
        <v>2.5270747644587477E-2</v>
      </c>
      <c r="AF51" s="172">
        <f t="shared" si="39"/>
        <v>2.1205739169662063E-2</v>
      </c>
      <c r="AG51" s="172">
        <f t="shared" si="39"/>
        <v>1.3221819571139104E-2</v>
      </c>
      <c r="AH51" s="185">
        <f t="shared" si="39"/>
        <v>1.7325676034238402E-2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541</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5.1727762236631464E-4</v>
      </c>
      <c r="D56" s="336">
        <f t="shared" si="40"/>
        <v>5.2713593665257644E-4</v>
      </c>
      <c r="E56" s="336">
        <f t="shared" si="40"/>
        <v>5.3699425093883823E-4</v>
      </c>
      <c r="F56" s="336">
        <f t="shared" si="40"/>
        <v>5.4685256522510003E-4</v>
      </c>
      <c r="G56" s="336">
        <f t="shared" si="40"/>
        <v>5.5671087951136183E-4</v>
      </c>
      <c r="H56" s="396">
        <f t="shared" si="40"/>
        <v>5.9601814431911658E-4</v>
      </c>
      <c r="I56" s="173">
        <f t="shared" si="40"/>
        <v>6.0096830018512948E-4</v>
      </c>
      <c r="J56" s="173">
        <f t="shared" si="40"/>
        <v>6.0591845605114237E-4</v>
      </c>
      <c r="K56" s="173">
        <f t="shared" si="40"/>
        <v>6.1086861191715527E-4</v>
      </c>
      <c r="L56" s="173">
        <f t="shared" si="40"/>
        <v>6.1581876778316817E-4</v>
      </c>
      <c r="M56" s="173">
        <f t="shared" si="40"/>
        <v>6.2076892364918107E-4</v>
      </c>
      <c r="N56" s="178">
        <f>N26</f>
        <v>6.2571907951519429E-4</v>
      </c>
      <c r="O56" s="116">
        <f t="shared" ref="O56:AH56" si="41">O31/O$49</f>
        <v>6.2188122492174238E-4</v>
      </c>
      <c r="P56" s="116">
        <f t="shared" si="41"/>
        <v>6.1804337032829047E-4</v>
      </c>
      <c r="Q56" s="116">
        <f t="shared" si="41"/>
        <v>6.1420551573483856E-4</v>
      </c>
      <c r="R56" s="116">
        <f t="shared" si="41"/>
        <v>6.1036766114138665E-4</v>
      </c>
      <c r="S56" s="116">
        <f t="shared" si="41"/>
        <v>6.0652980654793474E-4</v>
      </c>
      <c r="T56" s="116">
        <f t="shared" si="41"/>
        <v>6.0269195195448283E-4</v>
      </c>
      <c r="U56" s="116">
        <f t="shared" si="41"/>
        <v>5.9885409736103092E-4</v>
      </c>
      <c r="V56" s="116">
        <f t="shared" si="41"/>
        <v>5.9501624276757901E-4</v>
      </c>
      <c r="W56" s="116">
        <f t="shared" si="41"/>
        <v>5.911783881741271E-4</v>
      </c>
      <c r="X56" s="178">
        <f t="shared" si="41"/>
        <v>5.8734053358067487E-4</v>
      </c>
      <c r="Y56" s="173">
        <f t="shared" si="41"/>
        <v>5.7792396830170915E-4</v>
      </c>
      <c r="Z56" s="173">
        <f t="shared" si="41"/>
        <v>5.6850740302274343E-4</v>
      </c>
      <c r="AA56" s="173">
        <f t="shared" si="41"/>
        <v>5.5909083774377771E-4</v>
      </c>
      <c r="AB56" s="173">
        <f t="shared" si="41"/>
        <v>5.4967427246481199E-4</v>
      </c>
      <c r="AC56" s="173">
        <f t="shared" si="41"/>
        <v>5.4025770718584627E-4</v>
      </c>
      <c r="AD56" s="173">
        <f t="shared" si="41"/>
        <v>5.3084114190688056E-4</v>
      </c>
      <c r="AE56" s="173">
        <f t="shared" si="41"/>
        <v>5.2142457662791484E-4</v>
      </c>
      <c r="AF56" s="173">
        <f t="shared" si="41"/>
        <v>5.1200801134894912E-4</v>
      </c>
      <c r="AG56" s="173">
        <f t="shared" si="41"/>
        <v>5.025914460699834E-4</v>
      </c>
      <c r="AH56" s="178">
        <f t="shared" si="41"/>
        <v>4.9317488079101736E-4</v>
      </c>
      <c r="AI56" s="127"/>
    </row>
    <row r="57" spans="1:35">
      <c r="A57" s="9" t="s">
        <v>59</v>
      </c>
      <c r="B57" s="37"/>
      <c r="C57" s="336">
        <f t="shared" ref="C57:M57" si="42">C32/C$49</f>
        <v>0.55508303284122695</v>
      </c>
      <c r="D57" s="336">
        <f t="shared" si="42"/>
        <v>0.53689852907751068</v>
      </c>
      <c r="E57" s="336">
        <f t="shared" si="42"/>
        <v>0.5187140253137944</v>
      </c>
      <c r="F57" s="336">
        <f t="shared" si="42"/>
        <v>0.50052952155007813</v>
      </c>
      <c r="G57" s="336">
        <f t="shared" si="42"/>
        <v>0.4823450177863618</v>
      </c>
      <c r="H57" s="396">
        <f t="shared" si="42"/>
        <v>0.4294768508447947</v>
      </c>
      <c r="I57" s="116">
        <f t="shared" si="42"/>
        <v>0.41707295761072022</v>
      </c>
      <c r="J57" s="116">
        <f t="shared" si="42"/>
        <v>0.40466906437664574</v>
      </c>
      <c r="K57" s="116">
        <f t="shared" si="42"/>
        <v>0.39226517114257126</v>
      </c>
      <c r="L57" s="116">
        <f t="shared" si="42"/>
        <v>0.37986127790849677</v>
      </c>
      <c r="M57" s="116">
        <f t="shared" si="42"/>
        <v>0.36745738467442229</v>
      </c>
      <c r="N57" s="178">
        <f>N18</f>
        <v>0.35505349144034792</v>
      </c>
      <c r="O57" s="116">
        <f t="shared" ref="O57:AH57" si="43">O32/O$49</f>
        <v>0.35287576709462193</v>
      </c>
      <c r="P57" s="116">
        <f t="shared" si="43"/>
        <v>0.35069804274889593</v>
      </c>
      <c r="Q57" s="116">
        <f t="shared" si="43"/>
        <v>0.34852031840316994</v>
      </c>
      <c r="R57" s="116">
        <f t="shared" si="43"/>
        <v>0.34634259405744394</v>
      </c>
      <c r="S57" s="116">
        <f t="shared" si="43"/>
        <v>0.34416486971171795</v>
      </c>
      <c r="T57" s="116">
        <f t="shared" si="43"/>
        <v>0.34198714536599195</v>
      </c>
      <c r="U57" s="116">
        <f t="shared" si="43"/>
        <v>0.33980942102026596</v>
      </c>
      <c r="V57" s="116">
        <f t="shared" si="43"/>
        <v>0.33763169667453996</v>
      </c>
      <c r="W57" s="116">
        <f>W32/W$49</f>
        <v>0.33545397232881397</v>
      </c>
      <c r="X57" s="178">
        <f t="shared" si="43"/>
        <v>0.33327624798308814</v>
      </c>
      <c r="Y57" s="173">
        <f t="shared" si="43"/>
        <v>0.32793298055025999</v>
      </c>
      <c r="Z57" s="173">
        <f t="shared" si="43"/>
        <v>0.32258971311743184</v>
      </c>
      <c r="AA57" s="173">
        <f t="shared" si="43"/>
        <v>0.3172464456846037</v>
      </c>
      <c r="AB57" s="173">
        <f t="shared" si="43"/>
        <v>0.31190317825177555</v>
      </c>
      <c r="AC57" s="173">
        <f t="shared" si="43"/>
        <v>0.3065599108189474</v>
      </c>
      <c r="AD57" s="173">
        <f t="shared" si="43"/>
        <v>0.30121664338611925</v>
      </c>
      <c r="AE57" s="173">
        <f t="shared" si="43"/>
        <v>0.29587337595329111</v>
      </c>
      <c r="AF57" s="173">
        <f t="shared" si="43"/>
        <v>0.29053010852046296</v>
      </c>
      <c r="AG57" s="173">
        <f t="shared" si="43"/>
        <v>0.28518684108763481</v>
      </c>
      <c r="AH57" s="178">
        <f t="shared" si="43"/>
        <v>0.27984357365480661</v>
      </c>
      <c r="AI57" s="127"/>
    </row>
    <row r="58" spans="1:35">
      <c r="A58" s="9" t="s">
        <v>121</v>
      </c>
      <c r="B58" s="37"/>
      <c r="C58" s="336">
        <f>C34/C$49</f>
        <v>0</v>
      </c>
      <c r="D58" s="336">
        <f t="shared" ref="D58:G59" si="44">C58*($N71)</f>
        <v>0</v>
      </c>
      <c r="E58" s="336">
        <f t="shared" si="44"/>
        <v>0</v>
      </c>
      <c r="F58" s="336">
        <f t="shared" si="44"/>
        <v>0</v>
      </c>
      <c r="G58" s="336">
        <f t="shared" si="44"/>
        <v>0</v>
      </c>
      <c r="H58" s="396">
        <f>H34/H$49</f>
        <v>2.4347393470306429E-5</v>
      </c>
      <c r="I58" s="116">
        <f t="shared" ref="I58:N59" si="45">H58*($N71)</f>
        <v>3.7726499723139887E-5</v>
      </c>
      <c r="J58" s="116">
        <f t="shared" si="45"/>
        <v>5.8457542204502799E-5</v>
      </c>
      <c r="K58" s="116">
        <f t="shared" si="45"/>
        <v>9.0580474352758574E-5</v>
      </c>
      <c r="L58" s="116">
        <f t="shared" si="45"/>
        <v>1.40355239453409E-4</v>
      </c>
      <c r="M58" s="116">
        <f t="shared" si="45"/>
        <v>2.1748167453070796E-4</v>
      </c>
      <c r="N58" s="178">
        <f t="shared" si="45"/>
        <v>3.369897621269883E-4</v>
      </c>
      <c r="O58" s="116">
        <f t="shared" ref="O58:W58" si="46">N58*$X71</f>
        <v>3.4098239691857535E-4</v>
      </c>
      <c r="P58" s="116">
        <f t="shared" si="46"/>
        <v>3.4502233621127952E-4</v>
      </c>
      <c r="Q58" s="116">
        <f t="shared" si="46"/>
        <v>3.491101404660352E-4</v>
      </c>
      <c r="R58" s="116">
        <f t="shared" si="46"/>
        <v>3.5324637678408477E-4</v>
      </c>
      <c r="S58" s="116">
        <f t="shared" si="46"/>
        <v>3.5743161898565268E-4</v>
      </c>
      <c r="T58" s="116">
        <f t="shared" si="46"/>
        <v>3.6166644768955146E-4</v>
      </c>
      <c r="U58" s="116">
        <f t="shared" si="46"/>
        <v>3.6595145039373109E-4</v>
      </c>
      <c r="V58" s="116">
        <f t="shared" si="46"/>
        <v>3.7028722155678248E-4</v>
      </c>
      <c r="W58" s="116">
        <f t="shared" si="46"/>
        <v>3.7467436268040689E-4</v>
      </c>
      <c r="X58" s="178">
        <f t="shared" ref="X58:X66" si="47">X34/X$49</f>
        <v>3.7911348239286165E-4</v>
      </c>
      <c r="Y58" s="173">
        <f>X58*$AH71</f>
        <v>3.8312895807618023E-4</v>
      </c>
      <c r="Z58" s="173">
        <f t="shared" ref="Z58:AG58" si="48">Y58*$AH71</f>
        <v>3.871869646788994E-4</v>
      </c>
      <c r="AA58" s="173">
        <f t="shared" si="48"/>
        <v>3.9128795267793587E-4</v>
      </c>
      <c r="AB58" s="173">
        <f t="shared" si="48"/>
        <v>3.9543237732154584E-4</v>
      </c>
      <c r="AC58" s="173">
        <f t="shared" si="48"/>
        <v>3.9962069867986169E-4</v>
      </c>
      <c r="AD58" s="173">
        <f t="shared" si="48"/>
        <v>4.0385338169596425E-4</v>
      </c>
      <c r="AE58" s="173">
        <f t="shared" si="48"/>
        <v>4.0813089623749577E-4</v>
      </c>
      <c r="AF58" s="173">
        <f t="shared" si="48"/>
        <v>4.1245371714881962E-4</v>
      </c>
      <c r="AG58" s="173">
        <f t="shared" si="48"/>
        <v>4.1682232430373265E-4</v>
      </c>
      <c r="AH58" s="178">
        <f t="shared" ref="AH58:AH66" si="49">AH34/AH$49</f>
        <v>4.2123720265873515E-4</v>
      </c>
      <c r="AI58" s="127"/>
    </row>
    <row r="59" spans="1:35">
      <c r="A59" s="9" t="s">
        <v>50</v>
      </c>
      <c r="B59" s="37"/>
      <c r="C59" s="336">
        <f t="shared" ref="C59:C65" si="50">C35/C$49</f>
        <v>0</v>
      </c>
      <c r="D59" s="336">
        <f t="shared" si="44"/>
        <v>0</v>
      </c>
      <c r="E59" s="336">
        <f t="shared" si="44"/>
        <v>0</v>
      </c>
      <c r="F59" s="336">
        <f t="shared" si="44"/>
        <v>0</v>
      </c>
      <c r="G59" s="336">
        <f t="shared" si="44"/>
        <v>0</v>
      </c>
      <c r="H59" s="396">
        <f>H35/H$49</f>
        <v>1.4624209754825412E-13</v>
      </c>
      <c r="I59" s="116">
        <f t="shared" si="45"/>
        <v>1.6979932708566219E-13</v>
      </c>
      <c r="J59" s="116">
        <f t="shared" si="45"/>
        <v>1.9715124414999813E-13</v>
      </c>
      <c r="K59" s="116">
        <f t="shared" si="45"/>
        <v>2.2890911134343492E-13</v>
      </c>
      <c r="L59" s="116">
        <f t="shared" si="45"/>
        <v>2.6578265575729356E-13</v>
      </c>
      <c r="M59" s="116">
        <f t="shared" si="45"/>
        <v>3.0859593000392803E-13</v>
      </c>
      <c r="N59" s="178">
        <f t="shared" si="45"/>
        <v>3.5830572820354522E-13</v>
      </c>
      <c r="O59" s="116">
        <f t="shared" ref="O59:V59" si="51">N59*$X72</f>
        <v>3.6255091330181335E-13</v>
      </c>
      <c r="P59" s="116">
        <f t="shared" si="51"/>
        <v>3.6684639510231089E-13</v>
      </c>
      <c r="Q59" s="116">
        <f t="shared" si="51"/>
        <v>3.7119276951739429E-13</v>
      </c>
      <c r="R59" s="116">
        <f t="shared" si="51"/>
        <v>3.7559063951975426E-13</v>
      </c>
      <c r="S59" s="116">
        <f t="shared" si="51"/>
        <v>3.8004061522606637E-13</v>
      </c>
      <c r="T59" s="116">
        <f t="shared" si="51"/>
        <v>3.8454331398163258E-13</v>
      </c>
      <c r="U59" s="116">
        <f t="shared" si="51"/>
        <v>3.8909936044602543E-13</v>
      </c>
      <c r="V59" s="116">
        <f t="shared" si="51"/>
        <v>3.9370938667974717E-13</v>
      </c>
      <c r="W59" s="116">
        <f>V59*$X72</f>
        <v>3.9837403223191559E-13</v>
      </c>
      <c r="X59" s="178">
        <f t="shared" si="47"/>
        <v>4.0309394422898832E-13</v>
      </c>
      <c r="Y59" s="173">
        <f>X59*$AH72</f>
        <v>4.0736341499781519E-13</v>
      </c>
      <c r="Z59" s="173">
        <f t="shared" ref="Z59:AG59" si="52">Y59*$AH72</f>
        <v>4.1167810693879516E-13</v>
      </c>
      <c r="AA59" s="173">
        <f t="shared" si="52"/>
        <v>4.1603849902333285E-13</v>
      </c>
      <c r="AB59" s="173">
        <f t="shared" si="52"/>
        <v>4.2044507529597877E-13</v>
      </c>
      <c r="AC59" s="173">
        <f t="shared" si="52"/>
        <v>4.248983249281629E-13</v>
      </c>
      <c r="AD59" s="173">
        <f t="shared" si="52"/>
        <v>4.2939874227249725E-13</v>
      </c>
      <c r="AE59" s="173">
        <f t="shared" si="52"/>
        <v>4.3394682691765378E-13</v>
      </c>
      <c r="AF59" s="173">
        <f t="shared" si="52"/>
        <v>4.3854308374382331E-13</v>
      </c>
      <c r="AG59" s="173">
        <f t="shared" si="52"/>
        <v>4.4318802297876203E-13</v>
      </c>
      <c r="AH59" s="178">
        <f t="shared" si="49"/>
        <v>4.4788216025443157E-13</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1.4957230406028168E-2</v>
      </c>
      <c r="D61" s="336">
        <f t="shared" ref="D61:M61" si="56">C61*($N74)</f>
        <v>1.7348142636388692E-2</v>
      </c>
      <c r="E61" s="336">
        <f t="shared" si="56"/>
        <v>2.0121242018923034E-2</v>
      </c>
      <c r="F61" s="336">
        <f t="shared" si="56"/>
        <v>2.3337621143075478E-2</v>
      </c>
      <c r="G61" s="336">
        <f t="shared" si="56"/>
        <v>2.7068138244424091E-2</v>
      </c>
      <c r="H61" s="396">
        <f t="shared" si="53"/>
        <v>2.2868522558505553E-2</v>
      </c>
      <c r="I61" s="116">
        <f t="shared" si="56"/>
        <v>2.6524054284042812E-2</v>
      </c>
      <c r="J61" s="116">
        <f t="shared" si="56"/>
        <v>3.0763922499277754E-2</v>
      </c>
      <c r="K61" s="116">
        <f t="shared" si="56"/>
        <v>3.5681533351066351E-2</v>
      </c>
      <c r="L61" s="116">
        <f t="shared" si="56"/>
        <v>4.1385223952282113E-2</v>
      </c>
      <c r="M61" s="116">
        <f t="shared" si="56"/>
        <v>4.8000649095685785E-2</v>
      </c>
      <c r="N61" s="178">
        <f>M61*($N74)</f>
        <v>5.5673549483839561E-2</v>
      </c>
      <c r="O61" s="116">
        <f t="shared" ref="O61:W61" si="57">N61*$X74</f>
        <v>5.6333166408808803E-2</v>
      </c>
      <c r="P61" s="116">
        <f t="shared" si="57"/>
        <v>5.7000598436133469E-2</v>
      </c>
      <c r="Q61" s="116">
        <f t="shared" si="57"/>
        <v>5.7675938158684534E-2</v>
      </c>
      <c r="R61" s="116">
        <f t="shared" si="57"/>
        <v>5.8359279266367831E-2</v>
      </c>
      <c r="S61" s="116">
        <f t="shared" si="57"/>
        <v>5.9050716559121669E-2</v>
      </c>
      <c r="T61" s="116">
        <f t="shared" si="57"/>
        <v>5.9750345960068424E-2</v>
      </c>
      <c r="U61" s="116">
        <f t="shared" si="57"/>
        <v>6.0458264528821956E-2</v>
      </c>
      <c r="V61" s="116">
        <f t="shared" si="57"/>
        <v>6.11745704749527E-2</v>
      </c>
      <c r="W61" s="116">
        <f t="shared" si="57"/>
        <v>6.1899363171612279E-2</v>
      </c>
      <c r="X61" s="178">
        <f t="shared" si="47"/>
        <v>6.2632743169319494E-2</v>
      </c>
      <c r="Y61" s="173">
        <f t="shared" si="55"/>
        <v>6.3296133602148572E-2</v>
      </c>
      <c r="Z61" s="173">
        <f t="shared" si="55"/>
        <v>6.3966550501392813E-2</v>
      </c>
      <c r="AA61" s="173">
        <f t="shared" si="55"/>
        <v>6.4644068289636342E-2</v>
      </c>
      <c r="AB61" s="173">
        <f t="shared" si="55"/>
        <v>6.5328762177728747E-2</v>
      </c>
      <c r="AC61" s="173">
        <f t="shared" si="55"/>
        <v>6.602070817313424E-2</v>
      </c>
      <c r="AD61" s="173">
        <f t="shared" si="55"/>
        <v>6.6719983088369184E-2</v>
      </c>
      <c r="AE61" s="173">
        <f t="shared" si="55"/>
        <v>6.7426664549529003E-2</v>
      </c>
      <c r="AF61" s="173">
        <f t="shared" si="55"/>
        <v>6.8140831004905394E-2</v>
      </c>
      <c r="AG61" s="173">
        <f t="shared" si="55"/>
        <v>6.8862561733694871E-2</v>
      </c>
      <c r="AH61" s="178">
        <f t="shared" si="49"/>
        <v>6.9591936854799447E-2</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2.0500146242097551E-2</v>
      </c>
      <c r="I62" s="116">
        <f t="shared" si="58"/>
        <v>2.6416762259826271E-2</v>
      </c>
      <c r="J62" s="116">
        <f t="shared" si="58"/>
        <v>3.4040992686146757E-2</v>
      </c>
      <c r="K62" s="116">
        <f t="shared" si="58"/>
        <v>4.3865677847301707E-2</v>
      </c>
      <c r="L62" s="116">
        <f t="shared" si="58"/>
        <v>5.6525898370358707E-2</v>
      </c>
      <c r="M62" s="116">
        <f t="shared" si="58"/>
        <v>7.2840027633875148E-2</v>
      </c>
      <c r="N62" s="178">
        <f t="shared" si="58"/>
        <v>9.3862632504146185E-2</v>
      </c>
      <c r="O62" s="116">
        <f t="shared" ref="O62:W62" si="59">N62*$X75</f>
        <v>9.4974711428445324E-2</v>
      </c>
      <c r="P62" s="116">
        <f t="shared" si="59"/>
        <v>9.6099966198135503E-2</v>
      </c>
      <c r="Q62" s="116">
        <f t="shared" si="59"/>
        <v>9.7238552919854448E-2</v>
      </c>
      <c r="R62" s="116">
        <f t="shared" si="59"/>
        <v>9.8390629549782116E-2</v>
      </c>
      <c r="S62" s="116">
        <f t="shared" si="59"/>
        <v>9.9556355915553965E-2</v>
      </c>
      <c r="T62" s="116">
        <f t="shared" si="59"/>
        <v>0.10073589373843381</v>
      </c>
      <c r="U62" s="116">
        <f t="shared" si="59"/>
        <v>0.10192940665574945</v>
      </c>
      <c r="V62" s="116">
        <f t="shared" si="59"/>
        <v>0.10313706024359409</v>
      </c>
      <c r="W62" s="116">
        <f t="shared" si="59"/>
        <v>0.10435902203979669</v>
      </c>
      <c r="X62" s="178">
        <f t="shared" si="47"/>
        <v>0.1055954615671645</v>
      </c>
      <c r="Y62" s="173">
        <f t="shared" si="55"/>
        <v>0.10671390242428062</v>
      </c>
      <c r="Z62" s="173">
        <f t="shared" si="55"/>
        <v>0.10784418952869092</v>
      </c>
      <c r="AA62" s="173">
        <f t="shared" si="55"/>
        <v>0.10898644835289942</v>
      </c>
      <c r="AB62" s="173">
        <f t="shared" si="55"/>
        <v>0.11014080569838369</v>
      </c>
      <c r="AC62" s="173">
        <f t="shared" si="55"/>
        <v>0.11130738970967102</v>
      </c>
      <c r="AD62" s="173">
        <f t="shared" si="55"/>
        <v>0.11248632988856365</v>
      </c>
      <c r="AE62" s="173">
        <f t="shared" si="55"/>
        <v>0.11367775710851467</v>
      </c>
      <c r="AF62" s="173">
        <f t="shared" si="55"/>
        <v>0.11488180362915625</v>
      </c>
      <c r="AG62" s="173">
        <f t="shared" si="55"/>
        <v>0.11609860311098165</v>
      </c>
      <c r="AH62" s="178">
        <f t="shared" si="49"/>
        <v>0.1173282906301828</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1.4624209754825415E-7</v>
      </c>
      <c r="I63" s="116">
        <f t="shared" si="60"/>
        <v>1.6979932708566221E-7</v>
      </c>
      <c r="J63" s="116">
        <f t="shared" si="60"/>
        <v>1.9715124414999815E-7</v>
      </c>
      <c r="K63" s="116">
        <f t="shared" si="60"/>
        <v>2.2890911134343497E-7</v>
      </c>
      <c r="L63" s="116">
        <f t="shared" si="60"/>
        <v>2.657826557572936E-7</v>
      </c>
      <c r="M63" s="116">
        <f t="shared" si="60"/>
        <v>3.0859593000392807E-7</v>
      </c>
      <c r="N63" s="178">
        <f t="shared" si="60"/>
        <v>3.5830572820354524E-7</v>
      </c>
      <c r="O63" s="116">
        <f t="shared" ref="O63:W63" si="61">N63*$X76</f>
        <v>3.6255091330181335E-7</v>
      </c>
      <c r="P63" s="116">
        <f t="shared" si="61"/>
        <v>3.6684639510231092E-7</v>
      </c>
      <c r="Q63" s="116">
        <f t="shared" si="61"/>
        <v>3.7119276951739432E-7</v>
      </c>
      <c r="R63" s="116">
        <f t="shared" si="61"/>
        <v>3.7559063951975427E-7</v>
      </c>
      <c r="S63" s="116">
        <f t="shared" si="61"/>
        <v>3.8004061522606638E-7</v>
      </c>
      <c r="T63" s="116">
        <f t="shared" si="61"/>
        <v>3.845433139816326E-7</v>
      </c>
      <c r="U63" s="116">
        <f t="shared" si="61"/>
        <v>3.8909936044602544E-7</v>
      </c>
      <c r="V63" s="116">
        <f t="shared" si="61"/>
        <v>3.9370938667974721E-7</v>
      </c>
      <c r="W63" s="116">
        <f t="shared" si="61"/>
        <v>3.9837403223191566E-7</v>
      </c>
      <c r="X63" s="178">
        <f t="shared" si="47"/>
        <v>4.0309394422898832E-7</v>
      </c>
      <c r="Y63" s="173">
        <f t="shared" si="55"/>
        <v>4.0736341499781515E-7</v>
      </c>
      <c r="Z63" s="173">
        <f t="shared" si="55"/>
        <v>4.1167810693879515E-7</v>
      </c>
      <c r="AA63" s="173">
        <f t="shared" si="55"/>
        <v>4.1603849902333287E-7</v>
      </c>
      <c r="AB63" s="173">
        <f t="shared" si="55"/>
        <v>4.2044507529597879E-7</v>
      </c>
      <c r="AC63" s="173">
        <f t="shared" si="55"/>
        <v>4.2489832492816288E-7</v>
      </c>
      <c r="AD63" s="173">
        <f t="shared" si="55"/>
        <v>4.2939874227249723E-7</v>
      </c>
      <c r="AE63" s="173">
        <f t="shared" si="55"/>
        <v>4.3394682691765376E-7</v>
      </c>
      <c r="AF63" s="173">
        <f t="shared" si="55"/>
        <v>4.3854308374382327E-7</v>
      </c>
      <c r="AG63" s="173">
        <f t="shared" si="55"/>
        <v>4.4318802297876204E-7</v>
      </c>
      <c r="AH63" s="178">
        <f t="shared" si="49"/>
        <v>4.478821602544315E-7</v>
      </c>
      <c r="AI63" s="127"/>
    </row>
    <row r="64" spans="1:35">
      <c r="A64" s="9" t="s">
        <v>344</v>
      </c>
      <c r="B64" s="37"/>
      <c r="C64" s="336">
        <f t="shared" si="50"/>
        <v>1.616997881732775E-7</v>
      </c>
      <c r="D64" s="336">
        <f t="shared" ref="D64:N64" si="62">C64*($N77)</f>
        <v>1.8774700091167026E-7</v>
      </c>
      <c r="E64" s="336">
        <f t="shared" si="62"/>
        <v>2.1798999707750979E-7</v>
      </c>
      <c r="F64" s="336">
        <f t="shared" si="62"/>
        <v>2.5310464931585984E-7</v>
      </c>
      <c r="G64" s="336">
        <f t="shared" si="62"/>
        <v>2.9387570239072095E-7</v>
      </c>
      <c r="H64" s="396">
        <f t="shared" si="53"/>
        <v>1.4624209754825415E-7</v>
      </c>
      <c r="I64" s="116">
        <f t="shared" si="62"/>
        <v>1.6979932708566221E-7</v>
      </c>
      <c r="J64" s="116">
        <f t="shared" si="62"/>
        <v>1.9715124414999815E-7</v>
      </c>
      <c r="K64" s="116">
        <f t="shared" si="62"/>
        <v>2.2890911134343497E-7</v>
      </c>
      <c r="L64" s="116">
        <f t="shared" si="62"/>
        <v>2.657826557572936E-7</v>
      </c>
      <c r="M64" s="116">
        <f t="shared" si="62"/>
        <v>3.0859593000392807E-7</v>
      </c>
      <c r="N64" s="178">
        <f t="shared" si="62"/>
        <v>3.5830572820354524E-7</v>
      </c>
      <c r="O64" s="116">
        <f t="shared" ref="O64:W64" si="63">N64*$X77</f>
        <v>3.6255091330181335E-7</v>
      </c>
      <c r="P64" s="116">
        <f t="shared" si="63"/>
        <v>3.6684639510231092E-7</v>
      </c>
      <c r="Q64" s="116">
        <f t="shared" si="63"/>
        <v>3.7119276951739432E-7</v>
      </c>
      <c r="R64" s="116">
        <f t="shared" si="63"/>
        <v>3.7559063951975427E-7</v>
      </c>
      <c r="S64" s="116">
        <f t="shared" si="63"/>
        <v>3.8004061522606638E-7</v>
      </c>
      <c r="T64" s="116">
        <f t="shared" si="63"/>
        <v>3.845433139816326E-7</v>
      </c>
      <c r="U64" s="116">
        <f t="shared" si="63"/>
        <v>3.8909936044602544E-7</v>
      </c>
      <c r="V64" s="116">
        <f t="shared" si="63"/>
        <v>3.9370938667974721E-7</v>
      </c>
      <c r="W64" s="116">
        <f t="shared" si="63"/>
        <v>3.9837403223191566E-7</v>
      </c>
      <c r="X64" s="178">
        <f t="shared" si="47"/>
        <v>4.0309394422898832E-7</v>
      </c>
      <c r="Y64" s="173">
        <f t="shared" si="55"/>
        <v>4.0736341499781515E-7</v>
      </c>
      <c r="Z64" s="173">
        <f t="shared" si="55"/>
        <v>4.1167810693879515E-7</v>
      </c>
      <c r="AA64" s="173">
        <f t="shared" si="55"/>
        <v>4.1603849902333287E-7</v>
      </c>
      <c r="AB64" s="173">
        <f t="shared" si="55"/>
        <v>4.2044507529597879E-7</v>
      </c>
      <c r="AC64" s="173">
        <f t="shared" si="55"/>
        <v>4.2489832492816288E-7</v>
      </c>
      <c r="AD64" s="173">
        <f t="shared" si="55"/>
        <v>4.2939874227249723E-7</v>
      </c>
      <c r="AE64" s="173">
        <f t="shared" si="55"/>
        <v>4.3394682691765376E-7</v>
      </c>
      <c r="AF64" s="173">
        <f t="shared" si="55"/>
        <v>4.3854308374382327E-7</v>
      </c>
      <c r="AG64" s="173">
        <f t="shared" si="55"/>
        <v>4.4318802297876204E-7</v>
      </c>
      <c r="AH64" s="178">
        <f t="shared" si="49"/>
        <v>4.478821602544315E-7</v>
      </c>
      <c r="AI64" s="127"/>
    </row>
    <row r="65" spans="1:35">
      <c r="A65" s="9" t="s">
        <v>120</v>
      </c>
      <c r="B65" s="37"/>
      <c r="C65" s="336">
        <f t="shared" si="50"/>
        <v>0</v>
      </c>
      <c r="D65" s="336">
        <v>0</v>
      </c>
      <c r="E65" s="336">
        <v>0</v>
      </c>
      <c r="F65" s="336">
        <v>0</v>
      </c>
      <c r="G65" s="336">
        <v>0</v>
      </c>
      <c r="H65" s="396">
        <f t="shared" si="53"/>
        <v>1.4624209754825413E-5</v>
      </c>
      <c r="I65" s="173">
        <v>0</v>
      </c>
      <c r="J65" s="173">
        <v>0</v>
      </c>
      <c r="K65" s="173">
        <v>0</v>
      </c>
      <c r="L65" s="173">
        <v>0</v>
      </c>
      <c r="M65" s="173">
        <v>0</v>
      </c>
      <c r="N65" s="178">
        <v>0</v>
      </c>
      <c r="O65" s="116">
        <f t="shared" ref="O65:AG65" si="64">O41/O$49</f>
        <v>1.0399707058445153E-4</v>
      </c>
      <c r="P65" s="116">
        <f t="shared" si="64"/>
        <v>1.1606815519725262E-4</v>
      </c>
      <c r="Q65" s="116">
        <f t="shared" si="64"/>
        <v>1.2642435222392731E-4</v>
      </c>
      <c r="R65" s="116">
        <f t="shared" si="64"/>
        <v>1.3912829358572325E-4</v>
      </c>
      <c r="S65" s="116">
        <f t="shared" si="64"/>
        <v>1.5150318309595625E-4</v>
      </c>
      <c r="T65" s="116">
        <f t="shared" si="64"/>
        <v>1.5963654267476624E-4</v>
      </c>
      <c r="U65" s="116">
        <f t="shared" si="64"/>
        <v>1.7015620577063025E-4</v>
      </c>
      <c r="V65" s="116">
        <f t="shared" si="64"/>
        <v>1.8260936346677829E-4</v>
      </c>
      <c r="W65" s="116">
        <f t="shared" si="64"/>
        <v>1.9317502269596451E-4</v>
      </c>
      <c r="X65" s="178">
        <f t="shared" si="47"/>
        <v>2.0586782293960441E-4</v>
      </c>
      <c r="Y65" s="173">
        <f t="shared" si="64"/>
        <v>2.1165346037376143E-4</v>
      </c>
      <c r="Z65" s="173">
        <f t="shared" si="64"/>
        <v>2.176338279774914E-4</v>
      </c>
      <c r="AA65" s="173">
        <f t="shared" si="64"/>
        <v>2.2273155367442867E-4</v>
      </c>
      <c r="AB65" s="173">
        <f t="shared" si="64"/>
        <v>2.2880306817537341E-4</v>
      </c>
      <c r="AC65" s="173">
        <f t="shared" si="64"/>
        <v>2.3574779653291473E-4</v>
      </c>
      <c r="AD65" s="173">
        <f t="shared" si="64"/>
        <v>2.4193453347919432E-4</v>
      </c>
      <c r="AE65" s="173">
        <f t="shared" si="64"/>
        <v>2.4884457833480877E-4</v>
      </c>
      <c r="AF65" s="173">
        <f t="shared" si="64"/>
        <v>2.5652554956073103E-4</v>
      </c>
      <c r="AG65" s="173">
        <f t="shared" si="64"/>
        <v>2.6610327340069662E-4</v>
      </c>
      <c r="AH65" s="178">
        <f t="shared" si="49"/>
        <v>2.7451653524312119E-4</v>
      </c>
      <c r="AI65" s="127"/>
    </row>
    <row r="66" spans="1:35">
      <c r="A66" s="9" t="s">
        <v>53</v>
      </c>
      <c r="B66" s="37"/>
      <c r="C66" s="336">
        <f>C42/C$49</f>
        <v>3.3956955516388276E-4</v>
      </c>
      <c r="D66" s="336">
        <f t="shared" ref="D66:N66" si="65">C66*($N79)</f>
        <v>3.9513675124006384E-4</v>
      </c>
      <c r="E66" s="336">
        <f t="shared" si="65"/>
        <v>4.5979696885723251E-4</v>
      </c>
      <c r="F66" s="336">
        <f t="shared" si="65"/>
        <v>5.3503819097266286E-4</v>
      </c>
      <c r="G66" s="336">
        <f t="shared" si="65"/>
        <v>6.2259189422404727E-4</v>
      </c>
      <c r="H66" s="396">
        <f t="shared" si="53"/>
        <v>4.0787833373671627E-3</v>
      </c>
      <c r="I66" s="116">
        <f t="shared" si="65"/>
        <v>4.7462358519200576E-3</v>
      </c>
      <c r="J66" s="116">
        <f t="shared" si="65"/>
        <v>5.5229103629201937E-3</v>
      </c>
      <c r="K66" s="116">
        <f t="shared" si="65"/>
        <v>6.4266799688244879E-3</v>
      </c>
      <c r="L66" s="116">
        <f t="shared" si="65"/>
        <v>7.4783425237145646E-3</v>
      </c>
      <c r="M66" s="116">
        <f t="shared" si="65"/>
        <v>8.7020992446006223E-3</v>
      </c>
      <c r="N66" s="178">
        <f t="shared" si="65"/>
        <v>1.0126111638072526E-2</v>
      </c>
      <c r="O66" s="116">
        <f t="shared" ref="O66:W66" si="66">N66*$X79</f>
        <v>1.0246085210487546E-2</v>
      </c>
      <c r="P66" s="116">
        <f t="shared" si="66"/>
        <v>1.0367480222700239E-2</v>
      </c>
      <c r="Q66" s="116">
        <f t="shared" si="66"/>
        <v>1.0490313515845343E-2</v>
      </c>
      <c r="R66" s="116">
        <f t="shared" si="66"/>
        <v>1.0614602130590371E-2</v>
      </c>
      <c r="S66" s="116">
        <f t="shared" si="66"/>
        <v>1.0740363309499654E-2</v>
      </c>
      <c r="T66" s="116">
        <f t="shared" si="66"/>
        <v>1.0867614499426409E-2</v>
      </c>
      <c r="U66" s="116">
        <f t="shared" si="66"/>
        <v>1.0996373353933137E-2</v>
      </c>
      <c r="V66" s="116">
        <f t="shared" si="66"/>
        <v>1.1126657735740704E-2</v>
      </c>
      <c r="W66" s="116">
        <f t="shared" si="66"/>
        <v>1.1258485719206441E-2</v>
      </c>
      <c r="X66" s="178">
        <f t="shared" si="47"/>
        <v>1.1391875592831583E-2</v>
      </c>
      <c r="Y66" s="173">
        <f t="shared" si="55"/>
        <v>1.1512535504849703E-2</v>
      </c>
      <c r="Z66" s="173">
        <f t="shared" si="55"/>
        <v>1.1634473416636129E-2</v>
      </c>
      <c r="AA66" s="173">
        <f t="shared" si="55"/>
        <v>1.1757702864446447E-2</v>
      </c>
      <c r="AB66" s="173">
        <f t="shared" si="55"/>
        <v>1.1882237527908891E-2</v>
      </c>
      <c r="AC66" s="173">
        <f t="shared" si="55"/>
        <v>1.2008091231542914E-2</v>
      </c>
      <c r="AD66" s="173">
        <f t="shared" si="55"/>
        <v>1.213527794629384E-2</v>
      </c>
      <c r="AE66" s="173">
        <f t="shared" si="55"/>
        <v>1.2263811791083773E-2</v>
      </c>
      <c r="AF66" s="173">
        <f t="shared" si="55"/>
        <v>1.2393707034378924E-2</v>
      </c>
      <c r="AG66" s="173">
        <f t="shared" si="55"/>
        <v>1.2524978095773548E-2</v>
      </c>
      <c r="AH66" s="178">
        <f t="shared" si="49"/>
        <v>1.265763954759065E-2</v>
      </c>
      <c r="AI66" s="127"/>
    </row>
    <row r="67" spans="1:35" s="1" customFormat="1">
      <c r="A67" s="11" t="s">
        <v>540</v>
      </c>
      <c r="B67" s="36"/>
      <c r="C67" s="340">
        <f t="shared" ref="C67:AG67" si="67">SUM(C58:C66)</f>
        <v>1.5296961660980225E-2</v>
      </c>
      <c r="D67" s="340">
        <f t="shared" si="67"/>
        <v>1.7743467134629667E-2</v>
      </c>
      <c r="E67" s="340">
        <f t="shared" si="67"/>
        <v>2.0581256977777344E-2</v>
      </c>
      <c r="F67" s="340">
        <f t="shared" si="67"/>
        <v>2.3872912438697456E-2</v>
      </c>
      <c r="G67" s="340">
        <f t="shared" si="67"/>
        <v>2.7691024014350529E-2</v>
      </c>
      <c r="H67" s="403">
        <f t="shared" si="67"/>
        <v>4.748671622553674E-2</v>
      </c>
      <c r="I67" s="85">
        <f t="shared" si="67"/>
        <v>5.7725118494336251E-2</v>
      </c>
      <c r="J67" s="85">
        <f t="shared" si="67"/>
        <v>7.0386677393234662E-2</v>
      </c>
      <c r="K67" s="85">
        <f t="shared" si="67"/>
        <v>8.60649294599969E-2</v>
      </c>
      <c r="L67" s="85">
        <f t="shared" si="67"/>
        <v>0.10553035165138611</v>
      </c>
      <c r="M67" s="85">
        <f t="shared" si="67"/>
        <v>0.12976087484086085</v>
      </c>
      <c r="N67" s="183">
        <f>SUM(N58:N66)</f>
        <v>0.15999999999999998</v>
      </c>
      <c r="O67" s="85">
        <f t="shared" si="67"/>
        <v>0.16199966761743384</v>
      </c>
      <c r="P67" s="85">
        <f t="shared" si="67"/>
        <v>0.16392986904153475</v>
      </c>
      <c r="Q67" s="85">
        <f t="shared" si="67"/>
        <v>0.16588108147298453</v>
      </c>
      <c r="R67" s="85">
        <f t="shared" si="67"/>
        <v>0.16785763679876473</v>
      </c>
      <c r="S67" s="85">
        <f t="shared" si="67"/>
        <v>0.1698571306678674</v>
      </c>
      <c r="T67" s="85">
        <f t="shared" si="67"/>
        <v>0.17187592627530543</v>
      </c>
      <c r="U67" s="85">
        <f t="shared" si="67"/>
        <v>0.17392093039377893</v>
      </c>
      <c r="V67" s="85">
        <f t="shared" si="67"/>
        <v>0.17599197245847811</v>
      </c>
      <c r="W67" s="85">
        <f t="shared" si="67"/>
        <v>0.17808551706445463</v>
      </c>
      <c r="X67" s="183">
        <f t="shared" si="67"/>
        <v>0.18020586782293957</v>
      </c>
      <c r="Y67" s="85">
        <f t="shared" si="67"/>
        <v>0.18211816867696623</v>
      </c>
      <c r="Z67" s="85">
        <f t="shared" si="67"/>
        <v>0.18405085759600179</v>
      </c>
      <c r="AA67" s="85">
        <f t="shared" si="67"/>
        <v>0.1860030710907486</v>
      </c>
      <c r="AB67" s="85">
        <f t="shared" si="67"/>
        <v>0.18797688174008928</v>
      </c>
      <c r="AC67" s="85">
        <f t="shared" si="67"/>
        <v>0.18997240740663573</v>
      </c>
      <c r="AD67" s="85">
        <f t="shared" si="67"/>
        <v>0.19198823763631581</v>
      </c>
      <c r="AE67" s="85">
        <f t="shared" si="67"/>
        <v>0.19402607681778752</v>
      </c>
      <c r="AF67" s="85">
        <f t="shared" si="67"/>
        <v>0.19608619802175614</v>
      </c>
      <c r="AG67" s="85">
        <f t="shared" si="67"/>
        <v>0.19816995491464365</v>
      </c>
      <c r="AH67" s="183">
        <f>SUM(AH58:AH66)</f>
        <v>0.20027451653524314</v>
      </c>
      <c r="AI67" s="196"/>
    </row>
    <row r="68" spans="1:35" s="252" customFormat="1">
      <c r="A68" s="10" t="s">
        <v>548</v>
      </c>
      <c r="B68" s="37"/>
      <c r="C68" s="332"/>
      <c r="D68" s="332">
        <f>D67/C67-1</f>
        <v>0.15993407892823797</v>
      </c>
      <c r="E68" s="332">
        <f t="shared" ref="E68:W68" si="68">E67/D67-1</f>
        <v>0.15993434775829152</v>
      </c>
      <c r="F68" s="332">
        <f t="shared" si="68"/>
        <v>0.15993461742760817</v>
      </c>
      <c r="G68" s="332">
        <f t="shared" si="68"/>
        <v>0.15993488793868305</v>
      </c>
      <c r="H68" s="284"/>
      <c r="I68" s="284">
        <f t="shared" si="68"/>
        <v>0.2156056068432386</v>
      </c>
      <c r="J68" s="284">
        <f t="shared" si="68"/>
        <v>0.21934227645008142</v>
      </c>
      <c r="K68" s="284">
        <f t="shared" si="68"/>
        <v>0.22274459666807878</v>
      </c>
      <c r="L68" s="284">
        <f t="shared" si="68"/>
        <v>0.22617136054746623</v>
      </c>
      <c r="M68" s="284">
        <f t="shared" si="68"/>
        <v>0.22960714913107649</v>
      </c>
      <c r="N68" s="283">
        <f t="shared" si="68"/>
        <v>0.23303730956056268</v>
      </c>
      <c r="O68" s="284">
        <f t="shared" si="68"/>
        <v>1.2497922608961654E-2</v>
      </c>
      <c r="P68" s="284">
        <f t="shared" si="68"/>
        <v>1.1914848051782112E-2</v>
      </c>
      <c r="Q68" s="284">
        <f t="shared" si="68"/>
        <v>1.190272671391801E-2</v>
      </c>
      <c r="R68" s="284">
        <f t="shared" si="68"/>
        <v>1.1915495777027996E-2</v>
      </c>
      <c r="S68" s="284">
        <f t="shared" si="68"/>
        <v>1.19118433169636E-2</v>
      </c>
      <c r="T68" s="284">
        <f t="shared" si="68"/>
        <v>1.1885256741946959E-2</v>
      </c>
      <c r="U68" s="284">
        <f t="shared" si="68"/>
        <v>1.1898141658290617E-2</v>
      </c>
      <c r="V68" s="284">
        <f t="shared" si="68"/>
        <v>1.1907951849211562E-2</v>
      </c>
      <c r="W68" s="284">
        <f t="shared" si="68"/>
        <v>1.1895682381027006E-2</v>
      </c>
      <c r="X68" s="284">
        <f>X67/W67-1</f>
        <v>1.1906362703922202E-2</v>
      </c>
      <c r="Y68" s="289">
        <f t="shared" ref="Y68:AG68" si="69">Y67/X67-1</f>
        <v>1.0611756859691068E-2</v>
      </c>
      <c r="Z68" s="289">
        <f t="shared" si="69"/>
        <v>1.0612279560441307E-2</v>
      </c>
      <c r="AA68" s="289">
        <f t="shared" si="69"/>
        <v>1.0606924196093548E-2</v>
      </c>
      <c r="AB68" s="289">
        <f t="shared" si="69"/>
        <v>1.0611709999012175E-2</v>
      </c>
      <c r="AC68" s="289">
        <f t="shared" si="69"/>
        <v>1.0615803646033539E-2</v>
      </c>
      <c r="AD68" s="289">
        <f t="shared" si="69"/>
        <v>1.0611173786755135E-2</v>
      </c>
      <c r="AE68" s="289">
        <f t="shared" si="69"/>
        <v>1.0614395999259063E-2</v>
      </c>
      <c r="AF68" s="289">
        <f t="shared" si="69"/>
        <v>1.0617754261471379E-2</v>
      </c>
      <c r="AG68" s="289">
        <f t="shared" si="69"/>
        <v>1.0626739229531612E-2</v>
      </c>
      <c r="AH68" s="283">
        <f>AH67/AG67-1</f>
        <v>1.0619983344629436E-2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545</v>
      </c>
      <c r="B70" s="37"/>
      <c r="C70" s="332"/>
      <c r="D70" s="332"/>
      <c r="E70" s="332"/>
      <c r="F70" s="332"/>
      <c r="G70" s="332"/>
      <c r="H70" s="284"/>
      <c r="I70" s="164"/>
      <c r="J70" s="164"/>
      <c r="K70" s="164"/>
      <c r="L70" s="164"/>
      <c r="M70" s="164"/>
      <c r="N70" s="199" t="s">
        <v>711</v>
      </c>
      <c r="O70" s="164"/>
      <c r="P70" s="164"/>
      <c r="Q70" s="164"/>
      <c r="R70" s="164"/>
      <c r="S70" s="164"/>
      <c r="T70" s="164"/>
      <c r="U70" s="164"/>
      <c r="V70" s="164"/>
      <c r="W70" s="164"/>
      <c r="X70" s="199" t="s">
        <v>546</v>
      </c>
      <c r="Y70" s="20"/>
      <c r="Z70" s="20"/>
      <c r="AA70" s="20"/>
      <c r="AB70" s="20"/>
      <c r="AC70" s="20"/>
      <c r="AD70" s="20"/>
      <c r="AE70" s="20"/>
      <c r="AF70" s="20"/>
      <c r="AG70" s="20"/>
      <c r="AH70" s="279" t="s">
        <v>708</v>
      </c>
      <c r="AI70" s="127"/>
    </row>
    <row r="71" spans="1:35">
      <c r="A71" s="9" t="s">
        <v>121</v>
      </c>
      <c r="B71" s="37"/>
      <c r="C71" s="332"/>
      <c r="D71" s="332"/>
      <c r="E71" s="332"/>
      <c r="F71" s="332"/>
      <c r="G71" s="332"/>
      <c r="H71" s="284"/>
      <c r="I71" s="164"/>
      <c r="J71" s="164"/>
      <c r="K71" s="395"/>
      <c r="L71" s="395"/>
      <c r="M71" s="164"/>
      <c r="N71" s="186">
        <f>(N86/H86)^(1/6)</f>
        <v>1.5495087705856618</v>
      </c>
      <c r="O71" s="164"/>
      <c r="P71" s="164"/>
      <c r="Q71" s="164"/>
      <c r="R71" s="164"/>
      <c r="S71" s="164"/>
      <c r="T71" s="164"/>
      <c r="U71" s="164"/>
      <c r="V71" s="164"/>
      <c r="W71" s="164"/>
      <c r="X71" s="186">
        <f>(X86/N86)^(1/10)</f>
        <v>1.0118479409178089</v>
      </c>
      <c r="Y71" s="20"/>
      <c r="Z71" s="20"/>
      <c r="AA71" s="20"/>
      <c r="AB71" s="20"/>
      <c r="AC71" s="20"/>
      <c r="AD71" s="20"/>
      <c r="AE71" s="20"/>
      <c r="AF71" s="20"/>
      <c r="AG71" s="20"/>
      <c r="AH71" s="186">
        <f>(AH86/X86)^(1/10)</f>
        <v>1.0105917512032914</v>
      </c>
      <c r="AI71" s="127"/>
    </row>
    <row r="72" spans="1:35">
      <c r="A72" s="9" t="s">
        <v>50</v>
      </c>
      <c r="B72" s="37"/>
      <c r="C72" s="332"/>
      <c r="D72" s="332"/>
      <c r="E72" s="332"/>
      <c r="F72" s="332"/>
      <c r="G72" s="332"/>
      <c r="H72" s="284"/>
      <c r="I72" s="164"/>
      <c r="J72" s="164"/>
      <c r="K72" s="395"/>
      <c r="L72" s="395"/>
      <c r="M72" s="164"/>
      <c r="N72" s="186">
        <f>(N87/H87)^(1/6)</f>
        <v>1.1610837777380423</v>
      </c>
      <c r="O72" s="164"/>
      <c r="P72" s="164"/>
      <c r="Q72" s="164"/>
      <c r="R72" s="164"/>
      <c r="S72" s="164"/>
      <c r="T72" s="164"/>
      <c r="U72" s="164"/>
      <c r="V72" s="164"/>
      <c r="W72" s="164"/>
      <c r="X72" s="186">
        <f>(X87/N87)^(1/10)</f>
        <v>1.0118479409178089</v>
      </c>
      <c r="Y72" s="20"/>
      <c r="Z72" s="20"/>
      <c r="AA72" s="20"/>
      <c r="AB72" s="20"/>
      <c r="AC72" s="20"/>
      <c r="AD72" s="20"/>
      <c r="AE72" s="20"/>
      <c r="AF72" s="20"/>
      <c r="AG72" s="20"/>
      <c r="AH72" s="186">
        <f>(AH87/X87)^(1/10)</f>
        <v>1.0105917512032914</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1.1598499297969578</v>
      </c>
      <c r="O74" s="164"/>
      <c r="P74" s="164"/>
      <c r="Q74" s="164"/>
      <c r="R74" s="164"/>
      <c r="S74" s="164"/>
      <c r="T74" s="164"/>
      <c r="U74" s="164"/>
      <c r="V74" s="164"/>
      <c r="W74" s="164"/>
      <c r="X74" s="186">
        <f>(X89/N89)^(1/10)</f>
        <v>1.0118479409178089</v>
      </c>
      <c r="AH74" s="186">
        <f>(AH89/X89)^(1/10)</f>
        <v>1.0105917512032914</v>
      </c>
      <c r="AI74" s="127"/>
    </row>
    <row r="75" spans="1:35">
      <c r="A75" s="9" t="s">
        <v>347</v>
      </c>
      <c r="B75" s="37"/>
      <c r="C75" s="332"/>
      <c r="D75" s="332"/>
      <c r="E75" s="332"/>
      <c r="F75" s="332"/>
      <c r="G75" s="332"/>
      <c r="H75" s="284"/>
      <c r="I75" s="164"/>
      <c r="J75" s="164"/>
      <c r="K75" s="395"/>
      <c r="L75" s="395"/>
      <c r="M75" s="164"/>
      <c r="N75" s="179">
        <f>(N90/H90)^(1/6)</f>
        <v>1.2886133566002962</v>
      </c>
      <c r="O75" s="164"/>
      <c r="P75" s="164"/>
      <c r="Q75" s="164"/>
      <c r="R75" s="164"/>
      <c r="S75" s="164"/>
      <c r="T75" s="164"/>
      <c r="U75" s="164"/>
      <c r="V75" s="164"/>
      <c r="W75" s="164"/>
      <c r="X75" s="186">
        <f>(X90/N90)^(1/10)</f>
        <v>1.0118479409178089</v>
      </c>
      <c r="AH75" s="186">
        <f>(AH90/X90)^(1/10)</f>
        <v>1.0105917512032914</v>
      </c>
      <c r="AI75" s="127"/>
    </row>
    <row r="76" spans="1:35">
      <c r="A76" s="9" t="s">
        <v>348</v>
      </c>
      <c r="B76" s="37"/>
      <c r="C76" s="332"/>
      <c r="D76" s="332"/>
      <c r="E76" s="332"/>
      <c r="F76" s="332"/>
      <c r="G76" s="332"/>
      <c r="H76" s="284"/>
      <c r="I76" s="164"/>
      <c r="J76" s="164"/>
      <c r="K76" s="395"/>
      <c r="L76" s="395"/>
      <c r="M76" s="164"/>
      <c r="N76" s="179">
        <f>(N91/H91)^(1/6)</f>
        <v>1.1610837777380423</v>
      </c>
      <c r="O76" s="164"/>
      <c r="P76" s="164"/>
      <c r="Q76" s="164"/>
      <c r="R76" s="164"/>
      <c r="S76" s="164"/>
      <c r="T76" s="164"/>
      <c r="U76" s="164"/>
      <c r="V76" s="164"/>
      <c r="W76" s="164"/>
      <c r="X76" s="186">
        <f>(X91/N91)^(1/10)</f>
        <v>1.0118479409178089</v>
      </c>
      <c r="AH76" s="186">
        <f>(AH91/X91)^(1/10)</f>
        <v>1.0105917512032914</v>
      </c>
      <c r="AI76" s="127"/>
    </row>
    <row r="77" spans="1:35">
      <c r="A77" s="9" t="s">
        <v>344</v>
      </c>
      <c r="B77" s="37"/>
      <c r="C77" s="332"/>
      <c r="D77" s="332"/>
      <c r="E77" s="332"/>
      <c r="F77" s="332"/>
      <c r="G77" s="332"/>
      <c r="H77" s="284"/>
      <c r="I77" s="164"/>
      <c r="J77" s="164"/>
      <c r="K77" s="395"/>
      <c r="L77" s="395"/>
      <c r="M77" s="164"/>
      <c r="N77" s="179">
        <f>(N92/H92)^(1/6)</f>
        <v>1.1610837777380423</v>
      </c>
      <c r="O77" s="164"/>
      <c r="P77" s="164"/>
      <c r="Q77" s="164"/>
      <c r="R77" s="164"/>
      <c r="S77" s="164"/>
      <c r="T77" s="164"/>
      <c r="U77" s="164"/>
      <c r="V77" s="164"/>
      <c r="W77" s="164"/>
      <c r="X77" s="186">
        <f>(X92/N92)^(1/10)</f>
        <v>1.0118479409178089</v>
      </c>
      <c r="AH77" s="186">
        <f>(AH92/X92)^(1/10)</f>
        <v>1.0105917512032914</v>
      </c>
      <c r="AI77" s="127"/>
    </row>
    <row r="78" spans="1:35">
      <c r="A78" s="9" t="s">
        <v>120</v>
      </c>
      <c r="B78" s="37"/>
      <c r="C78" s="332"/>
      <c r="D78" s="332"/>
      <c r="E78" s="332"/>
      <c r="F78" s="332"/>
      <c r="G78" s="332"/>
      <c r="H78" s="284"/>
      <c r="I78" s="164"/>
      <c r="J78" s="164"/>
      <c r="K78" s="395"/>
      <c r="L78" s="395"/>
      <c r="M78" s="164"/>
      <c r="N78" s="186">
        <f t="shared" ref="N78:N79" si="70">(N93/H93)^(1/6)</f>
        <v>1.3545160908979945</v>
      </c>
      <c r="O78" s="164"/>
      <c r="P78" s="164"/>
      <c r="Q78" s="164"/>
      <c r="R78" s="164"/>
      <c r="S78" s="164"/>
      <c r="T78" s="164"/>
      <c r="U78" s="164"/>
      <c r="V78" s="164"/>
      <c r="W78" s="164"/>
      <c r="X78" s="186">
        <f t="shared" ref="X78:X79" si="71">(X93/N93)^(1/10)</f>
        <v>1.0858781773305857</v>
      </c>
      <c r="AH78" s="186">
        <f t="shared" ref="AH78:AH79" si="72">(AH93/X93)^(1/10)</f>
        <v>1.0291957963362057</v>
      </c>
      <c r="AI78" s="127"/>
    </row>
    <row r="79" spans="1:35">
      <c r="A79" s="9" t="s">
        <v>53</v>
      </c>
      <c r="B79" s="37"/>
      <c r="C79" s="332"/>
      <c r="D79" s="332"/>
      <c r="E79" s="332"/>
      <c r="F79" s="332"/>
      <c r="G79" s="332"/>
      <c r="H79" s="284"/>
      <c r="I79" s="164"/>
      <c r="J79" s="164"/>
      <c r="K79" s="395"/>
      <c r="L79" s="395"/>
      <c r="M79" s="164"/>
      <c r="N79" s="186">
        <f t="shared" si="70"/>
        <v>1.1636401003304413</v>
      </c>
      <c r="O79" s="164"/>
      <c r="P79" s="164"/>
      <c r="Q79" s="164"/>
      <c r="R79" s="164"/>
      <c r="S79" s="164"/>
      <c r="T79" s="164"/>
      <c r="U79" s="164"/>
      <c r="V79" s="164"/>
      <c r="W79" s="164"/>
      <c r="X79" s="186">
        <f t="shared" si="71"/>
        <v>1.0118479409178089</v>
      </c>
      <c r="AH79" s="186">
        <f t="shared" si="72"/>
        <v>1.0105917512032914</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547</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5.1727762236631464E-4</v>
      </c>
      <c r="D84" s="336">
        <f t="shared" si="73"/>
        <v>5.2713593665257644E-4</v>
      </c>
      <c r="E84" s="336">
        <f t="shared" si="73"/>
        <v>5.3699425093883823E-4</v>
      </c>
      <c r="F84" s="336">
        <f t="shared" si="73"/>
        <v>5.4685256522510003E-4</v>
      </c>
      <c r="G84" s="336">
        <f t="shared" si="73"/>
        <v>5.5671087951136183E-4</v>
      </c>
      <c r="H84" s="396">
        <f t="shared" si="73"/>
        <v>5.9601814431911658E-4</v>
      </c>
      <c r="I84" s="116">
        <f t="shared" si="73"/>
        <v>6.0096830018512948E-4</v>
      </c>
      <c r="J84" s="116">
        <f t="shared" si="73"/>
        <v>6.0591845605114237E-4</v>
      </c>
      <c r="K84" s="116">
        <f t="shared" si="73"/>
        <v>6.1086861191715527E-4</v>
      </c>
      <c r="L84" s="116">
        <f t="shared" si="73"/>
        <v>6.1581876778316817E-4</v>
      </c>
      <c r="M84" s="116">
        <f t="shared" si="73"/>
        <v>6.2076892364918107E-4</v>
      </c>
      <c r="N84" s="178">
        <f t="shared" si="73"/>
        <v>6.2571907951519429E-4</v>
      </c>
      <c r="O84" s="116">
        <f t="shared" si="73"/>
        <v>6.2188122492174238E-4</v>
      </c>
      <c r="P84" s="116">
        <f t="shared" si="73"/>
        <v>6.1804337032829047E-4</v>
      </c>
      <c r="Q84" s="116">
        <f t="shared" si="73"/>
        <v>6.1420551573483856E-4</v>
      </c>
      <c r="R84" s="116">
        <f t="shared" si="73"/>
        <v>6.1036766114138665E-4</v>
      </c>
      <c r="S84" s="116">
        <f t="shared" si="73"/>
        <v>6.0652980654793474E-4</v>
      </c>
      <c r="T84" s="116">
        <f t="shared" si="73"/>
        <v>6.0269195195448283E-4</v>
      </c>
      <c r="U84" s="116">
        <f t="shared" si="73"/>
        <v>5.9885409736103092E-4</v>
      </c>
      <c r="V84" s="116">
        <f t="shared" si="73"/>
        <v>5.9501624276757901E-4</v>
      </c>
      <c r="W84" s="116">
        <f t="shared" si="73"/>
        <v>5.911783881741271E-4</v>
      </c>
      <c r="X84" s="178">
        <f t="shared" si="73"/>
        <v>5.8734053358067487E-4</v>
      </c>
      <c r="Y84" s="173">
        <f t="shared" si="73"/>
        <v>5.7792396830170915E-4</v>
      </c>
      <c r="Z84" s="173">
        <f t="shared" si="73"/>
        <v>5.6850740302274343E-4</v>
      </c>
      <c r="AA84" s="173">
        <f t="shared" si="73"/>
        <v>5.5909083774377771E-4</v>
      </c>
      <c r="AB84" s="173">
        <f t="shared" si="73"/>
        <v>5.4967427246481199E-4</v>
      </c>
      <c r="AC84" s="173">
        <f t="shared" si="73"/>
        <v>5.4025770718584627E-4</v>
      </c>
      <c r="AD84" s="173">
        <f t="shared" si="73"/>
        <v>5.3084114190688056E-4</v>
      </c>
      <c r="AE84" s="173">
        <f t="shared" si="73"/>
        <v>5.2142457662791484E-4</v>
      </c>
      <c r="AF84" s="173">
        <f t="shared" si="73"/>
        <v>5.1200801134894912E-4</v>
      </c>
      <c r="AG84" s="173">
        <f t="shared" si="73"/>
        <v>5.025914460699834E-4</v>
      </c>
      <c r="AH84" s="178">
        <f t="shared" si="73"/>
        <v>4.9317488079101736E-4</v>
      </c>
      <c r="AI84" s="127"/>
    </row>
    <row r="85" spans="1:35">
      <c r="A85" s="9" t="s">
        <v>59</v>
      </c>
      <c r="B85" s="37"/>
      <c r="C85" s="336">
        <f t="shared" ref="C85:AH85" si="74">C32/C$49</f>
        <v>0.55508303284122695</v>
      </c>
      <c r="D85" s="336">
        <f t="shared" si="74"/>
        <v>0.53689852907751068</v>
      </c>
      <c r="E85" s="336">
        <f t="shared" si="74"/>
        <v>0.5187140253137944</v>
      </c>
      <c r="F85" s="336">
        <f t="shared" si="74"/>
        <v>0.50052952155007813</v>
      </c>
      <c r="G85" s="336">
        <f t="shared" si="74"/>
        <v>0.4823450177863618</v>
      </c>
      <c r="H85" s="396">
        <f t="shared" si="74"/>
        <v>0.4294768508447947</v>
      </c>
      <c r="I85" s="116">
        <f t="shared" si="74"/>
        <v>0.41707295761072022</v>
      </c>
      <c r="J85" s="116">
        <f t="shared" si="74"/>
        <v>0.40466906437664574</v>
      </c>
      <c r="K85" s="116">
        <f t="shared" si="74"/>
        <v>0.39226517114257126</v>
      </c>
      <c r="L85" s="116">
        <f t="shared" si="74"/>
        <v>0.37986127790849677</v>
      </c>
      <c r="M85" s="116">
        <f t="shared" si="74"/>
        <v>0.36745738467442229</v>
      </c>
      <c r="N85" s="178">
        <f t="shared" si="74"/>
        <v>0.35505349144034792</v>
      </c>
      <c r="O85" s="116">
        <f t="shared" si="74"/>
        <v>0.35287576709462193</v>
      </c>
      <c r="P85" s="116">
        <f t="shared" si="74"/>
        <v>0.35069804274889593</v>
      </c>
      <c r="Q85" s="116">
        <f t="shared" si="74"/>
        <v>0.34852031840316994</v>
      </c>
      <c r="R85" s="116">
        <f t="shared" si="74"/>
        <v>0.34634259405744394</v>
      </c>
      <c r="S85" s="116">
        <f t="shared" si="74"/>
        <v>0.34416486971171795</v>
      </c>
      <c r="T85" s="116">
        <f t="shared" si="74"/>
        <v>0.34198714536599195</v>
      </c>
      <c r="U85" s="116">
        <f t="shared" si="74"/>
        <v>0.33980942102026596</v>
      </c>
      <c r="V85" s="116">
        <f t="shared" si="74"/>
        <v>0.33763169667453996</v>
      </c>
      <c r="W85" s="116">
        <f t="shared" si="74"/>
        <v>0.33545397232881397</v>
      </c>
      <c r="X85" s="178">
        <f t="shared" si="74"/>
        <v>0.33327624798308814</v>
      </c>
      <c r="Y85" s="173">
        <f t="shared" si="74"/>
        <v>0.32793298055025999</v>
      </c>
      <c r="Z85" s="173">
        <f t="shared" si="74"/>
        <v>0.32258971311743184</v>
      </c>
      <c r="AA85" s="173">
        <f t="shared" si="74"/>
        <v>0.3172464456846037</v>
      </c>
      <c r="AB85" s="173">
        <f t="shared" si="74"/>
        <v>0.31190317825177555</v>
      </c>
      <c r="AC85" s="173">
        <f t="shared" si="74"/>
        <v>0.3065599108189474</v>
      </c>
      <c r="AD85" s="173">
        <f t="shared" si="74"/>
        <v>0.30121664338611925</v>
      </c>
      <c r="AE85" s="173">
        <f t="shared" si="74"/>
        <v>0.29587337595329111</v>
      </c>
      <c r="AF85" s="173">
        <f t="shared" si="74"/>
        <v>0.29053010852046296</v>
      </c>
      <c r="AG85" s="173">
        <f t="shared" si="74"/>
        <v>0.28518684108763481</v>
      </c>
      <c r="AH85" s="178">
        <f t="shared" si="74"/>
        <v>0.27984357365480661</v>
      </c>
      <c r="AI85" s="127"/>
    </row>
    <row r="86" spans="1:35" s="252" customFormat="1">
      <c r="A86" s="10" t="s">
        <v>121</v>
      </c>
      <c r="B86" s="37"/>
      <c r="C86" s="410">
        <f t="shared" ref="C86:AH86" si="75">C34/C$49</f>
        <v>0</v>
      </c>
      <c r="D86" s="336">
        <f t="shared" si="75"/>
        <v>0</v>
      </c>
      <c r="E86" s="336">
        <f t="shared" si="75"/>
        <v>2.1525030232282384E-5</v>
      </c>
      <c r="F86" s="336">
        <f t="shared" si="75"/>
        <v>1.7952267447163059E-5</v>
      </c>
      <c r="G86" s="336">
        <f t="shared" si="75"/>
        <v>2.122859825836656E-5</v>
      </c>
      <c r="H86" s="409">
        <f t="shared" si="75"/>
        <v>2.4347393470306429E-5</v>
      </c>
      <c r="I86" s="396">
        <f t="shared" si="75"/>
        <v>3.7726499723139887E-5</v>
      </c>
      <c r="J86" s="396">
        <f t="shared" si="75"/>
        <v>5.8457542204502806E-5</v>
      </c>
      <c r="K86" s="396">
        <f t="shared" si="75"/>
        <v>9.0580474352758574E-5</v>
      </c>
      <c r="L86" s="396">
        <f t="shared" si="75"/>
        <v>1.40355239453409E-4</v>
      </c>
      <c r="M86" s="396">
        <f t="shared" si="75"/>
        <v>2.1748167453070796E-4</v>
      </c>
      <c r="N86" s="397">
        <f>N34/N$49</f>
        <v>3.3698976212698825E-4</v>
      </c>
      <c r="O86" s="396">
        <f t="shared" si="75"/>
        <v>3.4098239691857535E-4</v>
      </c>
      <c r="P86" s="396">
        <f t="shared" si="75"/>
        <v>3.4502233621127952E-4</v>
      </c>
      <c r="Q86" s="396">
        <f t="shared" si="75"/>
        <v>3.491101404660352E-4</v>
      </c>
      <c r="R86" s="396">
        <f t="shared" si="75"/>
        <v>3.5324637678408477E-4</v>
      </c>
      <c r="S86" s="396">
        <f t="shared" si="75"/>
        <v>3.5743161898565268E-4</v>
      </c>
      <c r="T86" s="396">
        <f t="shared" si="75"/>
        <v>3.6166644768955146E-4</v>
      </c>
      <c r="U86" s="396">
        <f t="shared" si="75"/>
        <v>3.6595145039373109E-4</v>
      </c>
      <c r="V86" s="396">
        <f t="shared" si="75"/>
        <v>3.7028722155678248E-4</v>
      </c>
      <c r="W86" s="396">
        <f t="shared" si="75"/>
        <v>3.7467436268040689E-4</v>
      </c>
      <c r="X86" s="397">
        <f t="shared" si="75"/>
        <v>3.7911348239286165E-4</v>
      </c>
      <c r="Y86" s="396">
        <f>Y34/Y$49</f>
        <v>3.8312895807618023E-4</v>
      </c>
      <c r="Z86" s="396">
        <f t="shared" si="75"/>
        <v>3.8718696467889945E-4</v>
      </c>
      <c r="AA86" s="396">
        <f t="shared" si="75"/>
        <v>3.9128795267793587E-4</v>
      </c>
      <c r="AB86" s="396">
        <f t="shared" si="75"/>
        <v>3.9543237732154578E-4</v>
      </c>
      <c r="AC86" s="396">
        <f t="shared" si="75"/>
        <v>3.9962069867986169E-4</v>
      </c>
      <c r="AD86" s="396">
        <f t="shared" si="75"/>
        <v>4.0385338169596425E-4</v>
      </c>
      <c r="AE86" s="396">
        <f t="shared" si="75"/>
        <v>4.0813089623749582E-4</v>
      </c>
      <c r="AF86" s="396">
        <f t="shared" si="75"/>
        <v>4.1245371714881962E-4</v>
      </c>
      <c r="AG86" s="396">
        <f t="shared" si="75"/>
        <v>4.1682232430373259E-4</v>
      </c>
      <c r="AH86" s="397">
        <f t="shared" si="75"/>
        <v>4.2123720265873515E-4</v>
      </c>
      <c r="AI86" s="292"/>
    </row>
    <row r="87" spans="1:35">
      <c r="A87" s="9" t="s">
        <v>50</v>
      </c>
      <c r="B87" s="37"/>
      <c r="C87" s="410">
        <f t="shared" ref="C87:AH87" si="76">C35/C$49</f>
        <v>0</v>
      </c>
      <c r="D87" s="336">
        <f t="shared" si="76"/>
        <v>0</v>
      </c>
      <c r="E87" s="336">
        <f t="shared" si="76"/>
        <v>1.538503285515245E-13</v>
      </c>
      <c r="F87" s="336">
        <f t="shared" si="76"/>
        <v>1.3323903215488997E-13</v>
      </c>
      <c r="G87" s="336">
        <f t="shared" si="76"/>
        <v>1.4481011608335119E-13</v>
      </c>
      <c r="H87" s="409">
        <f t="shared" si="76"/>
        <v>1.4624209754825412E-13</v>
      </c>
      <c r="I87" s="116">
        <f t="shared" si="76"/>
        <v>1.6979932708566219E-13</v>
      </c>
      <c r="J87" s="116">
        <f>J35/J$49</f>
        <v>1.9715124414999813E-13</v>
      </c>
      <c r="K87" s="116">
        <f t="shared" si="76"/>
        <v>2.2890911134343492E-13</v>
      </c>
      <c r="L87" s="116">
        <f t="shared" si="76"/>
        <v>2.6578265575729356E-13</v>
      </c>
      <c r="M87" s="116">
        <f t="shared" si="76"/>
        <v>3.0859593000392803E-13</v>
      </c>
      <c r="N87" s="178">
        <f t="shared" si="76"/>
        <v>3.5830572820354528E-13</v>
      </c>
      <c r="O87" s="116">
        <f t="shared" si="76"/>
        <v>3.6255091330181335E-13</v>
      </c>
      <c r="P87" s="116">
        <f t="shared" si="76"/>
        <v>3.6684639510231089E-13</v>
      </c>
      <c r="Q87" s="116">
        <f t="shared" si="76"/>
        <v>3.7119276951739429E-13</v>
      </c>
      <c r="R87" s="116">
        <f t="shared" si="76"/>
        <v>3.7559063951975426E-13</v>
      </c>
      <c r="S87" s="116">
        <f t="shared" si="76"/>
        <v>3.8004061522606642E-13</v>
      </c>
      <c r="T87" s="116">
        <f t="shared" si="76"/>
        <v>3.8454331398163258E-13</v>
      </c>
      <c r="U87" s="116">
        <f t="shared" si="76"/>
        <v>3.8909936044602543E-13</v>
      </c>
      <c r="V87" s="116">
        <f t="shared" si="76"/>
        <v>3.9370938667974717E-13</v>
      </c>
      <c r="W87" s="116">
        <f t="shared" si="76"/>
        <v>3.9837403223191559E-13</v>
      </c>
      <c r="X87" s="178">
        <f t="shared" si="76"/>
        <v>4.0309394422898832E-13</v>
      </c>
      <c r="Y87" s="173">
        <f t="shared" si="76"/>
        <v>4.0736341499781519E-13</v>
      </c>
      <c r="Z87" s="173">
        <f t="shared" si="76"/>
        <v>4.1167810693879516E-13</v>
      </c>
      <c r="AA87" s="173">
        <f t="shared" si="76"/>
        <v>4.1603849902333285E-13</v>
      </c>
      <c r="AB87" s="173">
        <f t="shared" si="76"/>
        <v>4.2044507529597877E-13</v>
      </c>
      <c r="AC87" s="173">
        <f t="shared" si="76"/>
        <v>4.2489832492816295E-13</v>
      </c>
      <c r="AD87" s="173">
        <f t="shared" si="76"/>
        <v>4.2939874227249725E-13</v>
      </c>
      <c r="AE87" s="173">
        <f t="shared" si="76"/>
        <v>4.3394682691765378E-13</v>
      </c>
      <c r="AF87" s="173">
        <f t="shared" si="76"/>
        <v>4.3854308374382331E-13</v>
      </c>
      <c r="AG87" s="173">
        <f t="shared" si="76"/>
        <v>4.4318802297876203E-13</v>
      </c>
      <c r="AH87" s="178">
        <f t="shared" si="76"/>
        <v>4.4788216025443157E-13</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1.4957230406028168E-2</v>
      </c>
      <c r="D89" s="336">
        <f t="shared" si="78"/>
        <v>1.7348142636388692E-2</v>
      </c>
      <c r="E89" s="336">
        <f t="shared" si="78"/>
        <v>2.0121242018923034E-2</v>
      </c>
      <c r="F89" s="336">
        <f t="shared" si="78"/>
        <v>2.3337621143075478E-2</v>
      </c>
      <c r="G89" s="336">
        <f t="shared" si="78"/>
        <v>2.7068138244424091E-2</v>
      </c>
      <c r="H89" s="409">
        <f t="shared" si="78"/>
        <v>2.2868522558505553E-2</v>
      </c>
      <c r="I89" s="116">
        <f t="shared" si="78"/>
        <v>2.6524054284042812E-2</v>
      </c>
      <c r="J89" s="116">
        <f t="shared" si="78"/>
        <v>3.0763922499277754E-2</v>
      </c>
      <c r="K89" s="116">
        <f t="shared" si="78"/>
        <v>3.5681533351066351E-2</v>
      </c>
      <c r="L89" s="116">
        <f t="shared" si="78"/>
        <v>4.1385223952282113E-2</v>
      </c>
      <c r="M89" s="116">
        <f t="shared" si="78"/>
        <v>4.8000649095685785E-2</v>
      </c>
      <c r="N89" s="178">
        <f t="shared" si="78"/>
        <v>5.5673549483839561E-2</v>
      </c>
      <c r="O89" s="116">
        <f t="shared" si="78"/>
        <v>5.6333166408808796E-2</v>
      </c>
      <c r="P89" s="116">
        <f t="shared" si="78"/>
        <v>5.7000598436133469E-2</v>
      </c>
      <c r="Q89" s="116">
        <f t="shared" si="78"/>
        <v>5.7675938158684541E-2</v>
      </c>
      <c r="R89" s="116">
        <f t="shared" si="78"/>
        <v>5.8359279266367831E-2</v>
      </c>
      <c r="S89" s="116">
        <f t="shared" si="78"/>
        <v>5.9050716559121669E-2</v>
      </c>
      <c r="T89" s="116">
        <f t="shared" si="78"/>
        <v>5.9750345960068431E-2</v>
      </c>
      <c r="U89" s="116">
        <f t="shared" si="78"/>
        <v>6.0458264528821956E-2</v>
      </c>
      <c r="V89" s="116">
        <f t="shared" si="78"/>
        <v>6.11745704749527E-2</v>
      </c>
      <c r="W89" s="116">
        <f t="shared" si="78"/>
        <v>6.1899363171612279E-2</v>
      </c>
      <c r="X89" s="178">
        <f t="shared" si="78"/>
        <v>6.2632743169319494E-2</v>
      </c>
      <c r="Y89" s="173">
        <f t="shared" si="78"/>
        <v>6.3296133602148572E-2</v>
      </c>
      <c r="Z89" s="173">
        <f t="shared" si="78"/>
        <v>6.3966550501392813E-2</v>
      </c>
      <c r="AA89" s="173">
        <f t="shared" si="78"/>
        <v>6.4644068289636342E-2</v>
      </c>
      <c r="AB89" s="173">
        <f t="shared" si="78"/>
        <v>6.5328762177728747E-2</v>
      </c>
      <c r="AC89" s="173">
        <f t="shared" si="78"/>
        <v>6.602070817313424E-2</v>
      </c>
      <c r="AD89" s="173">
        <f t="shared" si="78"/>
        <v>6.6719983088369184E-2</v>
      </c>
      <c r="AE89" s="173">
        <f t="shared" si="78"/>
        <v>6.7426664549529003E-2</v>
      </c>
      <c r="AF89" s="173">
        <f t="shared" si="78"/>
        <v>6.8140831004905394E-2</v>
      </c>
      <c r="AG89" s="173">
        <f t="shared" si="78"/>
        <v>6.8862561733694871E-2</v>
      </c>
      <c r="AH89" s="178">
        <f t="shared" si="78"/>
        <v>6.9591936854799447E-2</v>
      </c>
      <c r="AI89" s="127"/>
    </row>
    <row r="90" spans="1:35" s="252" customFormat="1">
      <c r="A90" s="10" t="s">
        <v>347</v>
      </c>
      <c r="B90" s="37"/>
      <c r="C90" s="410">
        <f t="shared" ref="C90:AH90" si="79">C38/C$49</f>
        <v>0</v>
      </c>
      <c r="D90" s="336">
        <f t="shared" si="79"/>
        <v>0</v>
      </c>
      <c r="E90" s="336">
        <f t="shared" si="79"/>
        <v>3.0770065710304901E-7</v>
      </c>
      <c r="F90" s="336">
        <f t="shared" si="79"/>
        <v>2.6647806430977997E-7</v>
      </c>
      <c r="G90" s="336">
        <f t="shared" si="79"/>
        <v>2.896202321667024E-7</v>
      </c>
      <c r="H90" s="409">
        <f t="shared" si="79"/>
        <v>2.0500146242097551E-2</v>
      </c>
      <c r="I90" s="396">
        <f t="shared" si="79"/>
        <v>2.6416762259826271E-2</v>
      </c>
      <c r="J90" s="396">
        <f t="shared" si="79"/>
        <v>3.4040992686146757E-2</v>
      </c>
      <c r="K90" s="396">
        <f t="shared" si="79"/>
        <v>4.3865677847301707E-2</v>
      </c>
      <c r="L90" s="396">
        <f t="shared" si="79"/>
        <v>5.6525898370358707E-2</v>
      </c>
      <c r="M90" s="396">
        <f t="shared" si="79"/>
        <v>7.2840027633875148E-2</v>
      </c>
      <c r="N90" s="397">
        <f t="shared" si="79"/>
        <v>9.386263250414624E-2</v>
      </c>
      <c r="O90" s="396">
        <f t="shared" si="79"/>
        <v>9.4974711428445324E-2</v>
      </c>
      <c r="P90" s="396">
        <f t="shared" si="79"/>
        <v>9.6099966198135503E-2</v>
      </c>
      <c r="Q90" s="396">
        <f t="shared" si="79"/>
        <v>9.7238552919854448E-2</v>
      </c>
      <c r="R90" s="396">
        <f t="shared" si="79"/>
        <v>9.8390629549782116E-2</v>
      </c>
      <c r="S90" s="396">
        <f t="shared" si="79"/>
        <v>9.9556355915553965E-2</v>
      </c>
      <c r="T90" s="396">
        <f t="shared" si="79"/>
        <v>0.10073589373843381</v>
      </c>
      <c r="U90" s="396">
        <f t="shared" si="79"/>
        <v>0.10192940665574945</v>
      </c>
      <c r="V90" s="396">
        <f t="shared" si="79"/>
        <v>0.10313706024359408</v>
      </c>
      <c r="W90" s="396">
        <f t="shared" si="79"/>
        <v>0.10435902203979668</v>
      </c>
      <c r="X90" s="397">
        <f t="shared" si="79"/>
        <v>0.1055954615671645</v>
      </c>
      <c r="Y90" s="396">
        <f t="shared" si="79"/>
        <v>0.10671390242428062</v>
      </c>
      <c r="Z90" s="396">
        <f t="shared" si="79"/>
        <v>0.10784418952869092</v>
      </c>
      <c r="AA90" s="396">
        <f t="shared" si="79"/>
        <v>0.10898644835289942</v>
      </c>
      <c r="AB90" s="396">
        <f t="shared" si="79"/>
        <v>0.11014080569838368</v>
      </c>
      <c r="AC90" s="396">
        <f t="shared" si="79"/>
        <v>0.11130738970967102</v>
      </c>
      <c r="AD90" s="396">
        <f t="shared" si="79"/>
        <v>0.11248632988856365</v>
      </c>
      <c r="AE90" s="396">
        <f t="shared" si="79"/>
        <v>0.11367775710851466</v>
      </c>
      <c r="AF90" s="396">
        <f t="shared" si="79"/>
        <v>0.11488180362915625</v>
      </c>
      <c r="AG90" s="396">
        <f t="shared" si="79"/>
        <v>0.11609860311098165</v>
      </c>
      <c r="AH90" s="397">
        <f t="shared" si="79"/>
        <v>0.1173282906301828</v>
      </c>
      <c r="AI90" s="292"/>
    </row>
    <row r="91" spans="1:35" s="252" customFormat="1">
      <c r="A91" s="10" t="s">
        <v>348</v>
      </c>
      <c r="B91" s="37"/>
      <c r="C91" s="410">
        <f t="shared" ref="C91:AH91" si="80">C39/C$49</f>
        <v>0</v>
      </c>
      <c r="D91" s="336">
        <f t="shared" si="80"/>
        <v>0</v>
      </c>
      <c r="E91" s="336">
        <f t="shared" si="80"/>
        <v>1.538503285515245E-7</v>
      </c>
      <c r="F91" s="336">
        <f t="shared" si="80"/>
        <v>1.3323903215488998E-7</v>
      </c>
      <c r="G91" s="336">
        <f t="shared" si="80"/>
        <v>1.448101160833512E-7</v>
      </c>
      <c r="H91" s="409">
        <f t="shared" si="80"/>
        <v>1.4624209754825415E-7</v>
      </c>
      <c r="I91" s="396">
        <f t="shared" si="80"/>
        <v>1.6979932708566221E-7</v>
      </c>
      <c r="J91" s="396">
        <f t="shared" si="80"/>
        <v>1.9715124414999815E-7</v>
      </c>
      <c r="K91" s="396">
        <f t="shared" si="80"/>
        <v>2.2890911134343497E-7</v>
      </c>
      <c r="L91" s="396">
        <f t="shared" si="80"/>
        <v>2.657826557572936E-7</v>
      </c>
      <c r="M91" s="396">
        <f t="shared" si="80"/>
        <v>3.0859593000392807E-7</v>
      </c>
      <c r="N91" s="397">
        <f t="shared" si="80"/>
        <v>3.5830572820354524E-7</v>
      </c>
      <c r="O91" s="396">
        <f t="shared" si="80"/>
        <v>3.6255091330181335E-7</v>
      </c>
      <c r="P91" s="396">
        <f t="shared" si="80"/>
        <v>3.6684639510231092E-7</v>
      </c>
      <c r="Q91" s="396">
        <f t="shared" si="80"/>
        <v>3.7119276951739432E-7</v>
      </c>
      <c r="R91" s="396">
        <f t="shared" si="80"/>
        <v>3.7559063951975427E-7</v>
      </c>
      <c r="S91" s="396">
        <f t="shared" si="80"/>
        <v>3.8004061522606638E-7</v>
      </c>
      <c r="T91" s="396">
        <f t="shared" si="80"/>
        <v>3.8454331398163255E-7</v>
      </c>
      <c r="U91" s="396">
        <f t="shared" si="80"/>
        <v>3.8909936044602544E-7</v>
      </c>
      <c r="V91" s="396">
        <f t="shared" si="80"/>
        <v>3.9370938667974721E-7</v>
      </c>
      <c r="W91" s="396">
        <f t="shared" si="80"/>
        <v>3.9837403223191566E-7</v>
      </c>
      <c r="X91" s="397">
        <f t="shared" si="80"/>
        <v>4.0309394422898832E-7</v>
      </c>
      <c r="Y91" s="396">
        <f t="shared" si="80"/>
        <v>4.0736341499781515E-7</v>
      </c>
      <c r="Z91" s="396">
        <f t="shared" si="80"/>
        <v>4.1167810693879515E-7</v>
      </c>
      <c r="AA91" s="396">
        <f t="shared" si="80"/>
        <v>4.1603849902333287E-7</v>
      </c>
      <c r="AB91" s="396">
        <f t="shared" si="80"/>
        <v>4.2044507529597879E-7</v>
      </c>
      <c r="AC91" s="396">
        <f t="shared" si="80"/>
        <v>4.2489832492816288E-7</v>
      </c>
      <c r="AD91" s="396">
        <f t="shared" si="80"/>
        <v>4.2939874227249723E-7</v>
      </c>
      <c r="AE91" s="396">
        <f t="shared" si="80"/>
        <v>4.3394682691765376E-7</v>
      </c>
      <c r="AF91" s="396">
        <f t="shared" si="80"/>
        <v>4.3854308374382327E-7</v>
      </c>
      <c r="AG91" s="396">
        <f t="shared" si="80"/>
        <v>4.4318802297876204E-7</v>
      </c>
      <c r="AH91" s="397">
        <f t="shared" si="80"/>
        <v>4.478821602544315E-7</v>
      </c>
      <c r="AI91" s="292"/>
    </row>
    <row r="92" spans="1:35">
      <c r="A92" s="9" t="s">
        <v>344</v>
      </c>
      <c r="B92" s="37"/>
      <c r="C92" s="410">
        <f t="shared" ref="C92:AH92" si="81">C40/C$49</f>
        <v>1.616997881732775E-7</v>
      </c>
      <c r="D92" s="336">
        <f t="shared" si="81"/>
        <v>1.8774700091167026E-7</v>
      </c>
      <c r="E92" s="336">
        <f t="shared" si="81"/>
        <v>2.1798999707750979E-7</v>
      </c>
      <c r="F92" s="336">
        <f t="shared" si="81"/>
        <v>2.5310464931585984E-7</v>
      </c>
      <c r="G92" s="336">
        <f t="shared" si="81"/>
        <v>2.9387570239072095E-7</v>
      </c>
      <c r="H92" s="409">
        <f t="shared" si="81"/>
        <v>1.4624209754825415E-7</v>
      </c>
      <c r="I92" s="116">
        <f t="shared" si="81"/>
        <v>1.6979932708566221E-7</v>
      </c>
      <c r="J92" s="116">
        <f t="shared" si="81"/>
        <v>1.9715124414999815E-7</v>
      </c>
      <c r="K92" s="116">
        <f t="shared" si="81"/>
        <v>2.2890911134343497E-7</v>
      </c>
      <c r="L92" s="116">
        <f t="shared" si="81"/>
        <v>2.657826557572936E-7</v>
      </c>
      <c r="M92" s="116">
        <f t="shared" si="81"/>
        <v>3.0859593000392807E-7</v>
      </c>
      <c r="N92" s="178">
        <f t="shared" si="81"/>
        <v>3.5830572820354524E-7</v>
      </c>
      <c r="O92" s="116">
        <f t="shared" si="81"/>
        <v>3.6255091330181335E-7</v>
      </c>
      <c r="P92" s="116">
        <f t="shared" si="81"/>
        <v>3.6684639510231092E-7</v>
      </c>
      <c r="Q92" s="116">
        <f t="shared" si="81"/>
        <v>3.7119276951739432E-7</v>
      </c>
      <c r="R92" s="116">
        <f t="shared" si="81"/>
        <v>3.7559063951975427E-7</v>
      </c>
      <c r="S92" s="116">
        <f t="shared" si="81"/>
        <v>3.8004061522606638E-7</v>
      </c>
      <c r="T92" s="116">
        <f t="shared" si="81"/>
        <v>3.8454331398163255E-7</v>
      </c>
      <c r="U92" s="116">
        <f t="shared" si="81"/>
        <v>3.8909936044602544E-7</v>
      </c>
      <c r="V92" s="116">
        <f t="shared" si="81"/>
        <v>3.9370938667974721E-7</v>
      </c>
      <c r="W92" s="116">
        <f t="shared" si="81"/>
        <v>3.9837403223191566E-7</v>
      </c>
      <c r="X92" s="178">
        <f t="shared" si="81"/>
        <v>4.0309394422898832E-7</v>
      </c>
      <c r="Y92" s="173">
        <f t="shared" si="81"/>
        <v>4.0736341499781515E-7</v>
      </c>
      <c r="Z92" s="173">
        <f t="shared" si="81"/>
        <v>4.1167810693879515E-7</v>
      </c>
      <c r="AA92" s="173">
        <f t="shared" si="81"/>
        <v>4.1603849902333287E-7</v>
      </c>
      <c r="AB92" s="173">
        <f t="shared" si="81"/>
        <v>4.2044507529597879E-7</v>
      </c>
      <c r="AC92" s="173">
        <f t="shared" si="81"/>
        <v>4.2489832492816288E-7</v>
      </c>
      <c r="AD92" s="173">
        <f t="shared" si="81"/>
        <v>4.2939874227249723E-7</v>
      </c>
      <c r="AE92" s="173">
        <f t="shared" si="81"/>
        <v>4.3394682691765376E-7</v>
      </c>
      <c r="AF92" s="173">
        <f t="shared" si="81"/>
        <v>4.3854308374382327E-7</v>
      </c>
      <c r="AG92" s="173">
        <f t="shared" si="81"/>
        <v>4.4318802297876204E-7</v>
      </c>
      <c r="AH92" s="178">
        <f t="shared" si="81"/>
        <v>4.478821602544315E-7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1.4624209754825413E-5</v>
      </c>
      <c r="I93" s="116">
        <f t="shared" si="82"/>
        <v>2.766432517188058E-5</v>
      </c>
      <c r="J93" s="116">
        <f t="shared" si="82"/>
        <v>3.8794375825250452E-5</v>
      </c>
      <c r="K93" s="116">
        <f t="shared" si="82"/>
        <v>5.1310163720157557E-5</v>
      </c>
      <c r="L93" s="116">
        <f t="shared" si="82"/>
        <v>6.4128584077065786E-5</v>
      </c>
      <c r="M93" s="116">
        <f t="shared" si="82"/>
        <v>7.7243927413327888E-5</v>
      </c>
      <c r="N93" s="178">
        <f t="shared" si="82"/>
        <v>9.0318646140781042E-5</v>
      </c>
      <c r="O93" s="116">
        <f t="shared" si="82"/>
        <v>1.0399707058445153E-4</v>
      </c>
      <c r="P93" s="116">
        <f t="shared" si="82"/>
        <v>1.1606815519725262E-4</v>
      </c>
      <c r="Q93" s="116">
        <f t="shared" si="82"/>
        <v>1.2642435222392731E-4</v>
      </c>
      <c r="R93" s="116">
        <f t="shared" si="82"/>
        <v>1.3912829358572325E-4</v>
      </c>
      <c r="S93" s="116">
        <f t="shared" si="82"/>
        <v>1.5150318309595625E-4</v>
      </c>
      <c r="T93" s="116">
        <f t="shared" si="82"/>
        <v>1.5963654267476624E-4</v>
      </c>
      <c r="U93" s="116">
        <f t="shared" si="82"/>
        <v>1.7015620577063025E-4</v>
      </c>
      <c r="V93" s="116">
        <f t="shared" si="82"/>
        <v>1.8260936346677829E-4</v>
      </c>
      <c r="W93" s="116">
        <f t="shared" si="82"/>
        <v>1.9317502269596451E-4</v>
      </c>
      <c r="X93" s="178">
        <f t="shared" si="82"/>
        <v>2.0586782293960441E-4</v>
      </c>
      <c r="Y93" s="173">
        <f t="shared" si="82"/>
        <v>2.1165346037376143E-4</v>
      </c>
      <c r="Z93" s="173">
        <f t="shared" si="82"/>
        <v>2.176338279774914E-4</v>
      </c>
      <c r="AA93" s="173">
        <f t="shared" si="82"/>
        <v>2.2273155367442867E-4</v>
      </c>
      <c r="AB93" s="173">
        <f t="shared" si="82"/>
        <v>2.2880306817537341E-4</v>
      </c>
      <c r="AC93" s="173">
        <f t="shared" si="82"/>
        <v>2.3574779653291473E-4</v>
      </c>
      <c r="AD93" s="173">
        <f t="shared" si="82"/>
        <v>2.4193453347919432E-4</v>
      </c>
      <c r="AE93" s="173">
        <f t="shared" si="82"/>
        <v>2.4884457833480877E-4</v>
      </c>
      <c r="AF93" s="173">
        <f t="shared" si="82"/>
        <v>2.5652554956073103E-4</v>
      </c>
      <c r="AG93" s="173">
        <f t="shared" si="82"/>
        <v>2.6610327340069662E-4</v>
      </c>
      <c r="AH93" s="178">
        <f t="shared" si="82"/>
        <v>2.7451653524312119E-4</v>
      </c>
      <c r="AI93" s="127"/>
    </row>
    <row r="94" spans="1:35">
      <c r="A94" s="9" t="s">
        <v>53</v>
      </c>
      <c r="B94" s="37"/>
      <c r="C94" s="410">
        <f t="shared" ref="C94:AH94" si="83">C42/C$49</f>
        <v>3.3956955516388276E-4</v>
      </c>
      <c r="D94" s="336">
        <f t="shared" si="83"/>
        <v>3.9513675124006384E-4</v>
      </c>
      <c r="E94" s="336">
        <f t="shared" si="83"/>
        <v>3.1560833402399743E-3</v>
      </c>
      <c r="F94" s="336">
        <f t="shared" si="83"/>
        <v>3.225411060445629E-3</v>
      </c>
      <c r="G94" s="336">
        <f t="shared" si="83"/>
        <v>4.0292117746773982E-3</v>
      </c>
      <c r="H94" s="409">
        <f t="shared" si="83"/>
        <v>4.0787833373671627E-3</v>
      </c>
      <c r="I94" s="116">
        <f t="shared" si="83"/>
        <v>4.7462358519200576E-3</v>
      </c>
      <c r="J94" s="116">
        <f t="shared" si="83"/>
        <v>5.5229103629201937E-3</v>
      </c>
      <c r="K94" s="116">
        <f t="shared" si="83"/>
        <v>6.4266799688244879E-3</v>
      </c>
      <c r="L94" s="116">
        <f t="shared" si="83"/>
        <v>7.4783425237145637E-3</v>
      </c>
      <c r="M94" s="116">
        <f t="shared" si="83"/>
        <v>8.7020992446006223E-3</v>
      </c>
      <c r="N94" s="178">
        <f t="shared" si="83"/>
        <v>1.012611163807252E-2</v>
      </c>
      <c r="O94" s="116">
        <f t="shared" si="83"/>
        <v>1.0246085210487546E-2</v>
      </c>
      <c r="P94" s="116">
        <f t="shared" si="83"/>
        <v>1.0367480222700239E-2</v>
      </c>
      <c r="Q94" s="116">
        <f t="shared" si="83"/>
        <v>1.0490313515845343E-2</v>
      </c>
      <c r="R94" s="116">
        <f t="shared" si="83"/>
        <v>1.0614602130590371E-2</v>
      </c>
      <c r="S94" s="116">
        <f t="shared" si="83"/>
        <v>1.0740363309499654E-2</v>
      </c>
      <c r="T94" s="116">
        <f t="shared" si="83"/>
        <v>1.0867614499426409E-2</v>
      </c>
      <c r="U94" s="116">
        <f t="shared" si="83"/>
        <v>1.0996373353933137E-2</v>
      </c>
      <c r="V94" s="116">
        <f t="shared" si="83"/>
        <v>1.1126657735740704E-2</v>
      </c>
      <c r="W94" s="116">
        <f t="shared" si="83"/>
        <v>1.1258485719206441E-2</v>
      </c>
      <c r="X94" s="178">
        <f t="shared" si="83"/>
        <v>1.1391875592831583E-2</v>
      </c>
      <c r="Y94" s="173">
        <f t="shared" si="83"/>
        <v>1.1512535504849703E-2</v>
      </c>
      <c r="Z94" s="173">
        <f t="shared" si="83"/>
        <v>1.1634473416636129E-2</v>
      </c>
      <c r="AA94" s="173">
        <f t="shared" si="83"/>
        <v>1.1757702864446447E-2</v>
      </c>
      <c r="AB94" s="173">
        <f t="shared" si="83"/>
        <v>1.1882237527908889E-2</v>
      </c>
      <c r="AC94" s="173">
        <f t="shared" si="83"/>
        <v>1.2008091231542914E-2</v>
      </c>
      <c r="AD94" s="173">
        <f t="shared" si="83"/>
        <v>1.2135277946293838E-2</v>
      </c>
      <c r="AE94" s="173">
        <f t="shared" si="83"/>
        <v>1.2263811791083773E-2</v>
      </c>
      <c r="AF94" s="173">
        <f t="shared" si="83"/>
        <v>1.2393707034378924E-2</v>
      </c>
      <c r="AG94" s="173">
        <f t="shared" si="83"/>
        <v>1.2524978095773546E-2</v>
      </c>
      <c r="AH94" s="178">
        <f t="shared" si="83"/>
        <v>1.265763954759065E-2</v>
      </c>
      <c r="AI94" s="127"/>
    </row>
    <row r="95" spans="1:35" s="378" customFormat="1">
      <c r="A95" s="373" t="s">
        <v>540</v>
      </c>
      <c r="B95" s="374"/>
      <c r="C95" s="375">
        <f>SUM(C86:C94)</f>
        <v>1.5296961660980225E-2</v>
      </c>
      <c r="D95" s="375">
        <f>SUM(D86:D94)</f>
        <v>1.7743467134629667E-2</v>
      </c>
      <c r="E95" s="375">
        <f>SUM(E86:E94)</f>
        <v>2.3299529930531873E-2</v>
      </c>
      <c r="F95" s="375">
        <f>SUM(F86:F94)</f>
        <v>2.6581637292847286E-2</v>
      </c>
      <c r="G95" s="375">
        <f t="shared" ref="G95:AH95" si="84">SUM(G86:G94)</f>
        <v>3.1119306923555308E-2</v>
      </c>
      <c r="H95" s="375">
        <f t="shared" si="84"/>
        <v>4.748671622553674E-2</v>
      </c>
      <c r="I95" s="375">
        <f t="shared" si="84"/>
        <v>5.7752782819508131E-2</v>
      </c>
      <c r="J95" s="375">
        <f t="shared" si="84"/>
        <v>7.0425471769059916E-2</v>
      </c>
      <c r="K95" s="375">
        <f t="shared" si="84"/>
        <v>8.6116239623717061E-2</v>
      </c>
      <c r="L95" s="375">
        <f t="shared" si="84"/>
        <v>0.10559448023546317</v>
      </c>
      <c r="M95" s="375">
        <f t="shared" si="84"/>
        <v>0.1298381187682742</v>
      </c>
      <c r="N95" s="376">
        <f t="shared" si="84"/>
        <v>0.16009031864614082</v>
      </c>
      <c r="O95" s="375">
        <f t="shared" si="84"/>
        <v>0.16199966761743384</v>
      </c>
      <c r="P95" s="375">
        <f t="shared" si="84"/>
        <v>0.16392986904153475</v>
      </c>
      <c r="Q95" s="375">
        <f t="shared" si="84"/>
        <v>0.16588108147298453</v>
      </c>
      <c r="R95" s="375">
        <f t="shared" si="84"/>
        <v>0.16785763679876473</v>
      </c>
      <c r="S95" s="375">
        <f t="shared" si="84"/>
        <v>0.1698571306678674</v>
      </c>
      <c r="T95" s="375">
        <f t="shared" si="84"/>
        <v>0.17187592627530546</v>
      </c>
      <c r="U95" s="375">
        <f t="shared" si="84"/>
        <v>0.17392093039377893</v>
      </c>
      <c r="V95" s="375">
        <f t="shared" si="84"/>
        <v>0.17599197245847811</v>
      </c>
      <c r="W95" s="375">
        <f t="shared" si="84"/>
        <v>0.17808551706445461</v>
      </c>
      <c r="X95" s="376">
        <f t="shared" si="84"/>
        <v>0.18020586782293957</v>
      </c>
      <c r="Y95" s="375">
        <f t="shared" si="84"/>
        <v>0.18211816867696623</v>
      </c>
      <c r="Z95" s="375">
        <f t="shared" si="84"/>
        <v>0.18405085759600179</v>
      </c>
      <c r="AA95" s="375">
        <f t="shared" si="84"/>
        <v>0.1860030710907486</v>
      </c>
      <c r="AB95" s="375">
        <f t="shared" si="84"/>
        <v>0.18797688174008928</v>
      </c>
      <c r="AC95" s="375">
        <f t="shared" si="84"/>
        <v>0.18997240740663573</v>
      </c>
      <c r="AD95" s="375">
        <f t="shared" si="84"/>
        <v>0.19198823763631581</v>
      </c>
      <c r="AE95" s="375">
        <f t="shared" si="84"/>
        <v>0.19402607681778752</v>
      </c>
      <c r="AF95" s="375">
        <f t="shared" si="84"/>
        <v>0.19608619802175614</v>
      </c>
      <c r="AG95" s="375">
        <f t="shared" si="84"/>
        <v>0.19816995491464365</v>
      </c>
      <c r="AH95" s="376">
        <f t="shared" si="84"/>
        <v>0.20027451653524314</v>
      </c>
      <c r="AI95" s="377"/>
    </row>
    <row r="96" spans="1:35">
      <c r="A96" s="10" t="s">
        <v>543</v>
      </c>
      <c r="B96" s="37"/>
      <c r="C96" s="332"/>
      <c r="D96" s="332">
        <f>D95/C95-1</f>
        <v>0.15993407892823797</v>
      </c>
      <c r="E96" s="332">
        <f t="shared" ref="E96:O96" si="85">E95/D95-1</f>
        <v>0.31313287046692917</v>
      </c>
      <c r="F96" s="332">
        <f t="shared" si="85"/>
        <v>0.14086581884274474</v>
      </c>
      <c r="G96" s="332">
        <f t="shared" si="85"/>
        <v>0.17070692751981231</v>
      </c>
      <c r="H96" s="284"/>
      <c r="I96" s="164">
        <f t="shared" si="85"/>
        <v>0.21618817660949663</v>
      </c>
      <c r="J96" s="164">
        <f t="shared" si="85"/>
        <v>0.21942992754404766</v>
      </c>
      <c r="K96" s="164">
        <f t="shared" si="85"/>
        <v>0.2227996129881884</v>
      </c>
      <c r="L96" s="164">
        <f t="shared" si="85"/>
        <v>0.22618545232415888</v>
      </c>
      <c r="M96" s="164">
        <f t="shared" si="85"/>
        <v>0.22959191123201328</v>
      </c>
      <c r="N96" s="164">
        <f t="shared" si="85"/>
        <v>0.23299937002213178</v>
      </c>
      <c r="O96" s="172">
        <f t="shared" si="85"/>
        <v>1.1926698550168924E-2</v>
      </c>
      <c r="P96" s="172">
        <f t="shared" ref="P96:AH96" si="86">P95/O95-1</f>
        <v>1.1914848051782112E-2</v>
      </c>
      <c r="Q96" s="172">
        <f t="shared" si="86"/>
        <v>1.190272671391801E-2</v>
      </c>
      <c r="R96" s="172">
        <f t="shared" si="86"/>
        <v>1.1915495777027996E-2</v>
      </c>
      <c r="S96" s="172">
        <f t="shared" si="86"/>
        <v>1.19118433169636E-2</v>
      </c>
      <c r="T96" s="172">
        <f t="shared" si="86"/>
        <v>1.1885256741947181E-2</v>
      </c>
      <c r="U96" s="172">
        <f t="shared" si="86"/>
        <v>1.1898141658290395E-2</v>
      </c>
      <c r="V96" s="172">
        <f t="shared" si="86"/>
        <v>1.1907951849211562E-2</v>
      </c>
      <c r="W96" s="172">
        <f t="shared" si="86"/>
        <v>1.1895682381027006E-2</v>
      </c>
      <c r="X96" s="185">
        <f t="shared" si="86"/>
        <v>1.1906362703922424E-2</v>
      </c>
      <c r="Y96" s="172">
        <f t="shared" si="86"/>
        <v>1.0611756859691068E-2</v>
      </c>
      <c r="Z96" s="172">
        <f t="shared" si="86"/>
        <v>1.0612279560441307E-2</v>
      </c>
      <c r="AA96" s="172">
        <f t="shared" si="86"/>
        <v>1.0606924196093548E-2</v>
      </c>
      <c r="AB96" s="172">
        <f t="shared" si="86"/>
        <v>1.0611709999012175E-2</v>
      </c>
      <c r="AC96" s="172">
        <f t="shared" si="86"/>
        <v>1.0615803646033539E-2</v>
      </c>
      <c r="AD96" s="172">
        <f t="shared" si="86"/>
        <v>1.0611173786755135E-2</v>
      </c>
      <c r="AE96" s="172">
        <f t="shared" si="86"/>
        <v>1.0614395999259063E-2</v>
      </c>
      <c r="AF96" s="172">
        <f t="shared" si="86"/>
        <v>1.0617754261471379E-2</v>
      </c>
      <c r="AG96" s="172">
        <f t="shared" si="86"/>
        <v>1.0626739229531612E-2</v>
      </c>
      <c r="AH96" s="185">
        <f t="shared" si="86"/>
        <v>1.0619983344629436E-2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4.7984999999999998</v>
      </c>
      <c r="D102" s="331">
        <f>D31*Inputs!$C$48</f>
        <v>5.2003805126554941</v>
      </c>
      <c r="E102" s="331">
        <f>E31*Inputs!$C$48</f>
        <v>5.2355518768911704</v>
      </c>
      <c r="F102" s="331">
        <f>F31*Inputs!$C$48</f>
        <v>6.1564455593168699</v>
      </c>
      <c r="G102" s="331">
        <f>G31*Inputs!$C$48</f>
        <v>5.7666297207191466</v>
      </c>
      <c r="H102" s="402">
        <f>H31*Inputs!$C$48</f>
        <v>6.1133369355816374</v>
      </c>
      <c r="I102" s="14">
        <f>I31*Inputs!$C$48</f>
        <v>6.5170752922899853</v>
      </c>
      <c r="J102" s="14">
        <f>J31*Inputs!$C$48</f>
        <v>7.028423564571006</v>
      </c>
      <c r="K102" s="14">
        <f>K31*Inputs!$C$48</f>
        <v>7.1432468847551691</v>
      </c>
      <c r="L102" s="14">
        <f>L31*Inputs!$C$48</f>
        <v>7.2021561443230402</v>
      </c>
      <c r="M102" s="14">
        <f>M31*Inputs!$C$48</f>
        <v>7.232827873895296</v>
      </c>
      <c r="N102" s="182">
        <f>N31*Inputs!$C$48</f>
        <v>7.2743011721729118</v>
      </c>
      <c r="O102" s="14">
        <f>O31*Inputs!$C$48</f>
        <v>7.1757547180147476</v>
      </c>
      <c r="P102" s="14">
        <f>P31*Inputs!$C$48</f>
        <v>7.1885225411331568</v>
      </c>
      <c r="Q102" s="14">
        <f>Q31*Inputs!$C$48</f>
        <v>7.2874272827627689</v>
      </c>
      <c r="R102" s="14">
        <f>R31*Inputs!$C$48</f>
        <v>7.2386903837267571</v>
      </c>
      <c r="S102" s="14">
        <f>S31*Inputs!$C$48</f>
        <v>7.2061433263405963</v>
      </c>
      <c r="T102" s="14">
        <f>T31*Inputs!$C$48</f>
        <v>7.3620318168981074</v>
      </c>
      <c r="U102" s="14">
        <f>U31*Inputs!$C$48</f>
        <v>7.3908183293261427</v>
      </c>
      <c r="V102" s="14">
        <f>V31*Inputs!$C$48</f>
        <v>7.3314233224990959</v>
      </c>
      <c r="W102" s="14">
        <f>W31*Inputs!$C$48</f>
        <v>7.3447804577250064</v>
      </c>
      <c r="X102" s="187">
        <f>X31*Inputs!$C$48</f>
        <v>7.2751454756001737</v>
      </c>
      <c r="Y102" s="158">
        <f>Y31*Inputs!$C$48</f>
        <v>7.3724035111880273</v>
      </c>
      <c r="Z102" s="158">
        <f>Z31*Inputs!$C$48</f>
        <v>7.4448265403960603</v>
      </c>
      <c r="AA102" s="158">
        <f>AA31*Inputs!$C$48</f>
        <v>7.5304665439681582</v>
      </c>
      <c r="AB102" s="158">
        <f>AB31*Inputs!$C$48</f>
        <v>7.5675294569783222</v>
      </c>
      <c r="AC102" s="158">
        <f>AC31*Inputs!$C$48</f>
        <v>7.5625327571805068</v>
      </c>
      <c r="AD102" s="158">
        <f>AD31*Inputs!$C$48</f>
        <v>7.5698244200273832</v>
      </c>
      <c r="AE102" s="158">
        <f>AE31*Inputs!$C$48</f>
        <v>7.5433770284313946</v>
      </c>
      <c r="AF102" s="158">
        <f>AF31*Inputs!$C$48</f>
        <v>7.484751697623798</v>
      </c>
      <c r="AG102" s="158">
        <f>AG31*Inputs!$C$48</f>
        <v>7.365962149294643</v>
      </c>
      <c r="AH102" s="187">
        <f>AH31*Inputs!$C$48</f>
        <v>7.2759124161125364</v>
      </c>
    </row>
    <row r="103" spans="1:36">
      <c r="A103" s="10" t="s">
        <v>59</v>
      </c>
      <c r="B103" s="35">
        <v>0</v>
      </c>
      <c r="C103" s="331">
        <f>C32*Inputs!$C$53</f>
        <v>4805.92</v>
      </c>
      <c r="D103" s="331">
        <f>D32*Inputs!$C$53</f>
        <v>4943.5791102458315</v>
      </c>
      <c r="E103" s="331">
        <f>E32*Inputs!$C$53</f>
        <v>4720.1695457940332</v>
      </c>
      <c r="F103" s="331">
        <f>F32*Inputs!$C$53</f>
        <v>5259.2796482902977</v>
      </c>
      <c r="G103" s="331">
        <f>G32*Inputs!$C$53</f>
        <v>4663.2310170390356</v>
      </c>
      <c r="H103" s="402">
        <f>H32*Inputs!$C$53</f>
        <v>4111.4535504000005</v>
      </c>
      <c r="I103" s="14">
        <f>I32*Inputs!$C$53</f>
        <v>4221.3365916369139</v>
      </c>
      <c r="J103" s="14">
        <f>J32*Inputs!$C$53</f>
        <v>4381.0733752691831</v>
      </c>
      <c r="K103" s="14">
        <f>K32*Inputs!$C$53</f>
        <v>4281.1887531269294</v>
      </c>
      <c r="L103" s="14">
        <f>L32*Inputs!$C$53</f>
        <v>4146.4020820481865</v>
      </c>
      <c r="M103" s="14">
        <f>M32*Inputs!$C$53</f>
        <v>3995.9672360374693</v>
      </c>
      <c r="N103" s="182">
        <f>N32*Inputs!$C$53</f>
        <v>3852.4981992000007</v>
      </c>
      <c r="O103" s="14">
        <f>O32*Inputs!$C$53</f>
        <v>3800.3076137133571</v>
      </c>
      <c r="P103" s="14">
        <f>P32*Inputs!$C$53</f>
        <v>3807.0695025061309</v>
      </c>
      <c r="Q103" s="14">
        <f>Q32*Inputs!$C$53</f>
        <v>3859.4498384314579</v>
      </c>
      <c r="R103" s="14">
        <f>R32*Inputs!$C$53</f>
        <v>3833.6385871061643</v>
      </c>
      <c r="S103" s="14">
        <f>S32*Inputs!$C$53</f>
        <v>3816.4015389002002</v>
      </c>
      <c r="T103" s="14">
        <f>T32*Inputs!$C$53</f>
        <v>3898.9606899353812</v>
      </c>
      <c r="U103" s="14">
        <f>U32*Inputs!$C$53</f>
        <v>3914.2061389022851</v>
      </c>
      <c r="V103" s="14">
        <f>V32*Inputs!$C$53</f>
        <v>3882.7503122287899</v>
      </c>
      <c r="W103" s="14">
        <f>W32*Inputs!$C$53</f>
        <v>3889.8243030062322</v>
      </c>
      <c r="X103" s="187">
        <f>X32*Inputs!$C$53</f>
        <v>3852.9453455795797</v>
      </c>
      <c r="Y103" s="158">
        <f>Y32*Inputs!$C$53</f>
        <v>3904.4535795791912</v>
      </c>
      <c r="Z103" s="158">
        <f>Z32*Inputs!$C$53</f>
        <v>3942.8090975871446</v>
      </c>
      <c r="AA103" s="158">
        <f>AA32*Inputs!$C$53</f>
        <v>3988.1643766348543</v>
      </c>
      <c r="AB103" s="158">
        <f>AB32*Inputs!$C$53</f>
        <v>4007.7930395468288</v>
      </c>
      <c r="AC103" s="158">
        <f>AC32*Inputs!$C$53</f>
        <v>4005.1467678957911</v>
      </c>
      <c r="AD103" s="158">
        <f>AD32*Inputs!$C$53</f>
        <v>4009.0084609054547</v>
      </c>
      <c r="AE103" s="158">
        <f>AE32*Inputs!$C$53</f>
        <v>3995.0018194308277</v>
      </c>
      <c r="AF103" s="158">
        <f>AF32*Inputs!$C$53</f>
        <v>3963.9536161714195</v>
      </c>
      <c r="AG103" s="158">
        <f>AG32*Inputs!$C$53</f>
        <v>3901.0422092623276</v>
      </c>
      <c r="AH103" s="187">
        <f>AH32*Inputs!$C$53</f>
        <v>3853.3515202584708</v>
      </c>
    </row>
    <row r="104" spans="1:36">
      <c r="A104" s="10" t="s">
        <v>121</v>
      </c>
      <c r="B104" s="35">
        <v>1</v>
      </c>
      <c r="C104" s="331">
        <f>C34*Inputs!$C$46</f>
        <v>0</v>
      </c>
      <c r="D104" s="331">
        <f>D34*Inputs!$C$46</f>
        <v>0</v>
      </c>
      <c r="E104" s="331">
        <f>E34*Inputs!$C$46</f>
        <v>0.29380868999999998</v>
      </c>
      <c r="F104" s="331">
        <f>F34*Inputs!$C$46</f>
        <v>0.28294833000000003</v>
      </c>
      <c r="G104" s="331">
        <f>G34*Inputs!$C$46</f>
        <v>0.30785181</v>
      </c>
      <c r="H104" s="402">
        <f>H34*Inputs!$C$46</f>
        <v>0.34962248999999995</v>
      </c>
      <c r="I104" s="14">
        <f>I34*Inputs!$C$46</f>
        <v>0.57276401232532304</v>
      </c>
      <c r="J104" s="14">
        <f>J34*Inputs!$C$46</f>
        <v>0.94931934862748901</v>
      </c>
      <c r="K104" s="14">
        <f>K34*Inputs!$C$46</f>
        <v>1.4828952577757153</v>
      </c>
      <c r="L104" s="14">
        <f>L34*Inputs!$C$46</f>
        <v>2.2980860024755203</v>
      </c>
      <c r="M104" s="14">
        <f>M34*Inputs!$C$46</f>
        <v>3.5475527861548199</v>
      </c>
      <c r="N104" s="182">
        <f>N34*Inputs!$C$46</f>
        <v>5.4847472974132527</v>
      </c>
      <c r="O104" s="14">
        <f>O34*Inputs!$C$46</f>
        <v>5.5083323367076904</v>
      </c>
      <c r="P104" s="14">
        <f>P34*Inputs!$C$46</f>
        <v>5.6181836812269204</v>
      </c>
      <c r="Q104" s="14">
        <f>Q34*Inputs!$C$46</f>
        <v>5.7989721290414504</v>
      </c>
      <c r="R104" s="14">
        <f>R34*Inputs!$C$46</f>
        <v>5.865084012321776</v>
      </c>
      <c r="S104" s="14">
        <f>S34*Inputs!$C$46</f>
        <v>5.9452723133437972</v>
      </c>
      <c r="T104" s="14">
        <f>T34*Inputs!$C$46</f>
        <v>6.184983623731072</v>
      </c>
      <c r="U104" s="14">
        <f>U34*Inputs!$C$46</f>
        <v>6.3229975027056824</v>
      </c>
      <c r="V104" s="14">
        <f>V34*Inputs!$C$46</f>
        <v>6.3874312125077095</v>
      </c>
      <c r="W104" s="14">
        <f>W34*Inputs!$C$46</f>
        <v>6.5169183936762956</v>
      </c>
      <c r="X104" s="187">
        <f>X34*Inputs!$C$46</f>
        <v>6.5742917606875082</v>
      </c>
      <c r="Y104" s="158">
        <f>Y34*Inputs!$C$46</f>
        <v>6.842446416753682</v>
      </c>
      <c r="Z104" s="158">
        <f>Z34*Inputs!$C$46</f>
        <v>7.0985103897937512</v>
      </c>
      <c r="AA104" s="158">
        <f>AA34*Inputs!$C$46</f>
        <v>7.3784310042102801</v>
      </c>
      <c r="AB104" s="158">
        <f>AB34*Inputs!$C$46</f>
        <v>7.6216494730367081</v>
      </c>
      <c r="AC104" s="158">
        <f>AC34*Inputs!$C$46</f>
        <v>7.8314523191871732</v>
      </c>
      <c r="AD104" s="158">
        <f>AD34*Inputs!$C$46</f>
        <v>8.0625605842220711</v>
      </c>
      <c r="AE104" s="158">
        <f>AE34*Inputs!$C$46</f>
        <v>8.2661222952963378</v>
      </c>
      <c r="AF104" s="158">
        <f>AF34*Inputs!$C$46</f>
        <v>8.4411943322575773</v>
      </c>
      <c r="AG104" s="158">
        <f>AG34*Inputs!$C$46</f>
        <v>8.5525061815809362</v>
      </c>
      <c r="AH104" s="187">
        <f>AH34*Inputs!$C$46</f>
        <v>8.7004410752881132</v>
      </c>
    </row>
    <row r="105" spans="1:36">
      <c r="A105" s="10" t="s">
        <v>50</v>
      </c>
      <c r="B105" s="35">
        <v>1</v>
      </c>
      <c r="C105" s="331">
        <f>C35*Inputs!$C$49</f>
        <v>0</v>
      </c>
      <c r="D105" s="331">
        <f>D35*Inputs!$C$49</f>
        <v>0</v>
      </c>
      <c r="E105" s="331">
        <f>E35*Inputs!$C$49</f>
        <v>2.5000000000000001E-9</v>
      </c>
      <c r="F105" s="331">
        <f>F35*Inputs!$C$49</f>
        <v>2.5000000000000001E-9</v>
      </c>
      <c r="G105" s="331">
        <f>G35*Inputs!$C$49</f>
        <v>2.5000000000000001E-9</v>
      </c>
      <c r="H105" s="402">
        <f>H35*Inputs!$C$49</f>
        <v>2.5000000000000001E-9</v>
      </c>
      <c r="I105" s="14">
        <f>I35*Inputs!$C$49</f>
        <v>3.0689222677706016E-9</v>
      </c>
      <c r="J105" s="14">
        <f>J35*Inputs!$C$49</f>
        <v>3.8114657077755422E-9</v>
      </c>
      <c r="K105" s="14">
        <f>K35*Inputs!$C$49</f>
        <v>4.4612820296557806E-9</v>
      </c>
      <c r="L105" s="14">
        <f>L35*Inputs!$C$49</f>
        <v>5.180658897713465E-9</v>
      </c>
      <c r="M105" s="14">
        <f>M35*Inputs!$C$49</f>
        <v>5.9926250581352881E-9</v>
      </c>
      <c r="N105" s="182">
        <f>N35*Inputs!$C$49</f>
        <v>6.9424759022498549E-9</v>
      </c>
      <c r="O105" s="14">
        <f>O35*Inputs!$C$49</f>
        <v>6.9723293409000664E-9</v>
      </c>
      <c r="P105" s="14">
        <f>P35*Inputs!$C$49</f>
        <v>7.1113768249134468E-9</v>
      </c>
      <c r="Q105" s="14">
        <f>Q35*Inputs!$C$49</f>
        <v>7.3402149781223415E-9</v>
      </c>
      <c r="R105" s="14">
        <f>R35*Inputs!$C$49</f>
        <v>7.4238979869534838E-9</v>
      </c>
      <c r="S105" s="14">
        <f>S35*Inputs!$C$49</f>
        <v>7.5253986245034216E-9</v>
      </c>
      <c r="T105" s="14">
        <f>T35*Inputs!$C$49</f>
        <v>7.8288200777844623E-9</v>
      </c>
      <c r="U105" s="14">
        <f>U35*Inputs!$C$49</f>
        <v>8.0035150959868797E-9</v>
      </c>
      <c r="V105" s="14">
        <f>V35*Inputs!$C$49</f>
        <v>8.085073908697195E-9</v>
      </c>
      <c r="W105" s="14">
        <f>W35*Inputs!$C$49</f>
        <v>8.2489760150598956E-9</v>
      </c>
      <c r="X105" s="187">
        <f>X35*Inputs!$C$49</f>
        <v>8.3215979967679945E-9</v>
      </c>
      <c r="Y105" s="158">
        <f>Y35*Inputs!$C$49</f>
        <v>8.6610224290829568E-9</v>
      </c>
      <c r="Z105" s="158">
        <f>Z35*Inputs!$C$49</f>
        <v>8.9851427332405324E-9</v>
      </c>
      <c r="AA105" s="158">
        <f>AA35*Inputs!$C$49</f>
        <v>9.3394602641587318E-9</v>
      </c>
      <c r="AB105" s="158">
        <f>AB35*Inputs!$C$49</f>
        <v>9.6473210036327176E-9</v>
      </c>
      <c r="AC105" s="158">
        <f>AC35*Inputs!$C$49</f>
        <v>9.9128849621235641E-9</v>
      </c>
      <c r="AD105" s="158">
        <f>AD35*Inputs!$C$49</f>
        <v>1.0205416864472512E-8</v>
      </c>
      <c r="AE105" s="158">
        <f>AE35*Inputs!$C$49</f>
        <v>1.0463080927577178E-8</v>
      </c>
      <c r="AF105" s="158">
        <f>AF35*Inputs!$C$49</f>
        <v>1.0684683370106197E-8</v>
      </c>
      <c r="AG105" s="158">
        <f>AG35*Inputs!$C$49</f>
        <v>1.0825579529884926E-8</v>
      </c>
      <c r="AH105" s="187">
        <f>AH35*Inputs!$C$49</f>
        <v>1.1012832356491605E-8</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138.75</v>
      </c>
      <c r="D107" s="331">
        <f>D37*Inputs!$C$52</f>
        <v>171.14549895789713</v>
      </c>
      <c r="E107" s="331">
        <f>E37*Inputs!$C$52</f>
        <v>196.17678631265738</v>
      </c>
      <c r="F107" s="331">
        <f>F37*Inputs!$C$52</f>
        <v>262.73405884484617</v>
      </c>
      <c r="G107" s="331">
        <f>G37*Inputs!$C$52</f>
        <v>280.38239637392411</v>
      </c>
      <c r="H107" s="402">
        <f>H37*Inputs!$C$52</f>
        <v>234.56162358748827</v>
      </c>
      <c r="I107" s="14">
        <f>I37*Inputs!$C$52</f>
        <v>287.63457036360171</v>
      </c>
      <c r="J107" s="14">
        <f>J37*Inputs!$C$52</f>
        <v>356.8497966569775</v>
      </c>
      <c r="K107" s="14">
        <f>K37*Inputs!$C$52</f>
        <v>417.24520949499851</v>
      </c>
      <c r="L107" s="14">
        <f>L37*Inputs!$C$52</f>
        <v>484.0106547013562</v>
      </c>
      <c r="M107" s="14">
        <f>M37*Inputs!$C$52</f>
        <v>559.27482758551776</v>
      </c>
      <c r="N107" s="182">
        <f>N37*Inputs!$C$52</f>
        <v>647.23320660623472</v>
      </c>
      <c r="O107" s="14">
        <f>O37*Inputs!$C$52</f>
        <v>650.01638325644637</v>
      </c>
      <c r="P107" s="14">
        <f>P37*Inputs!$C$52</f>
        <v>662.97950336167344</v>
      </c>
      <c r="Q107" s="14">
        <f>Q37*Inputs!$C$52</f>
        <v>684.31362879194592</v>
      </c>
      <c r="R107" s="14">
        <f>R37*Inputs!$C$52</f>
        <v>692.1152291009488</v>
      </c>
      <c r="S107" s="14">
        <f>S37*Inputs!$C$52</f>
        <v>701.57793146232586</v>
      </c>
      <c r="T107" s="14">
        <f>T37*Inputs!$C$52</f>
        <v>729.86530947059089</v>
      </c>
      <c r="U107" s="14">
        <f>U37*Inputs!$C$52</f>
        <v>746.15177821766167</v>
      </c>
      <c r="V107" s="14">
        <f>V37*Inputs!$C$52</f>
        <v>753.75534395137743</v>
      </c>
      <c r="W107" s="14">
        <f>W37*Inputs!$C$52</f>
        <v>769.03561101521689</v>
      </c>
      <c r="X107" s="187">
        <f>X37*Inputs!$C$52</f>
        <v>775.80601378691392</v>
      </c>
      <c r="Y107" s="158">
        <f>Y37*Inputs!$C$52</f>
        <v>807.4498778522568</v>
      </c>
      <c r="Z107" s="158">
        <f>Z37*Inputs!$C$52</f>
        <v>837.6669685184429</v>
      </c>
      <c r="AA107" s="158">
        <f>AA37*Inputs!$C$52</f>
        <v>870.69928651592738</v>
      </c>
      <c r="AB107" s="158">
        <f>AB37*Inputs!$C$52</f>
        <v>899.40053033779509</v>
      </c>
      <c r="AC107" s="158">
        <f>AC37*Inputs!$C$52</f>
        <v>924.15852947717599</v>
      </c>
      <c r="AD107" s="158">
        <f>AD37*Inputs!$C$52</f>
        <v>951.43069633202583</v>
      </c>
      <c r="AE107" s="158">
        <f>AE37*Inputs!$C$52</f>
        <v>975.45220395243825</v>
      </c>
      <c r="AF107" s="158">
        <f>AF37*Inputs!$C$52</f>
        <v>996.11175848158678</v>
      </c>
      <c r="AG107" s="158">
        <f>AG37*Inputs!$C$52</f>
        <v>1009.2472269478926</v>
      </c>
      <c r="AH107" s="187">
        <f>AH37*Inputs!$C$52</f>
        <v>1026.7044351711788</v>
      </c>
    </row>
    <row r="108" spans="1:36">
      <c r="A108" s="9" t="s">
        <v>347</v>
      </c>
      <c r="B108" s="35">
        <v>1</v>
      </c>
      <c r="C108" s="331">
        <f>C38*Inputs!$C$54</f>
        <v>0</v>
      </c>
      <c r="D108" s="331">
        <f>D38*Inputs!$C$54</f>
        <v>0</v>
      </c>
      <c r="E108" s="331">
        <f>E38*Inputs!$C$54</f>
        <v>1.5800000000000002E-2</v>
      </c>
      <c r="F108" s="331">
        <f>F38*Inputs!$C$54</f>
        <v>1.5800000000000002E-2</v>
      </c>
      <c r="G108" s="331">
        <f>G38*Inputs!$C$54</f>
        <v>1.5800000000000002E-2</v>
      </c>
      <c r="H108" s="402">
        <f>H38*Inputs!$C$54</f>
        <v>1107.4181649995355</v>
      </c>
      <c r="I108" s="14">
        <f>I38*Inputs!$C$54</f>
        <v>1508.7476058498116</v>
      </c>
      <c r="J108" s="14">
        <f>J38*Inputs!$C$54</f>
        <v>2079.6095039543525</v>
      </c>
      <c r="K108" s="14">
        <f>K38*Inputs!$C$54</f>
        <v>2701.522114672523</v>
      </c>
      <c r="L108" s="14">
        <f>L38*Inputs!$C$54</f>
        <v>3481.7125900455867</v>
      </c>
      <c r="M108" s="14">
        <f>M38*Inputs!$C$54</f>
        <v>4469.7588865088674</v>
      </c>
      <c r="N108" s="182">
        <f>N38*Inputs!$C$54</f>
        <v>5746.9900173089572</v>
      </c>
      <c r="O108" s="14">
        <f>O38*Inputs!$C$54</f>
        <v>5771.7027302258984</v>
      </c>
      <c r="P108" s="14">
        <f>P38*Inputs!$C$54</f>
        <v>5886.8064070420996</v>
      </c>
      <c r="Q108" s="14">
        <f>Q38*Inputs!$C$54</f>
        <v>6076.2389093061311</v>
      </c>
      <c r="R108" s="14">
        <f>R38*Inputs!$C$54</f>
        <v>6145.5118060568566</v>
      </c>
      <c r="S108" s="14">
        <f>S38*Inputs!$C$54</f>
        <v>6229.5341575872299</v>
      </c>
      <c r="T108" s="14">
        <f>T38*Inputs!$C$54</f>
        <v>6480.7068065954045</v>
      </c>
      <c r="U108" s="14">
        <f>U38*Inputs!$C$54</f>
        <v>6625.3195556807186</v>
      </c>
      <c r="V108" s="14">
        <f>V38*Inputs!$C$54</f>
        <v>6692.8340402924478</v>
      </c>
      <c r="W108" s="14">
        <f>W38*Inputs!$C$54</f>
        <v>6828.5124037963242</v>
      </c>
      <c r="X108" s="187">
        <f>X38*Inputs!$C$54</f>
        <v>6888.6289688071465</v>
      </c>
      <c r="Y108" s="158">
        <f>Y38*Inputs!$C$54</f>
        <v>7169.6049277604488</v>
      </c>
      <c r="Z108" s="158">
        <f>Z38*Inputs!$C$54</f>
        <v>7437.9121107637175</v>
      </c>
      <c r="AA108" s="158">
        <f>AA38*Inputs!$C$54</f>
        <v>7731.2165949009332</v>
      </c>
      <c r="AB108" s="158">
        <f>AB38*Inputs!$C$54</f>
        <v>7986.0640904327474</v>
      </c>
      <c r="AC108" s="158">
        <f>AC38*Inputs!$C$54</f>
        <v>8205.8982590914165</v>
      </c>
      <c r="AD108" s="158">
        <f>AD38*Inputs!$C$54</f>
        <v>8448.0565245596463</v>
      </c>
      <c r="AE108" s="158">
        <f>AE38*Inputs!$C$54</f>
        <v>8661.3511501847624</v>
      </c>
      <c r="AF108" s="158">
        <f>AF38*Inputs!$C$54</f>
        <v>8844.7939223250069</v>
      </c>
      <c r="AG108" s="158">
        <f>AG38*Inputs!$C$54</f>
        <v>8961.4279351939767</v>
      </c>
      <c r="AH108" s="187">
        <f>AH38*Inputs!$C$54</f>
        <v>9116.4360533889176</v>
      </c>
    </row>
    <row r="109" spans="1:36">
      <c r="A109" s="9" t="s">
        <v>348</v>
      </c>
      <c r="B109" s="35">
        <v>1</v>
      </c>
      <c r="C109" s="331">
        <f>C39*Inputs!$C$54</f>
        <v>0</v>
      </c>
      <c r="D109" s="331">
        <f>D39*Inputs!$C$55</f>
        <v>0</v>
      </c>
      <c r="E109" s="331">
        <f>E39*Inputs!$C$55</f>
        <v>2.3E-3</v>
      </c>
      <c r="F109" s="331">
        <f>F39*Inputs!$C$55</f>
        <v>2.3E-3</v>
      </c>
      <c r="G109" s="331">
        <f>G39*Inputs!$C$55</f>
        <v>2.3E-3</v>
      </c>
      <c r="H109" s="402">
        <f>H39*Inputs!$C$55</f>
        <v>2.3E-3</v>
      </c>
      <c r="I109" s="14">
        <f>I39*Inputs!$C$55</f>
        <v>2.8234084863489541E-3</v>
      </c>
      <c r="J109" s="14">
        <f>J39*Inputs!$C$55</f>
        <v>3.5065484511534995E-3</v>
      </c>
      <c r="K109" s="14">
        <f>K39*Inputs!$C$55</f>
        <v>4.1043794672833197E-3</v>
      </c>
      <c r="L109" s="14">
        <f>L39*Inputs!$C$55</f>
        <v>4.7662061858963897E-3</v>
      </c>
      <c r="M109" s="14">
        <f>M39*Inputs!$C$55</f>
        <v>5.5132150534844661E-3</v>
      </c>
      <c r="N109" s="182">
        <f>N39*Inputs!$C$55</f>
        <v>6.3870778300698667E-3</v>
      </c>
      <c r="O109" s="14">
        <f>O39*Inputs!$C$55</f>
        <v>6.4145429936280623E-3</v>
      </c>
      <c r="P109" s="14">
        <f>P39*Inputs!$C$55</f>
        <v>6.5424666789203716E-3</v>
      </c>
      <c r="Q109" s="14">
        <f>Q39*Inputs!$C$55</f>
        <v>6.7529977798725547E-3</v>
      </c>
      <c r="R109" s="14">
        <f>R39*Inputs!$C$55</f>
        <v>6.8299861479972062E-3</v>
      </c>
      <c r="S109" s="14">
        <f>S39*Inputs!$C$55</f>
        <v>6.9233667345431479E-3</v>
      </c>
      <c r="T109" s="14">
        <f>T39*Inputs!$C$55</f>
        <v>7.2025144715617048E-3</v>
      </c>
      <c r="U109" s="14">
        <f>U39*Inputs!$C$55</f>
        <v>7.3632338883079292E-3</v>
      </c>
      <c r="V109" s="14">
        <f>V39*Inputs!$C$55</f>
        <v>7.4382679960014204E-3</v>
      </c>
      <c r="W109" s="14">
        <f>W39*Inputs!$C$55</f>
        <v>7.5890579338551058E-3</v>
      </c>
      <c r="X109" s="187">
        <f>X39*Inputs!$C$55</f>
        <v>7.6558701570265553E-3</v>
      </c>
      <c r="Y109" s="158">
        <f>Y39*Inputs!$C$55</f>
        <v>7.968140634756319E-3</v>
      </c>
      <c r="Z109" s="158">
        <f>Z39*Inputs!$C$55</f>
        <v>8.2663313145812899E-3</v>
      </c>
      <c r="AA109" s="158">
        <f>AA39*Inputs!$C$55</f>
        <v>8.5923034430260333E-3</v>
      </c>
      <c r="AB109" s="158">
        <f>AB39*Inputs!$C$55</f>
        <v>8.8755353233421E-3</v>
      </c>
      <c r="AC109" s="158">
        <f>AC39*Inputs!$C$55</f>
        <v>9.1198541651536791E-3</v>
      </c>
      <c r="AD109" s="158">
        <f>AD39*Inputs!$C$55</f>
        <v>9.3889835153147111E-3</v>
      </c>
      <c r="AE109" s="158">
        <f>AE39*Inputs!$C$55</f>
        <v>9.6260344533710043E-3</v>
      </c>
      <c r="AF109" s="158">
        <f>AF39*Inputs!$C$55</f>
        <v>9.8299087004977016E-3</v>
      </c>
      <c r="AG109" s="158">
        <f>AG39*Inputs!$C$55</f>
        <v>9.9595331674941327E-3</v>
      </c>
      <c r="AH109" s="187">
        <f>AH39*Inputs!$C$55</f>
        <v>1.0131805767972277E-2</v>
      </c>
    </row>
    <row r="110" spans="1:36">
      <c r="A110" s="9" t="s">
        <v>344</v>
      </c>
      <c r="B110" s="35">
        <v>1</v>
      </c>
      <c r="C110" s="331">
        <f>C40*Inputs!$C$51</f>
        <v>2.7000000000000001E-3</v>
      </c>
      <c r="D110" s="331">
        <f>D40*Inputs!$C$51</f>
        <v>3.3339417757991025E-3</v>
      </c>
      <c r="E110" s="331">
        <f>E40*Inputs!$C$51</f>
        <v>3.8256206382566368E-3</v>
      </c>
      <c r="F110" s="331">
        <f>F40*Inputs!$C$51</f>
        <v>5.1289966768776245E-3</v>
      </c>
      <c r="G110" s="331">
        <f>G40*Inputs!$C$51</f>
        <v>5.4793436944573452E-3</v>
      </c>
      <c r="H110" s="402">
        <f>H40*Inputs!$C$51</f>
        <v>2.7000000000000001E-3</v>
      </c>
      <c r="I110" s="14">
        <f>I40*Inputs!$C$51</f>
        <v>3.3144360491922506E-3</v>
      </c>
      <c r="J110" s="14">
        <f>J40*Inputs!$C$51</f>
        <v>4.1163829643975861E-3</v>
      </c>
      <c r="K110" s="14">
        <f>K40*Inputs!$C$51</f>
        <v>4.8181845920282447E-3</v>
      </c>
      <c r="L110" s="14">
        <f>L40*Inputs!$C$51</f>
        <v>5.5951116095305439E-3</v>
      </c>
      <c r="M110" s="14">
        <f>M40*Inputs!$C$51</f>
        <v>6.4720350627861124E-3</v>
      </c>
      <c r="N110" s="182">
        <f>N40*Inputs!$C$51</f>
        <v>7.4978739744298436E-3</v>
      </c>
      <c r="O110" s="14">
        <f>O40*Inputs!$C$51</f>
        <v>7.5301156881720727E-3</v>
      </c>
      <c r="P110" s="14">
        <f>P40*Inputs!$C$51</f>
        <v>7.6802869709065242E-3</v>
      </c>
      <c r="Q110" s="14">
        <f>Q40*Inputs!$C$51</f>
        <v>7.9274321763721303E-3</v>
      </c>
      <c r="R110" s="14">
        <f>R40*Inputs!$C$51</f>
        <v>8.0178098259097632E-3</v>
      </c>
      <c r="S110" s="14">
        <f>S40*Inputs!$C$51</f>
        <v>8.1274305144636953E-3</v>
      </c>
      <c r="T110" s="14">
        <f>T40*Inputs!$C$51</f>
        <v>8.455125684007218E-3</v>
      </c>
      <c r="U110" s="14">
        <f>U40*Inputs!$C$51</f>
        <v>8.6437963036658308E-3</v>
      </c>
      <c r="V110" s="14">
        <f>V40*Inputs!$C$51</f>
        <v>8.7318798213929724E-3</v>
      </c>
      <c r="W110" s="14">
        <f>W40*Inputs!$C$51</f>
        <v>8.9088940962646895E-3</v>
      </c>
      <c r="X110" s="187">
        <f>X40*Inputs!$C$51</f>
        <v>8.9873258365094355E-3</v>
      </c>
      <c r="Y110" s="158">
        <f>Y40*Inputs!$C$51</f>
        <v>9.3539042234095926E-3</v>
      </c>
      <c r="Z110" s="158">
        <f>Z40*Inputs!$C$51</f>
        <v>9.7039541518997748E-3</v>
      </c>
      <c r="AA110" s="158">
        <f>AA40*Inputs!$C$51</f>
        <v>1.0086617085291431E-2</v>
      </c>
      <c r="AB110" s="158">
        <f>AB40*Inputs!$C$51</f>
        <v>1.0419106683923336E-2</v>
      </c>
      <c r="AC110" s="158">
        <f>AC40*Inputs!$C$51</f>
        <v>1.0705915759093449E-2</v>
      </c>
      <c r="AD110" s="158">
        <f>AD40*Inputs!$C$51</f>
        <v>1.1021850213630313E-2</v>
      </c>
      <c r="AE110" s="158">
        <f>AE40*Inputs!$C$51</f>
        <v>1.1300127401783353E-2</v>
      </c>
      <c r="AF110" s="158">
        <f>AF40*Inputs!$C$51</f>
        <v>1.1539458039714692E-2</v>
      </c>
      <c r="AG110" s="158">
        <f>AG40*Inputs!$C$51</f>
        <v>1.1691625892275721E-2</v>
      </c>
      <c r="AH110" s="187">
        <f>AH40*Inputs!$C$51</f>
        <v>1.1893858945010933E-2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3.5700000000000003</v>
      </c>
      <c r="D112" s="331">
        <f>D42*Inputs!$C$57</f>
        <v>4.4179173286923188</v>
      </c>
      <c r="E112" s="331">
        <f>E42*Inputs!$C$57</f>
        <v>34.87377458938024</v>
      </c>
      <c r="F112" s="331">
        <f>F42*Inputs!$C$57</f>
        <v>41.153096912197377</v>
      </c>
      <c r="G112" s="331">
        <f>G42*Inputs!$C$57</f>
        <v>47.300977322668423</v>
      </c>
      <c r="H112" s="402">
        <f>H42*Inputs!$C$57</f>
        <v>47.414060587008834</v>
      </c>
      <c r="I112" s="14">
        <f>I42*Inputs!$C$57</f>
        <v>58.332172558941956</v>
      </c>
      <c r="J112" s="14">
        <f>J42*Inputs!$C$57</f>
        <v>72.605480180350725</v>
      </c>
      <c r="K112" s="14">
        <f>K42*Inputs!$C$57</f>
        <v>85.171086232254822</v>
      </c>
      <c r="L112" s="14">
        <f>L42*Inputs!$C$57</f>
        <v>99.122586856407423</v>
      </c>
      <c r="M112" s="14">
        <f>M42*Inputs!$C$57</f>
        <v>114.9105376529718</v>
      </c>
      <c r="N112" s="182">
        <f>N42*Inputs!$C$57</f>
        <v>133.41733256855588</v>
      </c>
      <c r="O112" s="14">
        <f>O42*Inputs!$C$57</f>
        <v>133.99104232409425</v>
      </c>
      <c r="P112" s="14">
        <f>P42*Inputs!$C$57</f>
        <v>136.663193395072</v>
      </c>
      <c r="Q112" s="14">
        <f>Q42*Inputs!$C$57</f>
        <v>141.06090055616579</v>
      </c>
      <c r="R112" s="14">
        <f>R42*Inputs!$C$57</f>
        <v>142.6690824176172</v>
      </c>
      <c r="S112" s="14">
        <f>S42*Inputs!$C$57</f>
        <v>144.61967533383199</v>
      </c>
      <c r="T112" s="14">
        <f>T42*Inputs!$C$57</f>
        <v>150.45069030756957</v>
      </c>
      <c r="U112" s="14">
        <f>U42*Inputs!$C$57</f>
        <v>153.80789941707883</v>
      </c>
      <c r="V112" s="14">
        <f>V42*Inputs!$C$57</f>
        <v>155.37525944720042</v>
      </c>
      <c r="W112" s="14">
        <f>W42*Inputs!$C$57</f>
        <v>158.52505530406364</v>
      </c>
      <c r="X112" s="187">
        <f>X42*Inputs!$C$57</f>
        <v>159.92067139575173</v>
      </c>
      <c r="Y112" s="158">
        <f>Y42*Inputs!$C$57</f>
        <v>166.44357518478509</v>
      </c>
      <c r="Z112" s="158">
        <f>Z42*Inputs!$C$57</f>
        <v>172.67237122540212</v>
      </c>
      <c r="AA112" s="158">
        <f>AA42*Inputs!$C$57</f>
        <v>179.48148378452004</v>
      </c>
      <c r="AB112" s="158">
        <f>AB42*Inputs!$C$57</f>
        <v>185.3978109337279</v>
      </c>
      <c r="AC112" s="158">
        <f>AC42*Inputs!$C$57</f>
        <v>190.50129785497359</v>
      </c>
      <c r="AD112" s="158">
        <f>AD42*Inputs!$C$57</f>
        <v>196.12304241010466</v>
      </c>
      <c r="AE112" s="158">
        <f>AE42*Inputs!$C$57</f>
        <v>201.07471274821273</v>
      </c>
      <c r="AF112" s="158">
        <f>AF42*Inputs!$C$57</f>
        <v>205.33336732464664</v>
      </c>
      <c r="AG112" s="158">
        <f>AG42*Inputs!$C$57</f>
        <v>208.0410454025409</v>
      </c>
      <c r="AH112" s="187">
        <f>AH42*Inputs!$C$57</f>
        <v>211.63958474117788</v>
      </c>
      <c r="AI112" s="31" t="s">
        <v>0</v>
      </c>
    </row>
    <row r="113" spans="1:35" s="20" customFormat="1">
      <c r="A113" s="10" t="s">
        <v>383</v>
      </c>
      <c r="B113" s="37"/>
      <c r="C113" s="334">
        <f>SUM(C100:C112)</f>
        <v>4953.0411999999997</v>
      </c>
      <c r="D113" s="334">
        <f t="shared" ref="D113:AH113" si="87">SUM(D100:D112)</f>
        <v>5124.3462409868516</v>
      </c>
      <c r="E113" s="334">
        <f t="shared" si="87"/>
        <v>4956.7713928861003</v>
      </c>
      <c r="F113" s="334">
        <f t="shared" si="87"/>
        <v>5569.6294269358359</v>
      </c>
      <c r="G113" s="334">
        <f t="shared" si="87"/>
        <v>4997.0124516125425</v>
      </c>
      <c r="H113" s="404">
        <f t="shared" si="87"/>
        <v>5507.3153590021157</v>
      </c>
      <c r="I113" s="19">
        <f t="shared" si="87"/>
        <v>6083.1469175614893</v>
      </c>
      <c r="J113" s="19">
        <f t="shared" si="87"/>
        <v>6898.1235219092905</v>
      </c>
      <c r="K113" s="19">
        <f t="shared" si="87"/>
        <v>7493.7622282377579</v>
      </c>
      <c r="L113" s="19">
        <f t="shared" si="87"/>
        <v>8220.7585171213123</v>
      </c>
      <c r="M113" s="19">
        <f t="shared" si="87"/>
        <v>9150.7038537009848</v>
      </c>
      <c r="N113" s="182">
        <f t="shared" si="87"/>
        <v>10392.911689112081</v>
      </c>
      <c r="O113" s="19">
        <f t="shared" si="87"/>
        <v>10368.715801240172</v>
      </c>
      <c r="P113" s="19">
        <f t="shared" si="87"/>
        <v>10506.339535288098</v>
      </c>
      <c r="Q113" s="19">
        <f t="shared" si="87"/>
        <v>10774.164356934802</v>
      </c>
      <c r="R113" s="19">
        <f t="shared" si="87"/>
        <v>10827.053326881032</v>
      </c>
      <c r="S113" s="19">
        <f t="shared" si="87"/>
        <v>10905.299769728046</v>
      </c>
      <c r="T113" s="19">
        <f t="shared" si="87"/>
        <v>11273.546169397559</v>
      </c>
      <c r="U113" s="19">
        <f t="shared" si="87"/>
        <v>11453.215195087972</v>
      </c>
      <c r="V113" s="19">
        <f t="shared" si="87"/>
        <v>11498.449980610725</v>
      </c>
      <c r="W113" s="19">
        <f t="shared" si="87"/>
        <v>11659.775569933518</v>
      </c>
      <c r="X113" s="182">
        <f t="shared" si="87"/>
        <v>11691.167080009995</v>
      </c>
      <c r="Y113" s="206">
        <f t="shared" si="87"/>
        <v>12062.184132358143</v>
      </c>
      <c r="Z113" s="206">
        <f t="shared" si="87"/>
        <v>12405.62185531935</v>
      </c>
      <c r="AA113" s="206">
        <f t="shared" si="87"/>
        <v>12784.489318314281</v>
      </c>
      <c r="AB113" s="206">
        <f t="shared" si="87"/>
        <v>13093.863944832769</v>
      </c>
      <c r="AC113" s="206">
        <f t="shared" si="87"/>
        <v>13341.118665175563</v>
      </c>
      <c r="AD113" s="206">
        <f t="shared" si="87"/>
        <v>13620.271520055416</v>
      </c>
      <c r="AE113" s="206">
        <f t="shared" si="87"/>
        <v>13848.710311812287</v>
      </c>
      <c r="AF113" s="206">
        <f t="shared" si="87"/>
        <v>14026.139979709966</v>
      </c>
      <c r="AG113" s="206">
        <f t="shared" si="87"/>
        <v>14095.698536307498</v>
      </c>
      <c r="AH113" s="182">
        <f t="shared" si="87"/>
        <v>14224.129972726872</v>
      </c>
      <c r="AI113" s="31" t="s">
        <v>0</v>
      </c>
    </row>
    <row r="114" spans="1:35" s="20" customFormat="1">
      <c r="A114" s="10" t="s">
        <v>384</v>
      </c>
      <c r="B114" s="37"/>
      <c r="C114" s="334">
        <f>SUM(C101:C103)</f>
        <v>4810.7184999999999</v>
      </c>
      <c r="D114" s="334">
        <f t="shared" ref="D114:AH114" si="88">SUM(D101:D103)</f>
        <v>4948.7794907584866</v>
      </c>
      <c r="E114" s="334">
        <f t="shared" si="88"/>
        <v>4725.4050976709241</v>
      </c>
      <c r="F114" s="334">
        <f t="shared" si="88"/>
        <v>5265.4360938496147</v>
      </c>
      <c r="G114" s="334">
        <f t="shared" si="88"/>
        <v>4668.9976467597544</v>
      </c>
      <c r="H114" s="404">
        <f t="shared" si="88"/>
        <v>4117.5668873355826</v>
      </c>
      <c r="I114" s="19">
        <f t="shared" si="88"/>
        <v>4227.8536669292043</v>
      </c>
      <c r="J114" s="19">
        <f t="shared" si="88"/>
        <v>4388.1017988337544</v>
      </c>
      <c r="K114" s="19">
        <f t="shared" si="88"/>
        <v>4288.3320000116846</v>
      </c>
      <c r="L114" s="19">
        <f t="shared" si="88"/>
        <v>4153.6042381925099</v>
      </c>
      <c r="M114" s="19">
        <f t="shared" si="88"/>
        <v>4003.2000639113644</v>
      </c>
      <c r="N114" s="182">
        <f t="shared" si="88"/>
        <v>3859.7725003721735</v>
      </c>
      <c r="O114" s="19">
        <f t="shared" si="88"/>
        <v>3807.4833684313717</v>
      </c>
      <c r="P114" s="19">
        <f t="shared" si="88"/>
        <v>3814.2580250472643</v>
      </c>
      <c r="Q114" s="19">
        <f t="shared" si="88"/>
        <v>3866.7372657142205</v>
      </c>
      <c r="R114" s="19">
        <f t="shared" si="88"/>
        <v>3840.8772774898912</v>
      </c>
      <c r="S114" s="19">
        <f t="shared" si="88"/>
        <v>3823.6076822265409</v>
      </c>
      <c r="T114" s="19">
        <f t="shared" si="88"/>
        <v>3906.3227217522794</v>
      </c>
      <c r="U114" s="19">
        <f t="shared" si="88"/>
        <v>3921.5969572316112</v>
      </c>
      <c r="V114" s="19">
        <f t="shared" si="88"/>
        <v>3890.0817355512891</v>
      </c>
      <c r="W114" s="19">
        <f t="shared" si="88"/>
        <v>3897.1690834639571</v>
      </c>
      <c r="X114" s="182">
        <f t="shared" si="88"/>
        <v>3860.22049105518</v>
      </c>
      <c r="Y114" s="206">
        <f t="shared" si="88"/>
        <v>3911.8259830903794</v>
      </c>
      <c r="Z114" s="206">
        <f t="shared" si="88"/>
        <v>3950.2539241275408</v>
      </c>
      <c r="AA114" s="206">
        <f t="shared" si="88"/>
        <v>3995.6948431788223</v>
      </c>
      <c r="AB114" s="206">
        <f t="shared" si="88"/>
        <v>4015.3605690038071</v>
      </c>
      <c r="AC114" s="206">
        <f t="shared" si="88"/>
        <v>4012.7093006529717</v>
      </c>
      <c r="AD114" s="206">
        <f t="shared" si="88"/>
        <v>4016.5782853254823</v>
      </c>
      <c r="AE114" s="206">
        <f t="shared" si="88"/>
        <v>4002.5451964592589</v>
      </c>
      <c r="AF114" s="206">
        <f t="shared" si="88"/>
        <v>3971.4383678690433</v>
      </c>
      <c r="AG114" s="206">
        <f t="shared" si="88"/>
        <v>3908.4081714116223</v>
      </c>
      <c r="AH114" s="182">
        <f t="shared" si="88"/>
        <v>3860.6274326745834</v>
      </c>
      <c r="AI114" s="31"/>
    </row>
    <row r="115" spans="1:35" s="20" customFormat="1">
      <c r="A115" s="10" t="s">
        <v>385</v>
      </c>
      <c r="B115" s="37"/>
      <c r="C115" s="334">
        <f>SUMPRODUCT($B104:$B112,C104:C112)</f>
        <v>142.3227</v>
      </c>
      <c r="D115" s="334">
        <f t="shared" ref="D115:AH115" si="89">SUMPRODUCT($B104:$B112,D104:D112)</f>
        <v>175.56675022836524</v>
      </c>
      <c r="E115" s="334">
        <f t="shared" si="89"/>
        <v>231.36629521517588</v>
      </c>
      <c r="F115" s="334">
        <f t="shared" si="89"/>
        <v>304.19333308622043</v>
      </c>
      <c r="G115" s="334">
        <f t="shared" si="89"/>
        <v>328.01480485278699</v>
      </c>
      <c r="H115" s="404">
        <f t="shared" si="89"/>
        <v>1389.7484716665329</v>
      </c>
      <c r="I115" s="19">
        <f t="shared" si="89"/>
        <v>1855.293250632285</v>
      </c>
      <c r="J115" s="19">
        <f t="shared" si="89"/>
        <v>2510.0217230755352</v>
      </c>
      <c r="K115" s="19">
        <f t="shared" si="89"/>
        <v>3205.4302282260724</v>
      </c>
      <c r="L115" s="19">
        <f t="shared" si="89"/>
        <v>4067.1542789288023</v>
      </c>
      <c r="M115" s="19">
        <f t="shared" si="89"/>
        <v>5147.5037897896209</v>
      </c>
      <c r="N115" s="182">
        <f t="shared" si="89"/>
        <v>6533.1391887399086</v>
      </c>
      <c r="O115" s="19">
        <f t="shared" si="89"/>
        <v>6561.2324328088007</v>
      </c>
      <c r="P115" s="19">
        <f t="shared" si="89"/>
        <v>6692.0815102408333</v>
      </c>
      <c r="Q115" s="19">
        <f t="shared" si="89"/>
        <v>6907.4270912205802</v>
      </c>
      <c r="R115" s="19">
        <f t="shared" si="89"/>
        <v>6986.1760493911424</v>
      </c>
      <c r="S115" s="19">
        <f t="shared" si="89"/>
        <v>7081.6920875015057</v>
      </c>
      <c r="T115" s="19">
        <f t="shared" si="89"/>
        <v>7367.2234476452813</v>
      </c>
      <c r="U115" s="19">
        <f t="shared" si="89"/>
        <v>7531.6182378563608</v>
      </c>
      <c r="V115" s="19">
        <f t="shared" si="89"/>
        <v>7608.368245059436</v>
      </c>
      <c r="W115" s="19">
        <f t="shared" si="89"/>
        <v>7762.6064864695591</v>
      </c>
      <c r="X115" s="182">
        <f t="shared" si="89"/>
        <v>7830.9465889548146</v>
      </c>
      <c r="Y115" s="206">
        <f t="shared" si="89"/>
        <v>8150.358149267764</v>
      </c>
      <c r="Z115" s="206">
        <f t="shared" si="89"/>
        <v>8455.3679311918095</v>
      </c>
      <c r="AA115" s="206">
        <f t="shared" si="89"/>
        <v>8788.7944751354589</v>
      </c>
      <c r="AB115" s="206">
        <f t="shared" si="89"/>
        <v>9078.503375828961</v>
      </c>
      <c r="AC115" s="206">
        <f t="shared" si="89"/>
        <v>9328.4093645225912</v>
      </c>
      <c r="AD115" s="206">
        <f t="shared" si="89"/>
        <v>9603.6932347299335</v>
      </c>
      <c r="AE115" s="206">
        <f t="shared" si="89"/>
        <v>9846.1651153530293</v>
      </c>
      <c r="AF115" s="206">
        <f t="shared" si="89"/>
        <v>10054.701611840923</v>
      </c>
      <c r="AG115" s="206">
        <f t="shared" si="89"/>
        <v>10187.290364895875</v>
      </c>
      <c r="AH115" s="182">
        <f t="shared" si="89"/>
        <v>10363.50254005229</v>
      </c>
    </row>
    <row r="116" spans="1:35" s="20" customFormat="1">
      <c r="A116" s="10" t="s">
        <v>142</v>
      </c>
      <c r="B116" s="37"/>
      <c r="C116" s="334">
        <f>C47*Inputs!$C$60</f>
        <v>1981.903</v>
      </c>
      <c r="D116" s="334">
        <f>D47*Inputs!$C$60</f>
        <v>641.19937770924344</v>
      </c>
      <c r="E116" s="334">
        <f>E47*Inputs!$C$60</f>
        <v>782.30423875478516</v>
      </c>
      <c r="F116" s="334">
        <f>F47*Inputs!$C$60</f>
        <v>618.3948182934347</v>
      </c>
      <c r="G116" s="334">
        <f>G47*Inputs!$C$60</f>
        <v>778.287432828379</v>
      </c>
      <c r="H116" s="404">
        <f>H47*Inputs!$C$60</f>
        <v>854.73652231240953</v>
      </c>
      <c r="I116" s="19">
        <f>I47*Inputs!$C$60</f>
        <v>823.97081102103516</v>
      </c>
      <c r="J116" s="19">
        <f>J47*Inputs!$C$60</f>
        <v>782.43951489901826</v>
      </c>
      <c r="K116" s="19">
        <f>K47*Inputs!$C$60</f>
        <v>776.74832487083904</v>
      </c>
      <c r="L116" s="19">
        <f>L47*Inputs!$C$60</f>
        <v>758.61819250623887</v>
      </c>
      <c r="M116" s="19">
        <f>M47*Inputs!$C$60</f>
        <v>733.87623503702491</v>
      </c>
      <c r="N116" s="182">
        <f>N47*Inputs!$C$60</f>
        <v>703.40768314169111</v>
      </c>
      <c r="O116" s="19">
        <f>O47*Inputs!$C$60</f>
        <v>713.83194614278716</v>
      </c>
      <c r="P116" s="19">
        <f>P47*Inputs!$C$60</f>
        <v>713.79568934856854</v>
      </c>
      <c r="Q116" s="19">
        <f>Q47*Inputs!$C$60</f>
        <v>705.18907913424766</v>
      </c>
      <c r="R116" s="19">
        <f>R47*Inputs!$C$60</f>
        <v>710.46009392387271</v>
      </c>
      <c r="S116" s="19">
        <f>S47*Inputs!$C$60</f>
        <v>712.99335052297704</v>
      </c>
      <c r="T116" s="19">
        <f>T47*Inputs!$C$60</f>
        <v>701.32434217281889</v>
      </c>
      <c r="U116" s="19">
        <f>U47*Inputs!$C$60</f>
        <v>698.92258033756184</v>
      </c>
      <c r="V116" s="19">
        <f>V47*Inputs!$C$60</f>
        <v>701.47800000141206</v>
      </c>
      <c r="W116" s="19">
        <f>W47*Inputs!$C$60</f>
        <v>699.38340497451509</v>
      </c>
      <c r="X116" s="182">
        <f>X47*Inputs!$C$60</f>
        <v>699.71869485500793</v>
      </c>
      <c r="Y116" s="206">
        <f>Y47*Inputs!$C$60</f>
        <v>691.04748948467386</v>
      </c>
      <c r="Z116" s="206">
        <f>Z47*Inputs!$C$60</f>
        <v>685.28296165575182</v>
      </c>
      <c r="AA116" s="206">
        <f>AA47*Inputs!$C$60</f>
        <v>679.63388449074557</v>
      </c>
      <c r="AB116" s="206">
        <f>AB47*Inputs!$C$60</f>
        <v>677.58709583525263</v>
      </c>
      <c r="AC116" s="206">
        <f>AC47*Inputs!$C$60</f>
        <v>677.23826797069728</v>
      </c>
      <c r="AD116" s="206">
        <f>AD47*Inputs!$C$60</f>
        <v>676.31790564052937</v>
      </c>
      <c r="AE116" s="206">
        <f>AE47*Inputs!$C$60</f>
        <v>676.70044695372474</v>
      </c>
      <c r="AF116" s="206">
        <f>AF47*Inputs!$C$60</f>
        <v>678.59862786883662</v>
      </c>
      <c r="AG116" s="206">
        <f>AG47*Inputs!$C$60</f>
        <v>683.64356557569704</v>
      </c>
      <c r="AH116" s="182">
        <f>AH47*Inputs!$C$60</f>
        <v>687.17370232541793</v>
      </c>
      <c r="AI116" s="31"/>
    </row>
    <row r="117" spans="1:35" s="20" customFormat="1">
      <c r="A117" s="10" t="s">
        <v>222</v>
      </c>
      <c r="B117" s="37"/>
      <c r="C117" s="334">
        <f>C48*Inputs!$C$61</f>
        <v>849.38699999999994</v>
      </c>
      <c r="D117" s="334">
        <f>D48*Inputs!$C$61</f>
        <v>2487.8695705384193</v>
      </c>
      <c r="E117" s="334">
        <f>E48*Inputs!$C$61</f>
        <v>2419.9294122099982</v>
      </c>
      <c r="F117" s="334">
        <f>F48*Inputs!$C$61</f>
        <v>3220.0203514921664</v>
      </c>
      <c r="G117" s="334">
        <f>G48*Inputs!$C$61</f>
        <v>2858.2260681289613</v>
      </c>
      <c r="H117" s="404">
        <f>H48*Inputs!$C$61</f>
        <v>3019.853080132385</v>
      </c>
      <c r="I117" s="19">
        <f>I48*Inputs!$C$61</f>
        <v>3292.7691455756053</v>
      </c>
      <c r="J117" s="19">
        <f>J48*Inputs!$C$61</f>
        <v>3623.005302132527</v>
      </c>
      <c r="K117" s="19">
        <f>K48*Inputs!$C$61</f>
        <v>3636.1767757801749</v>
      </c>
      <c r="L117" s="19">
        <f>L48*Inputs!$C$61</f>
        <v>3593.8018885100687</v>
      </c>
      <c r="M117" s="19">
        <f>M48*Inputs!$C$61</f>
        <v>3500.5465993668686</v>
      </c>
      <c r="N117" s="182">
        <f>N48*Inputs!$C$61</f>
        <v>3369.1499892992206</v>
      </c>
      <c r="O117" s="19">
        <f>O48*Inputs!$C$61</f>
        <v>3330.0581086639513</v>
      </c>
      <c r="P117" s="19">
        <f>P48*Inputs!$C$61</f>
        <v>3364.908445500404</v>
      </c>
      <c r="Q117" s="19">
        <f>Q48*Inputs!$C$61</f>
        <v>3458.5649954391056</v>
      </c>
      <c r="R117" s="19">
        <f>R48*Inputs!$C$61</f>
        <v>3453.3136788865736</v>
      </c>
      <c r="S117" s="19">
        <f>S48*Inputs!$C$61</f>
        <v>3460.0211634125203</v>
      </c>
      <c r="T117" s="19">
        <f>T48*Inputs!$C$61</f>
        <v>3592.2121783357707</v>
      </c>
      <c r="U117" s="19">
        <f>U48*Inputs!$C$61</f>
        <v>3640.8880138511399</v>
      </c>
      <c r="V117" s="19">
        <f>V48*Inputs!$C$61</f>
        <v>3632.1746106918786</v>
      </c>
      <c r="W117" s="19">
        <f>W48*Inputs!$C$61</f>
        <v>3671.5955465740367</v>
      </c>
      <c r="X117" s="182">
        <f>X48*Inputs!$C$61</f>
        <v>3658.4023193683679</v>
      </c>
      <c r="Y117" s="206">
        <f>Y48*Inputs!$C$61</f>
        <v>3831.2558927364926</v>
      </c>
      <c r="Z117" s="206">
        <f>Z48*Inputs!$C$61</f>
        <v>3991.4441739883118</v>
      </c>
      <c r="AA117" s="206">
        <f>AA48*Inputs!$C$61</f>
        <v>4165.7357007137289</v>
      </c>
      <c r="AB117" s="206">
        <f>AB48*Inputs!$C$61</f>
        <v>4310.3467562342375</v>
      </c>
      <c r="AC117" s="206">
        <f>AC48*Inputs!$C$61</f>
        <v>4429.6864196708266</v>
      </c>
      <c r="AD117" s="206">
        <f>AD48*Inputs!$C$61</f>
        <v>4562.1548864805927</v>
      </c>
      <c r="AE117" s="206">
        <f>AE48*Inputs!$C$61</f>
        <v>4673.7043671578576</v>
      </c>
      <c r="AF117" s="206">
        <f>AF48*Inputs!$C$61</f>
        <v>4763.746469564062</v>
      </c>
      <c r="AG117" s="206">
        <f>AG48*Inputs!$C$61</f>
        <v>4807.9334427570375</v>
      </c>
      <c r="AH117" s="182">
        <f>AH48*Inputs!$C$61</f>
        <v>4876.3485426575498</v>
      </c>
      <c r="AI117" s="31"/>
    </row>
    <row r="118" spans="1:35" s="20" customFormat="1">
      <c r="A118" s="10" t="s">
        <v>58</v>
      </c>
      <c r="B118" s="37"/>
      <c r="C118" s="334">
        <f>SUM(C113,C116,C117)</f>
        <v>7784.3311999999996</v>
      </c>
      <c r="D118" s="334">
        <f>SUM(D113,D116,D117)</f>
        <v>8253.4151892345144</v>
      </c>
      <c r="E118" s="334">
        <f t="shared" ref="E118:AH118" si="90">SUM(E113,E116,E117)</f>
        <v>8159.0050438508833</v>
      </c>
      <c r="F118" s="334">
        <f t="shared" si="90"/>
        <v>9408.0445967214364</v>
      </c>
      <c r="G118" s="334">
        <f t="shared" si="90"/>
        <v>8633.5259525698821</v>
      </c>
      <c r="H118" s="404">
        <f t="shared" si="90"/>
        <v>9381.9049614469113</v>
      </c>
      <c r="I118" s="19">
        <f t="shared" si="90"/>
        <v>10199.88687415813</v>
      </c>
      <c r="J118" s="19">
        <f t="shared" si="90"/>
        <v>11303.568338940835</v>
      </c>
      <c r="K118" s="19">
        <f t="shared" si="90"/>
        <v>11906.687328888773</v>
      </c>
      <c r="L118" s="19">
        <f t="shared" si="90"/>
        <v>12573.17859813762</v>
      </c>
      <c r="M118" s="19">
        <f t="shared" si="90"/>
        <v>13385.12668810488</v>
      </c>
      <c r="N118" s="182">
        <f t="shared" si="90"/>
        <v>14465.469361552994</v>
      </c>
      <c r="O118" s="19">
        <f t="shared" si="90"/>
        <v>14412.60585604691</v>
      </c>
      <c r="P118" s="19">
        <f t="shared" si="90"/>
        <v>14585.043670137071</v>
      </c>
      <c r="Q118" s="19">
        <f t="shared" si="90"/>
        <v>14937.918431508155</v>
      </c>
      <c r="R118" s="19">
        <f t="shared" si="90"/>
        <v>14990.82709969148</v>
      </c>
      <c r="S118" s="19">
        <f t="shared" si="90"/>
        <v>15078.314283663543</v>
      </c>
      <c r="T118" s="19">
        <f t="shared" si="90"/>
        <v>15567.082689906149</v>
      </c>
      <c r="U118" s="19">
        <f t="shared" si="90"/>
        <v>15793.025789276673</v>
      </c>
      <c r="V118" s="19">
        <f t="shared" si="90"/>
        <v>15832.102591304016</v>
      </c>
      <c r="W118" s="19">
        <f t="shared" si="90"/>
        <v>16030.754521482069</v>
      </c>
      <c r="X118" s="182">
        <f t="shared" si="90"/>
        <v>16049.28809423337</v>
      </c>
      <c r="Y118" s="206">
        <f t="shared" si="90"/>
        <v>16584.487514579308</v>
      </c>
      <c r="Z118" s="206">
        <f t="shared" si="90"/>
        <v>17082.348990963415</v>
      </c>
      <c r="AA118" s="206">
        <f t="shared" si="90"/>
        <v>17629.858903518754</v>
      </c>
      <c r="AB118" s="206">
        <f t="shared" si="90"/>
        <v>18081.797796902261</v>
      </c>
      <c r="AC118" s="206">
        <f t="shared" si="90"/>
        <v>18448.043352817087</v>
      </c>
      <c r="AD118" s="206">
        <f t="shared" si="90"/>
        <v>18858.744312176539</v>
      </c>
      <c r="AE118" s="206">
        <f t="shared" si="90"/>
        <v>19199.115125923869</v>
      </c>
      <c r="AF118" s="206">
        <f t="shared" si="90"/>
        <v>19468.485077142865</v>
      </c>
      <c r="AG118" s="206">
        <f t="shared" si="90"/>
        <v>19587.275544640233</v>
      </c>
      <c r="AH118" s="182">
        <f t="shared" si="90"/>
        <v>19787.652217709838</v>
      </c>
      <c r="AI118" s="31"/>
    </row>
    <row r="119" spans="1:35" s="1" customFormat="1">
      <c r="A119" s="1" t="s">
        <v>335</v>
      </c>
      <c r="B119" s="13"/>
      <c r="C119" s="341">
        <f>C118-'Output - Jobs vs Yr (BAU)'!C55</f>
        <v>1.5399999999999636</v>
      </c>
      <c r="D119" s="341">
        <f>D118-'Output - Jobs vs Yr (BAU)'!D55</f>
        <v>92.963989234514884</v>
      </c>
      <c r="E119" s="341">
        <f>E118-'Output - Jobs vs Yr (BAU)'!E55</f>
        <v>163.5695462832964</v>
      </c>
      <c r="F119" s="341">
        <f>F118-'Output - Jobs vs Yr (BAU)'!F55</f>
        <v>329.55146037445593</v>
      </c>
      <c r="G119" s="341">
        <f>G118-'Output - Jobs vs Yr (BAU)'!G55</f>
        <v>270.13659471534265</v>
      </c>
      <c r="H119" s="405">
        <f>H118-'Output - Jobs vs Yr (BAU)'!H55</f>
        <v>22.835433987407669</v>
      </c>
      <c r="I119" s="15">
        <f>I118-'Output - Jobs vs Yr (BAU)'!I55</f>
        <v>132.42112699599056</v>
      </c>
      <c r="J119" s="15">
        <f>J118-'Output - Jobs vs Yr (BAU)'!J55</f>
        <v>429.33943708005427</v>
      </c>
      <c r="K119" s="15">
        <f>K118-'Output - Jobs vs Yr (BAU)'!K55</f>
        <v>811.89512346887386</v>
      </c>
      <c r="L119" s="15">
        <f>L118-'Output - Jobs vs Yr (BAU)'!L55</f>
        <v>1385.2711468791349</v>
      </c>
      <c r="M119" s="15">
        <f>M118-'Output - Jobs vs Yr (BAU)'!M55</f>
        <v>2215.1972195328271</v>
      </c>
      <c r="N119" s="182">
        <f>N118-'Output - Jobs vs Yr (BAU)'!N55</f>
        <v>3288.0441550083779</v>
      </c>
      <c r="O119" s="15">
        <f>O118-'Output - Jobs vs Yr (BAU)'!O55</f>
        <v>3267.3563034233885</v>
      </c>
      <c r="P119" s="15">
        <f>P118-'Output - Jobs vs Yr (BAU)'!P55</f>
        <v>3308.4783571441694</v>
      </c>
      <c r="Q119" s="15">
        <f>Q118-'Output - Jobs vs Yr (BAU)'!Q55</f>
        <v>3398.6492059504817</v>
      </c>
      <c r="R119" s="15">
        <f>R118-'Output - Jobs vs Yr (BAU)'!R55</f>
        <v>3409.5400413113166</v>
      </c>
      <c r="S119" s="15">
        <f>S118-'Output - Jobs vs Yr (BAU)'!S55</f>
        <v>3432.3814905122872</v>
      </c>
      <c r="T119" s="15">
        <f>T118-'Output - Jobs vs Yr (BAU)'!T55</f>
        <v>3562.8559593586597</v>
      </c>
      <c r="U119" s="15">
        <f>U118-'Output - Jobs vs Yr (BAU)'!U55</f>
        <v>3624.6917573204792</v>
      </c>
      <c r="V119" s="15">
        <f>V118-'Output - Jobs vs Yr (BAU)'!V55</f>
        <v>3638.0834532858553</v>
      </c>
      <c r="W119" s="15">
        <f>W118-'Output - Jobs vs Yr (BAU)'!W55</f>
        <v>3576.1109796448709</v>
      </c>
      <c r="X119" s="190">
        <f>X118-'Output - Jobs vs Yr (BAU)'!X55</f>
        <v>3563.5839285420352</v>
      </c>
      <c r="Y119" s="130">
        <f>Y118-'Output - Jobs vs Yr (BAU)'!Y55</f>
        <v>3670.4001514478623</v>
      </c>
      <c r="Z119" s="130">
        <f>Z118-'Output - Jobs vs Yr (BAU)'!Z55</f>
        <v>3766.0760937469204</v>
      </c>
      <c r="AA119" s="130">
        <f>AA118-'Output - Jobs vs Yr (BAU)'!AA55</f>
        <v>3872.5725050260262</v>
      </c>
      <c r="AB119" s="130">
        <f>AB118-'Output - Jobs vs Yr (BAU)'!AB55</f>
        <v>3953.9728175687051</v>
      </c>
      <c r="AC119" s="130">
        <f>AC118-'Output - Jobs vs Yr (BAU)'!AC55</f>
        <v>4015.4166637681792</v>
      </c>
      <c r="AD119" s="130">
        <f>AD118-'Output - Jobs vs Yr (BAU)'!AD55</f>
        <v>4087.2250941215098</v>
      </c>
      <c r="AE119" s="130">
        <f>AE118-'Output - Jobs vs Yr (BAU)'!AE55</f>
        <v>4141.7974717474935</v>
      </c>
      <c r="AF119" s="130">
        <f>AF118-'Output - Jobs vs Yr (BAU)'!AF55</f>
        <v>4179.5105974674971</v>
      </c>
      <c r="AG119" s="130">
        <f>AG118-'Output - Jobs vs Yr (BAU)'!AG55</f>
        <v>4182.5123839473563</v>
      </c>
      <c r="AH119" s="190">
        <f>AH118-'Output - Jobs vs Yr (BAU)'!AH55</f>
        <v>4205.373764491138</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0.44702877957888631</v>
      </c>
    </row>
    <row r="123" spans="1:35" hidden="1">
      <c r="W123" s="2" t="s">
        <v>134</v>
      </c>
      <c r="X123" s="187">
        <f>X115-'Output - Jobs vs Yr (BAU)'!X51</f>
        <v>4609.0785055216093</v>
      </c>
    </row>
    <row r="124" spans="1:35" hidden="1">
      <c r="W124" s="2" t="s">
        <v>137</v>
      </c>
      <c r="X124" s="187">
        <f>SUM(X101,X106,X111)</f>
        <v>0</v>
      </c>
    </row>
    <row r="125" spans="1:35" hidden="1">
      <c r="W125" s="2" t="s">
        <v>132</v>
      </c>
      <c r="X125" s="187">
        <f>SUM(X121:X124)</f>
        <v>4609.5255343011886</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4.3186499999999999</v>
      </c>
      <c r="D129" s="331">
        <f>D102*Inputs!$H48</f>
        <v>4.6803424613899445</v>
      </c>
      <c r="E129" s="331">
        <f>E102*Inputs!$H48</f>
        <v>4.7119966892020537</v>
      </c>
      <c r="F129" s="331">
        <f>F102*Inputs!$H48</f>
        <v>5.5408010033851829</v>
      </c>
      <c r="G129" s="331">
        <f>G102*Inputs!$H48</f>
        <v>5.1899667486472323</v>
      </c>
      <c r="H129" s="402">
        <f>H102*Inputs!$H48</f>
        <v>5.5020032420234735</v>
      </c>
      <c r="I129" s="14">
        <f>I102*Inputs!$H48</f>
        <v>5.8653677630609868</v>
      </c>
      <c r="J129" s="14">
        <f>J102*Inputs!$H48</f>
        <v>6.3255812081139053</v>
      </c>
      <c r="K129" s="14">
        <f>K102*Inputs!$H48</f>
        <v>6.4289221962796521</v>
      </c>
      <c r="L129" s="14">
        <f>L102*Inputs!$H48</f>
        <v>6.4819405298907364</v>
      </c>
      <c r="M129" s="14">
        <f>M102*Inputs!$H48</f>
        <v>6.5095450865057662</v>
      </c>
      <c r="N129" s="182">
        <f>N102*Inputs!$H48</f>
        <v>6.5468710549556208</v>
      </c>
      <c r="O129" s="14">
        <f>O102*Inputs!$H48</f>
        <v>6.4581792462132732</v>
      </c>
      <c r="P129" s="14">
        <f>P102*Inputs!$H48</f>
        <v>6.4696702870198415</v>
      </c>
      <c r="Q129" s="14">
        <f>Q102*Inputs!$H48</f>
        <v>6.5586845544864918</v>
      </c>
      <c r="R129" s="14">
        <f>R102*Inputs!$H48</f>
        <v>6.5148213453540817</v>
      </c>
      <c r="S129" s="14">
        <f>S102*Inputs!$H48</f>
        <v>6.485528993706537</v>
      </c>
      <c r="T129" s="14">
        <f>T102*Inputs!$H48</f>
        <v>6.6258286352082969</v>
      </c>
      <c r="U129" s="14">
        <f>U102*Inputs!$H48</f>
        <v>6.6517364963935286</v>
      </c>
      <c r="V129" s="14">
        <f>V102*Inputs!$H48</f>
        <v>6.5982809902491866</v>
      </c>
      <c r="W129" s="14">
        <f>W102*Inputs!$H48</f>
        <v>6.6103024119525058</v>
      </c>
      <c r="X129" s="187">
        <f>X102*Inputs!$H48</f>
        <v>6.5476309280401566</v>
      </c>
      <c r="Y129" s="158">
        <f>Y102*Inputs!$H48</f>
        <v>6.6351631600692249</v>
      </c>
      <c r="Z129" s="158">
        <f>Z102*Inputs!$H48</f>
        <v>6.7003438863564542</v>
      </c>
      <c r="AA129" s="158">
        <f>AA102*Inputs!$H48</f>
        <v>6.7774198895713429</v>
      </c>
      <c r="AB129" s="158">
        <f>AB102*Inputs!$H48</f>
        <v>6.8107765112804906</v>
      </c>
      <c r="AC129" s="158">
        <f>AC102*Inputs!$H48</f>
        <v>6.8062794814624565</v>
      </c>
      <c r="AD129" s="158">
        <f>AD102*Inputs!$H48</f>
        <v>6.812841978024645</v>
      </c>
      <c r="AE129" s="158">
        <f>AE102*Inputs!$H48</f>
        <v>6.7890393255882548</v>
      </c>
      <c r="AF129" s="158">
        <f>AF102*Inputs!$H48</f>
        <v>6.7362765278614187</v>
      </c>
      <c r="AG129" s="158">
        <f>AG102*Inputs!$H48</f>
        <v>6.629365934365179</v>
      </c>
      <c r="AH129" s="187">
        <f>AH102*Inputs!$H48</f>
        <v>6.5483211745012833</v>
      </c>
    </row>
    <row r="130" spans="1:35">
      <c r="A130" s="10" t="s">
        <v>59</v>
      </c>
      <c r="B130" s="35">
        <v>0</v>
      </c>
      <c r="C130" s="331">
        <f>C103*Inputs!$H53</f>
        <v>4325.3280000000004</v>
      </c>
      <c r="D130" s="331">
        <f>D103*Inputs!$H53</f>
        <v>4449.2211992212488</v>
      </c>
      <c r="E130" s="331">
        <f>E103*Inputs!$H53</f>
        <v>4248.1525912146299</v>
      </c>
      <c r="F130" s="331">
        <f>F103*Inputs!$H53</f>
        <v>4733.3516834612683</v>
      </c>
      <c r="G130" s="331">
        <f>G103*Inputs!$H53</f>
        <v>4196.9079153351322</v>
      </c>
      <c r="H130" s="402">
        <f>H103*Inputs!$H53</f>
        <v>3700.3081953600004</v>
      </c>
      <c r="I130" s="14">
        <f>I103*Inputs!$H53</f>
        <v>3799.2029324732225</v>
      </c>
      <c r="J130" s="14">
        <f>J103*Inputs!$H53</f>
        <v>3942.9660377422647</v>
      </c>
      <c r="K130" s="14">
        <f>K103*Inputs!$H53</f>
        <v>3853.0698778142364</v>
      </c>
      <c r="L130" s="14">
        <f>L103*Inputs!$H53</f>
        <v>3731.761873843368</v>
      </c>
      <c r="M130" s="14">
        <f>M103*Inputs!$H53</f>
        <v>3596.3705124337225</v>
      </c>
      <c r="N130" s="182">
        <f>N103*Inputs!$H53</f>
        <v>3467.2483792800008</v>
      </c>
      <c r="O130" s="14">
        <f>O103*Inputs!$H53</f>
        <v>3420.2768523420214</v>
      </c>
      <c r="P130" s="14">
        <f>P103*Inputs!$H53</f>
        <v>3426.362552255518</v>
      </c>
      <c r="Q130" s="14">
        <f>Q103*Inputs!$H53</f>
        <v>3473.5048545883124</v>
      </c>
      <c r="R130" s="14">
        <f>R103*Inputs!$H53</f>
        <v>3450.2747283955478</v>
      </c>
      <c r="S130" s="14">
        <f>S103*Inputs!$H53</f>
        <v>3434.7613850101802</v>
      </c>
      <c r="T130" s="14">
        <f>T103*Inputs!$H53</f>
        <v>3509.0646209418433</v>
      </c>
      <c r="U130" s="14">
        <f>U103*Inputs!$H53</f>
        <v>3522.7855250120565</v>
      </c>
      <c r="V130" s="14">
        <f>V103*Inputs!$H53</f>
        <v>3494.4752810059108</v>
      </c>
      <c r="W130" s="14">
        <f>W103*Inputs!$H53</f>
        <v>3500.8418727056091</v>
      </c>
      <c r="X130" s="187">
        <f>X103*Inputs!$H53</f>
        <v>3467.6508110216218</v>
      </c>
      <c r="Y130" s="158">
        <f>Y103*Inputs!$H53</f>
        <v>3514.0082216212722</v>
      </c>
      <c r="Z130" s="158">
        <f>Z103*Inputs!$H53</f>
        <v>3548.5281878284304</v>
      </c>
      <c r="AA130" s="158">
        <f>AA103*Inputs!$H53</f>
        <v>3589.3479389713689</v>
      </c>
      <c r="AB130" s="158">
        <f>AB103*Inputs!$H53</f>
        <v>3607.0137355921461</v>
      </c>
      <c r="AC130" s="158">
        <f>AC103*Inputs!$H53</f>
        <v>3604.6320911062121</v>
      </c>
      <c r="AD130" s="158">
        <f>AD103*Inputs!$H53</f>
        <v>3608.1076148149095</v>
      </c>
      <c r="AE130" s="158">
        <f>AE103*Inputs!$H53</f>
        <v>3595.501637487745</v>
      </c>
      <c r="AF130" s="158">
        <f>AF103*Inputs!$H53</f>
        <v>3567.5582545542775</v>
      </c>
      <c r="AG130" s="158">
        <f>AG103*Inputs!$H53</f>
        <v>3510.9379883360948</v>
      </c>
      <c r="AH130" s="187">
        <f>AH103*Inputs!$H53</f>
        <v>3468.0163682326238</v>
      </c>
    </row>
    <row r="131" spans="1:35">
      <c r="A131" s="10" t="s">
        <v>121</v>
      </c>
      <c r="B131" s="35">
        <v>1</v>
      </c>
      <c r="C131" s="330">
        <f>Inputs!$H46*'Output -Jobs vs Yr'!C104</f>
        <v>0</v>
      </c>
      <c r="D131" s="330">
        <f>Inputs!$H46*'Output -Jobs vs Yr'!D104</f>
        <v>0</v>
      </c>
      <c r="E131" s="330">
        <f>Inputs!$H46*'Output -Jobs vs Yr'!E104</f>
        <v>0.26442782100000001</v>
      </c>
      <c r="F131" s="330">
        <f>Inputs!$H46*'Output -Jobs vs Yr'!F104</f>
        <v>0.25465349700000001</v>
      </c>
      <c r="G131" s="330">
        <f>Inputs!$H46*'Output -Jobs vs Yr'!G104</f>
        <v>0.27706662900000001</v>
      </c>
      <c r="H131" s="286">
        <f>Inputs!$H46*'Output -Jobs vs Yr'!H104</f>
        <v>0.31466024099999995</v>
      </c>
      <c r="I131" s="40">
        <f>Inputs!$H46*'Output -Jobs vs Yr'!I104</f>
        <v>0.51548761109279073</v>
      </c>
      <c r="J131" s="40">
        <f>Inputs!$H46*'Output -Jobs vs Yr'!J104</f>
        <v>0.85438741376474014</v>
      </c>
      <c r="K131" s="40">
        <f>Inputs!$H46*'Output -Jobs vs Yr'!K104</f>
        <v>1.3346057319981437</v>
      </c>
      <c r="L131" s="40">
        <f>Inputs!$H46*'Output -Jobs vs Yr'!L104</f>
        <v>2.0682774022279684</v>
      </c>
      <c r="M131" s="40">
        <f>Inputs!$H46*'Output -Jobs vs Yr'!M104</f>
        <v>3.1927975075393382</v>
      </c>
      <c r="N131" s="177">
        <f>Inputs!$H46*'Output -Jobs vs Yr'!N104</f>
        <v>4.9362725676719279</v>
      </c>
      <c r="O131" s="40">
        <f>Inputs!$H46*'Output -Jobs vs Yr'!O104</f>
        <v>4.9574991030369215</v>
      </c>
      <c r="P131" s="40">
        <f>Inputs!$H46*'Output -Jobs vs Yr'!P104</f>
        <v>5.0563653131042283</v>
      </c>
      <c r="Q131" s="40">
        <f>Inputs!$H46*'Output -Jobs vs Yr'!Q104</f>
        <v>5.2190749161373056</v>
      </c>
      <c r="R131" s="40">
        <f>Inputs!$H46*'Output -Jobs vs Yr'!R104</f>
        <v>5.2785756110895985</v>
      </c>
      <c r="S131" s="40">
        <f>Inputs!$H46*'Output -Jobs vs Yr'!S104</f>
        <v>5.3507450820094178</v>
      </c>
      <c r="T131" s="40">
        <f>Inputs!$H46*'Output -Jobs vs Yr'!T104</f>
        <v>5.5664852613579647</v>
      </c>
      <c r="U131" s="40">
        <f>Inputs!$H46*'Output -Jobs vs Yr'!U104</f>
        <v>5.6906977524351143</v>
      </c>
      <c r="V131" s="40">
        <f>Inputs!$H46*'Output -Jobs vs Yr'!V104</f>
        <v>5.7486880912569385</v>
      </c>
      <c r="W131" s="40">
        <f>Inputs!$H46*'Output -Jobs vs Yr'!W104</f>
        <v>5.8652265543086664</v>
      </c>
      <c r="X131" s="184">
        <f>Inputs!$H46*'Output -Jobs vs Yr'!X104</f>
        <v>5.9168625846187579</v>
      </c>
      <c r="Y131" s="271">
        <f>Inputs!$H46*'Output -Jobs vs Yr'!Y104</f>
        <v>6.1582017750783136</v>
      </c>
      <c r="Z131" s="271">
        <f>Inputs!$H46*'Output -Jobs vs Yr'!Z104</f>
        <v>6.3886593508143763</v>
      </c>
      <c r="AA131" s="271">
        <f>Inputs!$H46*'Output -Jobs vs Yr'!AA104</f>
        <v>6.6405879037892523</v>
      </c>
      <c r="AB131" s="271">
        <f>Inputs!$H46*'Output -Jobs vs Yr'!AB104</f>
        <v>6.8594845257330377</v>
      </c>
      <c r="AC131" s="271">
        <f>Inputs!$H46*'Output -Jobs vs Yr'!AC104</f>
        <v>7.0483070872684559</v>
      </c>
      <c r="AD131" s="271">
        <f>Inputs!$H46*'Output -Jobs vs Yr'!AD104</f>
        <v>7.2563045257998642</v>
      </c>
      <c r="AE131" s="271">
        <f>Inputs!$H46*'Output -Jobs vs Yr'!AE104</f>
        <v>7.4395100657667044</v>
      </c>
      <c r="AF131" s="271">
        <f>Inputs!$H46*'Output -Jobs vs Yr'!AF104</f>
        <v>7.5970748990318198</v>
      </c>
      <c r="AG131" s="271">
        <f>Inputs!$H46*'Output -Jobs vs Yr'!AG104</f>
        <v>7.6972555634228428</v>
      </c>
      <c r="AH131" s="184">
        <f>Inputs!$H46*'Output -Jobs vs Yr'!AH104</f>
        <v>7.8303969677593024</v>
      </c>
    </row>
    <row r="132" spans="1:35">
      <c r="A132" s="10" t="s">
        <v>50</v>
      </c>
      <c r="B132" s="35">
        <v>1</v>
      </c>
      <c r="C132" s="331">
        <f>C105*Inputs!$H49</f>
        <v>0</v>
      </c>
      <c r="D132" s="331">
        <f>D105*Inputs!$H49</f>
        <v>0</v>
      </c>
      <c r="E132" s="331">
        <f>E105*Inputs!$H49</f>
        <v>2.2500000000000003E-9</v>
      </c>
      <c r="F132" s="331">
        <f>F105*Inputs!$H49</f>
        <v>2.2500000000000003E-9</v>
      </c>
      <c r="G132" s="331">
        <f>G105*Inputs!$H49</f>
        <v>2.2500000000000003E-9</v>
      </c>
      <c r="H132" s="402">
        <f>H105*Inputs!$H49</f>
        <v>2.2500000000000003E-9</v>
      </c>
      <c r="I132" s="14">
        <f>I105*Inputs!$H49</f>
        <v>2.7620300409935415E-9</v>
      </c>
      <c r="J132" s="14">
        <f>J105*Inputs!$H49</f>
        <v>3.4303191369979879E-9</v>
      </c>
      <c r="K132" s="14">
        <f>K105*Inputs!$H49</f>
        <v>4.0151538266902027E-9</v>
      </c>
      <c r="L132" s="14">
        <f>L105*Inputs!$H49</f>
        <v>4.6625930079421187E-9</v>
      </c>
      <c r="M132" s="14">
        <f>M105*Inputs!$H49</f>
        <v>5.3933625523217591E-9</v>
      </c>
      <c r="N132" s="182">
        <f>N105*Inputs!$H49</f>
        <v>6.2482283120248692E-9</v>
      </c>
      <c r="O132" s="14">
        <f>O105*Inputs!$H49</f>
        <v>6.2750964068100598E-9</v>
      </c>
      <c r="P132" s="14">
        <f>P105*Inputs!$H49</f>
        <v>6.400239142422102E-9</v>
      </c>
      <c r="Q132" s="14">
        <f>Q105*Inputs!$H49</f>
        <v>6.6061934803101072E-9</v>
      </c>
      <c r="R132" s="14">
        <f>R105*Inputs!$H49</f>
        <v>6.6815081882581359E-9</v>
      </c>
      <c r="S132" s="14">
        <f>S105*Inputs!$H49</f>
        <v>6.7728587620530796E-9</v>
      </c>
      <c r="T132" s="14">
        <f>T105*Inputs!$H49</f>
        <v>7.0459380700060166E-9</v>
      </c>
      <c r="U132" s="14">
        <f>U105*Inputs!$H49</f>
        <v>7.2031635863881922E-9</v>
      </c>
      <c r="V132" s="14">
        <f>V105*Inputs!$H49</f>
        <v>7.2765665178274755E-9</v>
      </c>
      <c r="W132" s="14">
        <f>W105*Inputs!$H49</f>
        <v>7.4240784135539062E-9</v>
      </c>
      <c r="X132" s="187">
        <f>X105*Inputs!$H49</f>
        <v>7.4894381970911954E-9</v>
      </c>
      <c r="Y132" s="158">
        <f>Y105*Inputs!$H49</f>
        <v>7.7949201861746611E-9</v>
      </c>
      <c r="Z132" s="158">
        <f>Z105*Inputs!$H49</f>
        <v>8.0866284599164791E-9</v>
      </c>
      <c r="AA132" s="158">
        <f>AA105*Inputs!$H49</f>
        <v>8.4055142377428583E-9</v>
      </c>
      <c r="AB132" s="158">
        <f>AB105*Inputs!$H49</f>
        <v>8.6825889032694466E-9</v>
      </c>
      <c r="AC132" s="158">
        <f>AC105*Inputs!$H49</f>
        <v>8.9215964659112078E-9</v>
      </c>
      <c r="AD132" s="158">
        <f>AD105*Inputs!$H49</f>
        <v>9.1848751780252612E-9</v>
      </c>
      <c r="AE132" s="158">
        <f>AE105*Inputs!$H49</f>
        <v>9.4167728348194594E-9</v>
      </c>
      <c r="AF132" s="158">
        <f>AF105*Inputs!$H49</f>
        <v>9.616215033095578E-9</v>
      </c>
      <c r="AG132" s="158">
        <f>AG105*Inputs!$H49</f>
        <v>9.7430215768964338E-9</v>
      </c>
      <c r="AH132" s="187">
        <f>AH105*Inputs!$H49</f>
        <v>9.911549120842445E-9</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124.875</v>
      </c>
      <c r="D134" s="331">
        <f>D107*Inputs!$H52</f>
        <v>154.03094906210742</v>
      </c>
      <c r="E134" s="331">
        <f>E107*Inputs!$H52</f>
        <v>176.55910768139165</v>
      </c>
      <c r="F134" s="331">
        <f>F107*Inputs!$H52</f>
        <v>236.46065296036156</v>
      </c>
      <c r="G134" s="331">
        <f>G107*Inputs!$H52</f>
        <v>252.34415673653172</v>
      </c>
      <c r="H134" s="402">
        <f>H107*Inputs!$H52</f>
        <v>211.10546122873944</v>
      </c>
      <c r="I134" s="14">
        <f>I107*Inputs!$H52</f>
        <v>258.87111332724157</v>
      </c>
      <c r="J134" s="14">
        <f>J107*Inputs!$H52</f>
        <v>321.16481699127974</v>
      </c>
      <c r="K134" s="14">
        <f>K107*Inputs!$H52</f>
        <v>375.52068854549867</v>
      </c>
      <c r="L134" s="14">
        <f>L107*Inputs!$H52</f>
        <v>435.60958923122058</v>
      </c>
      <c r="M134" s="14">
        <f>M107*Inputs!$H52</f>
        <v>503.34734482696598</v>
      </c>
      <c r="N134" s="182">
        <f>N107*Inputs!$H52</f>
        <v>582.50988594561125</v>
      </c>
      <c r="O134" s="14">
        <f>O107*Inputs!$H52</f>
        <v>585.01474493080173</v>
      </c>
      <c r="P134" s="14">
        <f>P107*Inputs!$H52</f>
        <v>596.6815530255061</v>
      </c>
      <c r="Q134" s="14">
        <f>Q107*Inputs!$H52</f>
        <v>615.88226591275134</v>
      </c>
      <c r="R134" s="14">
        <f>R107*Inputs!$H52</f>
        <v>622.90370619085388</v>
      </c>
      <c r="S134" s="14">
        <f>S107*Inputs!$H52</f>
        <v>631.42013831609324</v>
      </c>
      <c r="T134" s="14">
        <f>T107*Inputs!$H52</f>
        <v>656.87877852353176</v>
      </c>
      <c r="U134" s="14">
        <f>U107*Inputs!$H52</f>
        <v>671.53660039589556</v>
      </c>
      <c r="V134" s="14">
        <f>V107*Inputs!$H52</f>
        <v>678.37980955623971</v>
      </c>
      <c r="W134" s="14">
        <f>W107*Inputs!$H52</f>
        <v>692.13204991369525</v>
      </c>
      <c r="X134" s="187">
        <f>X107*Inputs!$H52</f>
        <v>698.2254124082225</v>
      </c>
      <c r="Y134" s="158">
        <f>Y107*Inputs!$H52</f>
        <v>726.7048900670311</v>
      </c>
      <c r="Z134" s="158">
        <f>Z107*Inputs!$H52</f>
        <v>753.90027166659866</v>
      </c>
      <c r="AA134" s="158">
        <f>AA107*Inputs!$H52</f>
        <v>783.62935786433468</v>
      </c>
      <c r="AB134" s="158">
        <f>AB107*Inputs!$H52</f>
        <v>809.46047730401563</v>
      </c>
      <c r="AC134" s="158">
        <f>AC107*Inputs!$H52</f>
        <v>831.74267652945844</v>
      </c>
      <c r="AD134" s="158">
        <f>AD107*Inputs!$H52</f>
        <v>856.28762669882326</v>
      </c>
      <c r="AE134" s="158">
        <f>AE107*Inputs!$H52</f>
        <v>877.90698355719439</v>
      </c>
      <c r="AF134" s="158">
        <f>AF107*Inputs!$H52</f>
        <v>896.50058263342817</v>
      </c>
      <c r="AG134" s="158">
        <f>AG107*Inputs!$H52</f>
        <v>908.32250425310338</v>
      </c>
      <c r="AH134" s="187">
        <f>AH107*Inputs!$H52</f>
        <v>924.03399165406097</v>
      </c>
    </row>
    <row r="135" spans="1:35">
      <c r="A135" s="9" t="s">
        <v>347</v>
      </c>
      <c r="B135" s="35">
        <v>1</v>
      </c>
      <c r="C135" s="331">
        <f>C108*Inputs!$H54</f>
        <v>0</v>
      </c>
      <c r="D135" s="331">
        <f>D108*Inputs!$H54</f>
        <v>0</v>
      </c>
      <c r="E135" s="331">
        <f>E108*Inputs!$H54</f>
        <v>1.4220000000000002E-2</v>
      </c>
      <c r="F135" s="331">
        <f>F108*Inputs!$H54</f>
        <v>1.4220000000000002E-2</v>
      </c>
      <c r="G135" s="331">
        <f>G108*Inputs!$H54</f>
        <v>1.4220000000000002E-2</v>
      </c>
      <c r="H135" s="402">
        <f>H108*Inputs!$H54</f>
        <v>996.67634849958199</v>
      </c>
      <c r="I135" s="14">
        <f>I108*Inputs!$H54</f>
        <v>1357.8728452648304</v>
      </c>
      <c r="J135" s="14">
        <f>J108*Inputs!$H54</f>
        <v>1871.6485535589172</v>
      </c>
      <c r="K135" s="14">
        <f>K108*Inputs!$H54</f>
        <v>2431.3699032052709</v>
      </c>
      <c r="L135" s="14">
        <f>L108*Inputs!$H54</f>
        <v>3133.5413310410281</v>
      </c>
      <c r="M135" s="14">
        <f>M108*Inputs!$H54</f>
        <v>4022.7829978579807</v>
      </c>
      <c r="N135" s="182">
        <f>N108*Inputs!$H54</f>
        <v>5172.2910155780619</v>
      </c>
      <c r="O135" s="14">
        <f>O108*Inputs!$H54</f>
        <v>5194.5324572033087</v>
      </c>
      <c r="P135" s="14">
        <f>P108*Inputs!$H54</f>
        <v>5298.1257663378901</v>
      </c>
      <c r="Q135" s="14">
        <f>Q108*Inputs!$H54</f>
        <v>5468.615018375518</v>
      </c>
      <c r="R135" s="14">
        <f>R108*Inputs!$H54</f>
        <v>5530.9606254511709</v>
      </c>
      <c r="S135" s="14">
        <f>S108*Inputs!$H54</f>
        <v>5606.5807418285067</v>
      </c>
      <c r="T135" s="14">
        <f>T108*Inputs!$H54</f>
        <v>5832.6361259358646</v>
      </c>
      <c r="U135" s="14">
        <f>U108*Inputs!$H54</f>
        <v>5962.7876001126469</v>
      </c>
      <c r="V135" s="14">
        <f>V108*Inputs!$H54</f>
        <v>6023.5506362632032</v>
      </c>
      <c r="W135" s="14">
        <f>W108*Inputs!$H54</f>
        <v>6145.661163416692</v>
      </c>
      <c r="X135" s="187">
        <f>X108*Inputs!$H54</f>
        <v>6199.7660719264322</v>
      </c>
      <c r="Y135" s="158">
        <f>Y108*Inputs!$H54</f>
        <v>6452.6444349844041</v>
      </c>
      <c r="Z135" s="158">
        <f>Z108*Inputs!$H54</f>
        <v>6694.1208996873456</v>
      </c>
      <c r="AA135" s="158">
        <f>AA108*Inputs!$H54</f>
        <v>6958.0949354108398</v>
      </c>
      <c r="AB135" s="158">
        <f>AB108*Inputs!$H54</f>
        <v>7187.4576813894728</v>
      </c>
      <c r="AC135" s="158">
        <f>AC108*Inputs!$H54</f>
        <v>7385.3084331822747</v>
      </c>
      <c r="AD135" s="158">
        <f>AD108*Inputs!$H54</f>
        <v>7603.250872103682</v>
      </c>
      <c r="AE135" s="158">
        <f>AE108*Inputs!$H54</f>
        <v>7795.216035166286</v>
      </c>
      <c r="AF135" s="158">
        <f>AF108*Inputs!$H54</f>
        <v>7960.3145300925062</v>
      </c>
      <c r="AG135" s="158">
        <f>AG108*Inputs!$H54</f>
        <v>8065.2851416745789</v>
      </c>
      <c r="AH135" s="187">
        <f>AH108*Inputs!$H54</f>
        <v>8204.792448050026</v>
      </c>
    </row>
    <row r="136" spans="1:35">
      <c r="A136" s="9" t="s">
        <v>348</v>
      </c>
      <c r="B136" s="35">
        <v>1</v>
      </c>
      <c r="C136" s="331">
        <f>C109*Inputs!$H55</f>
        <v>0</v>
      </c>
      <c r="D136" s="331">
        <f>D109*Inputs!$H55</f>
        <v>0</v>
      </c>
      <c r="E136" s="331">
        <f>E109*Inputs!$H55</f>
        <v>2.0700000000000002E-3</v>
      </c>
      <c r="F136" s="331">
        <f>F109*Inputs!$H55</f>
        <v>2.0700000000000002E-3</v>
      </c>
      <c r="G136" s="331">
        <f>G109*Inputs!$H55</f>
        <v>2.0700000000000002E-3</v>
      </c>
      <c r="H136" s="402">
        <f>H109*Inputs!$H55</f>
        <v>2.0700000000000002E-3</v>
      </c>
      <c r="I136" s="14">
        <f>I109*Inputs!$H55</f>
        <v>2.5410676377140588E-3</v>
      </c>
      <c r="J136" s="14">
        <f>J109*Inputs!$H55</f>
        <v>3.1558936060381497E-3</v>
      </c>
      <c r="K136" s="14">
        <f>K109*Inputs!$H55</f>
        <v>3.6939415205549876E-3</v>
      </c>
      <c r="L136" s="14">
        <f>L109*Inputs!$H55</f>
        <v>4.2895855673067505E-3</v>
      </c>
      <c r="M136" s="14">
        <f>M109*Inputs!$H55</f>
        <v>4.9618935481360194E-3</v>
      </c>
      <c r="N136" s="187">
        <f>N109*Inputs!$H55</f>
        <v>5.7483700470628805E-3</v>
      </c>
      <c r="O136" s="14">
        <f>O109*Inputs!$H55</f>
        <v>5.7730886942652564E-3</v>
      </c>
      <c r="P136" s="14">
        <f>P109*Inputs!$H55</f>
        <v>5.8882200110283349E-3</v>
      </c>
      <c r="Q136" s="14">
        <f>Q109*Inputs!$H55</f>
        <v>6.0776980018852995E-3</v>
      </c>
      <c r="R136" s="14">
        <f>R109*Inputs!$H55</f>
        <v>6.1469875331974858E-3</v>
      </c>
      <c r="S136" s="14">
        <f>S109*Inputs!$H55</f>
        <v>6.231030061088833E-3</v>
      </c>
      <c r="T136" s="14">
        <f>T109*Inputs!$H55</f>
        <v>6.4822630244055343E-3</v>
      </c>
      <c r="U136" s="14">
        <f>U109*Inputs!$H55</f>
        <v>6.6269104994771365E-3</v>
      </c>
      <c r="V136" s="14">
        <f>V109*Inputs!$H55</f>
        <v>6.6944411964012787E-3</v>
      </c>
      <c r="W136" s="14">
        <f>W109*Inputs!$H55</f>
        <v>6.8301521404695951E-3</v>
      </c>
      <c r="X136" s="187">
        <f>X109*Inputs!$H55</f>
        <v>6.8902831413239001E-3</v>
      </c>
      <c r="Y136" s="158">
        <f>Y109*Inputs!$H55</f>
        <v>7.1713265712806873E-3</v>
      </c>
      <c r="Z136" s="158">
        <f>Z109*Inputs!$H55</f>
        <v>7.4396981831231614E-3</v>
      </c>
      <c r="AA136" s="158">
        <f>AA109*Inputs!$H55</f>
        <v>7.7330730987234305E-3</v>
      </c>
      <c r="AB136" s="158">
        <f>AB109*Inputs!$H55</f>
        <v>7.987981791007891E-3</v>
      </c>
      <c r="AC136" s="158">
        <f>AC109*Inputs!$H55</f>
        <v>8.2078687486383112E-3</v>
      </c>
      <c r="AD136" s="158">
        <f>AD109*Inputs!$H55</f>
        <v>8.45008516378324E-3</v>
      </c>
      <c r="AE136" s="158">
        <f>AE109*Inputs!$H55</f>
        <v>8.6634310080339044E-3</v>
      </c>
      <c r="AF136" s="158">
        <f>AF109*Inputs!$H55</f>
        <v>8.8469178304479319E-3</v>
      </c>
      <c r="AG136" s="158">
        <f>AG109*Inputs!$H55</f>
        <v>8.9635798507447205E-3</v>
      </c>
      <c r="AH136" s="187">
        <f>AH109*Inputs!$H55</f>
        <v>9.1186251911750497E-3</v>
      </c>
    </row>
    <row r="137" spans="1:35">
      <c r="A137" s="9" t="s">
        <v>344</v>
      </c>
      <c r="B137" s="35">
        <v>1</v>
      </c>
      <c r="C137" s="331">
        <f>C110*Inputs!$H56</f>
        <v>2.16E-3</v>
      </c>
      <c r="D137" s="331">
        <f>D110*Inputs!$H56</f>
        <v>2.6671534206392823E-3</v>
      </c>
      <c r="E137" s="331">
        <f>E110*Inputs!$H56</f>
        <v>3.0604965106053096E-3</v>
      </c>
      <c r="F137" s="331">
        <f>F110*Inputs!$H56</f>
        <v>4.1031973415020994E-3</v>
      </c>
      <c r="G137" s="331">
        <f>G110*Inputs!$H56</f>
        <v>4.3834749555658765E-3</v>
      </c>
      <c r="H137" s="402">
        <f>H110*Inputs!$H56</f>
        <v>2.16E-3</v>
      </c>
      <c r="I137" s="14">
        <f>I110*Inputs!$H56</f>
        <v>2.6515488393538005E-3</v>
      </c>
      <c r="J137" s="14">
        <f>J110*Inputs!$H56</f>
        <v>3.293106371518069E-3</v>
      </c>
      <c r="K137" s="14">
        <f>K110*Inputs!$H56</f>
        <v>3.8545476736225959E-3</v>
      </c>
      <c r="L137" s="14">
        <f>L110*Inputs!$H56</f>
        <v>4.4760892876244355E-3</v>
      </c>
      <c r="M137" s="14">
        <f>M110*Inputs!$H56</f>
        <v>5.1776280502288906E-3</v>
      </c>
      <c r="N137" s="187">
        <f>N110*Inputs!$H56</f>
        <v>5.9982991795438749E-3</v>
      </c>
      <c r="O137" s="14">
        <f>O110*Inputs!$H56</f>
        <v>6.0240925505376589E-3</v>
      </c>
      <c r="P137" s="14">
        <f>P110*Inputs!$H56</f>
        <v>6.1442295767252198E-3</v>
      </c>
      <c r="Q137" s="14">
        <f>Q110*Inputs!$H56</f>
        <v>6.3419457410977048E-3</v>
      </c>
      <c r="R137" s="14">
        <f>R110*Inputs!$H56</f>
        <v>6.4142478607278107E-3</v>
      </c>
      <c r="S137" s="14">
        <f>S110*Inputs!$H56</f>
        <v>6.501944411570957E-3</v>
      </c>
      <c r="T137" s="14">
        <f>T110*Inputs!$H56</f>
        <v>6.7641005472057749E-3</v>
      </c>
      <c r="U137" s="14">
        <f>U110*Inputs!$H56</f>
        <v>6.915037042932665E-3</v>
      </c>
      <c r="V137" s="14">
        <f>V110*Inputs!$H56</f>
        <v>6.9855038571143783E-3</v>
      </c>
      <c r="W137" s="14">
        <f>W110*Inputs!$H56</f>
        <v>7.1271152770117519E-3</v>
      </c>
      <c r="X137" s="187">
        <f>X110*Inputs!$H56</f>
        <v>7.1898606692075489E-3</v>
      </c>
      <c r="Y137" s="158">
        <f>Y110*Inputs!$H56</f>
        <v>7.4831233787276746E-3</v>
      </c>
      <c r="Z137" s="158">
        <f>Z110*Inputs!$H56</f>
        <v>7.7631633215198203E-3</v>
      </c>
      <c r="AA137" s="158">
        <f>AA110*Inputs!$H56</f>
        <v>8.0692936682331459E-3</v>
      </c>
      <c r="AB137" s="158">
        <f>AB110*Inputs!$H56</f>
        <v>8.3352853471386681E-3</v>
      </c>
      <c r="AC137" s="158">
        <f>AC110*Inputs!$H56</f>
        <v>8.5647326072747602E-3</v>
      </c>
      <c r="AD137" s="158">
        <f>AD110*Inputs!$H56</f>
        <v>8.8174801709042499E-3</v>
      </c>
      <c r="AE137" s="158">
        <f>AE110*Inputs!$H56</f>
        <v>9.0401019214266833E-3</v>
      </c>
      <c r="AF137" s="158">
        <f>AF110*Inputs!$H56</f>
        <v>9.2315664317717538E-3</v>
      </c>
      <c r="AG137" s="158">
        <f>AG110*Inputs!$H56</f>
        <v>9.3533007138205775E-3</v>
      </c>
      <c r="AH137" s="187">
        <f>AH110*Inputs!$H56</f>
        <v>9.515087156008746E-3</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3.2130000000000005</v>
      </c>
      <c r="D139" s="331">
        <f>D112*Inputs!$H57</f>
        <v>3.976125595823087</v>
      </c>
      <c r="E139" s="331">
        <f>E112*Inputs!$H57</f>
        <v>31.386397130442216</v>
      </c>
      <c r="F139" s="331">
        <f>F112*Inputs!$H57</f>
        <v>37.037787220977641</v>
      </c>
      <c r="G139" s="331">
        <f>G112*Inputs!$H57</f>
        <v>42.570879590401582</v>
      </c>
      <c r="H139" s="402">
        <f>H112*Inputs!$H57</f>
        <v>42.672654528307952</v>
      </c>
      <c r="I139" s="14">
        <f>I112*Inputs!$H57</f>
        <v>52.498955303047758</v>
      </c>
      <c r="J139" s="14">
        <f>J112*Inputs!$H57</f>
        <v>65.344932162315658</v>
      </c>
      <c r="K139" s="14">
        <f>K112*Inputs!$H57</f>
        <v>76.65397760902934</v>
      </c>
      <c r="L139" s="14">
        <f>L112*Inputs!$H57</f>
        <v>89.210328170766687</v>
      </c>
      <c r="M139" s="14">
        <f>M112*Inputs!$H57</f>
        <v>103.41948388767462</v>
      </c>
      <c r="N139" s="182">
        <f>N112*Inputs!$H57</f>
        <v>120.07559931170029</v>
      </c>
      <c r="O139" s="14">
        <f>O112*Inputs!$H57</f>
        <v>120.59193809168482</v>
      </c>
      <c r="P139" s="14">
        <f>P112*Inputs!$H57</f>
        <v>122.9968740555648</v>
      </c>
      <c r="Q139" s="14">
        <f>Q112*Inputs!$H57</f>
        <v>126.95481050054921</v>
      </c>
      <c r="R139" s="14">
        <f>R112*Inputs!$H57</f>
        <v>128.40217417585549</v>
      </c>
      <c r="S139" s="14">
        <f>S112*Inputs!$H57</f>
        <v>130.1577078004488</v>
      </c>
      <c r="T139" s="14">
        <f>T112*Inputs!$H57</f>
        <v>135.40562127681261</v>
      </c>
      <c r="U139" s="14">
        <f>U112*Inputs!$H57</f>
        <v>138.42710947537094</v>
      </c>
      <c r="V139" s="14">
        <f>V112*Inputs!$H57</f>
        <v>139.83773350248038</v>
      </c>
      <c r="W139" s="14">
        <f>W112*Inputs!$H57</f>
        <v>142.67254977365729</v>
      </c>
      <c r="X139" s="187">
        <f>X112*Inputs!$H57</f>
        <v>143.92860425617656</v>
      </c>
      <c r="Y139" s="158">
        <f>Y112*Inputs!$H57</f>
        <v>149.79921766630659</v>
      </c>
      <c r="Z139" s="158">
        <f>Z112*Inputs!$H57</f>
        <v>155.40513410286192</v>
      </c>
      <c r="AA139" s="158">
        <f>AA112*Inputs!$H57</f>
        <v>161.53333540606803</v>
      </c>
      <c r="AB139" s="158">
        <f>AB112*Inputs!$H57</f>
        <v>166.8580298403551</v>
      </c>
      <c r="AC139" s="158">
        <f>AC112*Inputs!$H57</f>
        <v>171.45116806947624</v>
      </c>
      <c r="AD139" s="158">
        <f>AD112*Inputs!$H57</f>
        <v>176.5107381690942</v>
      </c>
      <c r="AE139" s="158">
        <f>AE112*Inputs!$H57</f>
        <v>180.96724147339145</v>
      </c>
      <c r="AF139" s="158">
        <f>AF112*Inputs!$H57</f>
        <v>184.800030592182</v>
      </c>
      <c r="AG139" s="158">
        <f>AG112*Inputs!$H57</f>
        <v>187.23694086228681</v>
      </c>
      <c r="AH139" s="187">
        <f>AH112*Inputs!$H57</f>
        <v>190.47562626706011</v>
      </c>
      <c r="AI139" s="31">
        <f>SUM(C139:X139)</f>
        <v>1997.4352434190878</v>
      </c>
    </row>
    <row r="140" spans="1:35">
      <c r="A140" s="10" t="s">
        <v>383</v>
      </c>
      <c r="C140" s="331">
        <f t="shared" ref="C140:AH140" si="91">SUM(C127:C139)</f>
        <v>4457.7368100000003</v>
      </c>
      <c r="D140" s="331">
        <f t="shared" si="91"/>
        <v>4611.9112834939897</v>
      </c>
      <c r="E140" s="331">
        <f t="shared" si="91"/>
        <v>4461.0938710354258</v>
      </c>
      <c r="F140" s="331">
        <f t="shared" si="91"/>
        <v>5012.6659713425834</v>
      </c>
      <c r="G140" s="331">
        <f t="shared" si="91"/>
        <v>4497.310658516918</v>
      </c>
      <c r="H140" s="402">
        <f t="shared" si="91"/>
        <v>4956.5835531019029</v>
      </c>
      <c r="I140" s="14">
        <f t="shared" si="91"/>
        <v>5474.8318943617351</v>
      </c>
      <c r="J140" s="14">
        <f t="shared" si="91"/>
        <v>6208.3107580800643</v>
      </c>
      <c r="K140" s="14">
        <f t="shared" si="91"/>
        <v>6744.3855235955225</v>
      </c>
      <c r="L140" s="14">
        <f t="shared" si="91"/>
        <v>7398.6821058980204</v>
      </c>
      <c r="M140" s="14">
        <f t="shared" si="91"/>
        <v>8235.6328211273794</v>
      </c>
      <c r="N140" s="182">
        <f t="shared" si="91"/>
        <v>9353.6197704134756</v>
      </c>
      <c r="O140" s="14">
        <f t="shared" si="91"/>
        <v>9331.8434681045874</v>
      </c>
      <c r="P140" s="14">
        <f t="shared" si="91"/>
        <v>9455.7048137305937</v>
      </c>
      <c r="Q140" s="14">
        <f t="shared" si="91"/>
        <v>9696.7471284981057</v>
      </c>
      <c r="R140" s="14">
        <f t="shared" si="91"/>
        <v>9744.3471924119458</v>
      </c>
      <c r="S140" s="14">
        <f t="shared" si="91"/>
        <v>9814.7689800121898</v>
      </c>
      <c r="T140" s="14">
        <f t="shared" si="91"/>
        <v>10146.190706945237</v>
      </c>
      <c r="U140" s="14">
        <f t="shared" si="91"/>
        <v>10307.892811199545</v>
      </c>
      <c r="V140" s="14">
        <f t="shared" si="91"/>
        <v>10348.604109361668</v>
      </c>
      <c r="W140" s="14">
        <f t="shared" si="91"/>
        <v>10493.797122050757</v>
      </c>
      <c r="X140" s="187">
        <f t="shared" si="91"/>
        <v>10522.049473276411</v>
      </c>
      <c r="Y140" s="158">
        <f t="shared" si="91"/>
        <v>10855.964783731906</v>
      </c>
      <c r="Z140" s="158">
        <f t="shared" si="91"/>
        <v>11165.058699391999</v>
      </c>
      <c r="AA140" s="158">
        <f t="shared" si="91"/>
        <v>11506.039377821144</v>
      </c>
      <c r="AB140" s="158">
        <f t="shared" si="91"/>
        <v>11784.476508438824</v>
      </c>
      <c r="AC140" s="158">
        <f t="shared" si="91"/>
        <v>12007.00572806643</v>
      </c>
      <c r="AD140" s="158">
        <f t="shared" si="91"/>
        <v>12258.243265864854</v>
      </c>
      <c r="AE140" s="158">
        <f t="shared" si="91"/>
        <v>12463.83815061832</v>
      </c>
      <c r="AF140" s="158">
        <f t="shared" si="91"/>
        <v>12623.524827793164</v>
      </c>
      <c r="AG140" s="158">
        <f t="shared" si="91"/>
        <v>12686.127513514159</v>
      </c>
      <c r="AH140" s="187">
        <f t="shared" si="91"/>
        <v>12801.715786068293</v>
      </c>
      <c r="AI140" s="48" t="s">
        <v>0</v>
      </c>
    </row>
    <row r="141" spans="1:35">
      <c r="A141" s="10" t="s">
        <v>386</v>
      </c>
      <c r="C141" s="331">
        <f>SUM(C128:C130)</f>
        <v>4329.6466500000006</v>
      </c>
      <c r="D141" s="331">
        <f t="shared" ref="D141:AH141" si="92">SUM(D128:D130)</f>
        <v>4453.9015416826387</v>
      </c>
      <c r="E141" s="331">
        <f t="shared" si="92"/>
        <v>4252.8645879038322</v>
      </c>
      <c r="F141" s="331">
        <f t="shared" si="92"/>
        <v>4738.8924844646535</v>
      </c>
      <c r="G141" s="331">
        <f t="shared" si="92"/>
        <v>4202.097882083779</v>
      </c>
      <c r="H141" s="402">
        <f t="shared" si="92"/>
        <v>3705.8101986020238</v>
      </c>
      <c r="I141" s="14">
        <f t="shared" si="92"/>
        <v>3805.0683002362834</v>
      </c>
      <c r="J141" s="14">
        <f t="shared" si="92"/>
        <v>3949.2916189503785</v>
      </c>
      <c r="K141" s="14">
        <f t="shared" si="92"/>
        <v>3859.4988000105159</v>
      </c>
      <c r="L141" s="14">
        <f t="shared" si="92"/>
        <v>3738.2438143732588</v>
      </c>
      <c r="M141" s="14">
        <f t="shared" si="92"/>
        <v>3602.8800575202281</v>
      </c>
      <c r="N141" s="187">
        <f t="shared" si="92"/>
        <v>3473.7952503349566</v>
      </c>
      <c r="O141" s="14">
        <f t="shared" si="92"/>
        <v>3426.7350315882345</v>
      </c>
      <c r="P141" s="14">
        <f t="shared" si="92"/>
        <v>3432.8322225425377</v>
      </c>
      <c r="Q141" s="14">
        <f t="shared" si="92"/>
        <v>3480.0635391427991</v>
      </c>
      <c r="R141" s="14">
        <f t="shared" si="92"/>
        <v>3456.7895497409017</v>
      </c>
      <c r="S141" s="14">
        <f t="shared" si="92"/>
        <v>3441.2469140038866</v>
      </c>
      <c r="T141" s="14">
        <f t="shared" si="92"/>
        <v>3515.6904495770514</v>
      </c>
      <c r="U141" s="14">
        <f t="shared" si="92"/>
        <v>3529.4372615084499</v>
      </c>
      <c r="V141" s="14">
        <f t="shared" si="92"/>
        <v>3501.0735619961602</v>
      </c>
      <c r="W141" s="14">
        <f t="shared" si="92"/>
        <v>3507.4521751175616</v>
      </c>
      <c r="X141" s="187">
        <f t="shared" si="92"/>
        <v>3474.1984419496621</v>
      </c>
      <c r="Y141" s="158">
        <f t="shared" si="92"/>
        <v>3520.6433847813414</v>
      </c>
      <c r="Z141" s="158">
        <f t="shared" si="92"/>
        <v>3555.2285317147871</v>
      </c>
      <c r="AA141" s="158">
        <f t="shared" si="92"/>
        <v>3596.1253588609402</v>
      </c>
      <c r="AB141" s="158">
        <f t="shared" si="92"/>
        <v>3613.8245121034265</v>
      </c>
      <c r="AC141" s="158">
        <f t="shared" si="92"/>
        <v>3611.4383705876744</v>
      </c>
      <c r="AD141" s="158">
        <f t="shared" si="92"/>
        <v>3614.9204567929341</v>
      </c>
      <c r="AE141" s="158">
        <f t="shared" si="92"/>
        <v>3602.2906768133334</v>
      </c>
      <c r="AF141" s="158">
        <f t="shared" si="92"/>
        <v>3574.2945310821387</v>
      </c>
      <c r="AG141" s="158">
        <f t="shared" si="92"/>
        <v>3517.5673542704599</v>
      </c>
      <c r="AH141" s="187">
        <f t="shared" si="92"/>
        <v>3474.5646894071251</v>
      </c>
      <c r="AI141" s="48"/>
    </row>
    <row r="142" spans="1:35">
      <c r="A142" s="10" t="s">
        <v>385</v>
      </c>
      <c r="C142" s="330">
        <f t="shared" ref="C142:AH142" si="93">SUMPRODUCT($B131:$B139,C131:C139)</f>
        <v>128.09016</v>
      </c>
      <c r="D142" s="330">
        <f t="shared" si="93"/>
        <v>158.00974181135115</v>
      </c>
      <c r="E142" s="330">
        <f t="shared" si="93"/>
        <v>208.22928313159449</v>
      </c>
      <c r="F142" s="330">
        <f t="shared" si="93"/>
        <v>273.77348687793068</v>
      </c>
      <c r="G142" s="330">
        <f t="shared" si="93"/>
        <v>295.21277643313886</v>
      </c>
      <c r="H142" s="286">
        <f t="shared" si="93"/>
        <v>1250.7733544998794</v>
      </c>
      <c r="I142" s="40">
        <f t="shared" si="93"/>
        <v>1669.7635941254518</v>
      </c>
      <c r="J142" s="40">
        <f t="shared" si="93"/>
        <v>2259.0191391296853</v>
      </c>
      <c r="K142" s="40">
        <f t="shared" si="93"/>
        <v>2884.8867235850066</v>
      </c>
      <c r="L142" s="40">
        <f t="shared" si="93"/>
        <v>3660.4382915247606</v>
      </c>
      <c r="M142" s="40">
        <f t="shared" si="93"/>
        <v>4632.7527636071527</v>
      </c>
      <c r="N142" s="177">
        <f t="shared" si="93"/>
        <v>5879.8245200785204</v>
      </c>
      <c r="O142" s="40">
        <f t="shared" si="93"/>
        <v>5905.1084365163524</v>
      </c>
      <c r="P142" s="40">
        <f t="shared" si="93"/>
        <v>6022.8725911880529</v>
      </c>
      <c r="Q142" s="40">
        <f t="shared" si="93"/>
        <v>6216.6835893553043</v>
      </c>
      <c r="R142" s="40">
        <f t="shared" si="93"/>
        <v>6287.557642671045</v>
      </c>
      <c r="S142" s="40">
        <f t="shared" si="93"/>
        <v>6373.5220660083032</v>
      </c>
      <c r="T142" s="40">
        <f t="shared" si="93"/>
        <v>6630.500257368185</v>
      </c>
      <c r="U142" s="40">
        <f t="shared" si="93"/>
        <v>6778.4555496910934</v>
      </c>
      <c r="V142" s="40">
        <f t="shared" si="93"/>
        <v>6847.5305473655108</v>
      </c>
      <c r="W142" s="40">
        <f t="shared" si="93"/>
        <v>6986.3449469331954</v>
      </c>
      <c r="X142" s="184">
        <f t="shared" si="93"/>
        <v>7047.8510313267498</v>
      </c>
      <c r="Y142" s="271">
        <f t="shared" si="93"/>
        <v>7335.3213989505648</v>
      </c>
      <c r="Z142" s="271">
        <f t="shared" si="93"/>
        <v>7609.8301676772107</v>
      </c>
      <c r="AA142" s="271">
        <f t="shared" si="93"/>
        <v>7909.9140189602031</v>
      </c>
      <c r="AB142" s="271">
        <f t="shared" si="93"/>
        <v>8170.6519963353976</v>
      </c>
      <c r="AC142" s="271">
        <f t="shared" si="93"/>
        <v>8395.5673574787543</v>
      </c>
      <c r="AD142" s="271">
        <f t="shared" si="93"/>
        <v>8643.3228090719203</v>
      </c>
      <c r="AE142" s="271">
        <f t="shared" si="93"/>
        <v>8861.5474738049852</v>
      </c>
      <c r="AF142" s="271">
        <f t="shared" si="93"/>
        <v>9049.2302967110245</v>
      </c>
      <c r="AG142" s="271">
        <f t="shared" si="93"/>
        <v>9168.5601592436979</v>
      </c>
      <c r="AH142" s="184">
        <f t="shared" si="93"/>
        <v>9327.1510966611659</v>
      </c>
    </row>
    <row r="143" spans="1:35">
      <c r="A143" s="10" t="s">
        <v>142</v>
      </c>
      <c r="C143" s="331">
        <f>C116*Inputs!$H$60</f>
        <v>1783.7127</v>
      </c>
      <c r="D143" s="331">
        <f>D116*Inputs!$H$60</f>
        <v>577.07943993831907</v>
      </c>
      <c r="E143" s="331">
        <f>E116*Inputs!$H$60</f>
        <v>704.07381487930661</v>
      </c>
      <c r="F143" s="331">
        <f>F116*Inputs!$H$60</f>
        <v>556.55533646409128</v>
      </c>
      <c r="G143" s="331">
        <f>G116*Inputs!$H$60</f>
        <v>700.45868954554112</v>
      </c>
      <c r="H143" s="402">
        <f>H116*Inputs!$H$60</f>
        <v>769.26287008116856</v>
      </c>
      <c r="I143" s="14">
        <f>I116*Inputs!$H$60</f>
        <v>741.57372991893169</v>
      </c>
      <c r="J143" s="14">
        <f>J116*Inputs!$H$60</f>
        <v>704.1955634091164</v>
      </c>
      <c r="K143" s="14">
        <f>K116*Inputs!$H$60</f>
        <v>699.07349238375514</v>
      </c>
      <c r="L143" s="14">
        <f>L116*Inputs!$H$60</f>
        <v>682.75637325561502</v>
      </c>
      <c r="M143" s="14">
        <f>M116*Inputs!$H$60</f>
        <v>660.48861153332246</v>
      </c>
      <c r="N143" s="182">
        <f>N116*Inputs!$H$60</f>
        <v>633.06691482752206</v>
      </c>
      <c r="O143" s="14">
        <f>O116*Inputs!$H$60</f>
        <v>642.44875152850841</v>
      </c>
      <c r="P143" s="14">
        <f>P116*Inputs!$H$60</f>
        <v>642.41612041371172</v>
      </c>
      <c r="Q143" s="14">
        <f>Q116*Inputs!$H$60</f>
        <v>634.67017122082291</v>
      </c>
      <c r="R143" s="14">
        <f>R116*Inputs!$H$60</f>
        <v>639.4140845314854</v>
      </c>
      <c r="S143" s="14">
        <f>S116*Inputs!$H$60</f>
        <v>641.69401547067935</v>
      </c>
      <c r="T143" s="14">
        <f>T116*Inputs!$H$60</f>
        <v>631.19190795553698</v>
      </c>
      <c r="U143" s="14">
        <f>U116*Inputs!$H$60</f>
        <v>629.03032230380563</v>
      </c>
      <c r="V143" s="14">
        <f>V116*Inputs!$H$60</f>
        <v>631.3302000012709</v>
      </c>
      <c r="W143" s="14">
        <f>W116*Inputs!$H$60</f>
        <v>629.44506447706362</v>
      </c>
      <c r="X143" s="187">
        <f>X116*Inputs!$H$60</f>
        <v>629.74682536950718</v>
      </c>
      <c r="Y143" s="158">
        <f>Y116*Inputs!$H$60</f>
        <v>621.94274053620654</v>
      </c>
      <c r="Z143" s="158">
        <f>Z116*Inputs!$H$60</f>
        <v>616.75466549017665</v>
      </c>
      <c r="AA143" s="158">
        <f>AA116*Inputs!$H$60</f>
        <v>611.67049604167107</v>
      </c>
      <c r="AB143" s="158">
        <f>AB116*Inputs!$H$60</f>
        <v>609.82838625172735</v>
      </c>
      <c r="AC143" s="158">
        <f>AC116*Inputs!$H$60</f>
        <v>609.51444117362757</v>
      </c>
      <c r="AD143" s="158">
        <f>AD116*Inputs!$H$60</f>
        <v>608.68611507647643</v>
      </c>
      <c r="AE143" s="158">
        <f>AE116*Inputs!$H$60</f>
        <v>609.0304022583523</v>
      </c>
      <c r="AF143" s="158">
        <f>AF116*Inputs!$H$60</f>
        <v>610.73876508195292</v>
      </c>
      <c r="AG143" s="158">
        <f>AG116*Inputs!$H$60</f>
        <v>615.2792090181274</v>
      </c>
      <c r="AH143" s="187">
        <f>AH116*Inputs!$H$60</f>
        <v>618.45633209287621</v>
      </c>
      <c r="AI143" s="48"/>
    </row>
    <row r="144" spans="1:35">
      <c r="A144" s="10" t="s">
        <v>222</v>
      </c>
      <c r="C144" s="331">
        <f>C117*Inputs!$H$61</f>
        <v>764.44830000000002</v>
      </c>
      <c r="D144" s="331">
        <f>D117*Inputs!$H$61</f>
        <v>2239.0826134845775</v>
      </c>
      <c r="E144" s="331">
        <f>E117*Inputs!$H$61</f>
        <v>2177.9364709889983</v>
      </c>
      <c r="F144" s="331">
        <f>F117*Inputs!$H$61</f>
        <v>2898.0183163429497</v>
      </c>
      <c r="G144" s="331">
        <f>G117*Inputs!$H$61</f>
        <v>2572.4034613160652</v>
      </c>
      <c r="H144" s="402">
        <f>H117*Inputs!$H$61</f>
        <v>2717.8677721191466</v>
      </c>
      <c r="I144" s="14">
        <f>I117*Inputs!$H$61</f>
        <v>2963.492231018045</v>
      </c>
      <c r="J144" s="14">
        <f>J117*Inputs!$H$61</f>
        <v>3260.7047719192742</v>
      </c>
      <c r="K144" s="14">
        <f>K117*Inputs!$H$61</f>
        <v>3272.5590982021577</v>
      </c>
      <c r="L144" s="14">
        <f>L117*Inputs!$H$61</f>
        <v>3234.4216996590617</v>
      </c>
      <c r="M144" s="14">
        <f>M117*Inputs!$H$61</f>
        <v>3150.4919394301819</v>
      </c>
      <c r="N144" s="182">
        <f>N117*Inputs!$H$61</f>
        <v>3032.2349903692984</v>
      </c>
      <c r="O144" s="14">
        <f>O117*Inputs!$H$61</f>
        <v>2997.0522977975561</v>
      </c>
      <c r="P144" s="14">
        <f>P117*Inputs!$H$61</f>
        <v>3028.4176009503635</v>
      </c>
      <c r="Q144" s="14">
        <f>Q117*Inputs!$H$61</f>
        <v>3112.708495895195</v>
      </c>
      <c r="R144" s="14">
        <f>R117*Inputs!$H$61</f>
        <v>3107.9823109979161</v>
      </c>
      <c r="S144" s="14">
        <f>S117*Inputs!$H$61</f>
        <v>3114.0190470712682</v>
      </c>
      <c r="T144" s="14">
        <f>T117*Inputs!$H$61</f>
        <v>3232.9909605021935</v>
      </c>
      <c r="U144" s="14">
        <f>U117*Inputs!$H$61</f>
        <v>3276.7992124660259</v>
      </c>
      <c r="V144" s="14">
        <f>V117*Inputs!$H$61</f>
        <v>3268.9571496226908</v>
      </c>
      <c r="W144" s="14">
        <f>W117*Inputs!$H$61</f>
        <v>3304.4359919166332</v>
      </c>
      <c r="X144" s="187">
        <f>X117*Inputs!$H$61</f>
        <v>3292.5620874315314</v>
      </c>
      <c r="Y144" s="158">
        <f>Y117*Inputs!$H$61</f>
        <v>3448.1303034628436</v>
      </c>
      <c r="Z144" s="158">
        <f>Z117*Inputs!$H$61</f>
        <v>3592.2997565894807</v>
      </c>
      <c r="AA144" s="158">
        <f>AA117*Inputs!$H$61</f>
        <v>3749.1621306423563</v>
      </c>
      <c r="AB144" s="158">
        <f>AB117*Inputs!$H$61</f>
        <v>3879.3120806108141</v>
      </c>
      <c r="AC144" s="158">
        <f>AC117*Inputs!$H$61</f>
        <v>3986.7177777037441</v>
      </c>
      <c r="AD144" s="158">
        <f>AD117*Inputs!$H$61</f>
        <v>4105.9393978325334</v>
      </c>
      <c r="AE144" s="158">
        <f>AE117*Inputs!$H$61</f>
        <v>4206.3339304420724</v>
      </c>
      <c r="AF144" s="158">
        <f>AF117*Inputs!$H$61</f>
        <v>4287.3718226076562</v>
      </c>
      <c r="AG144" s="158">
        <f>AG117*Inputs!$H$61</f>
        <v>4327.1400984813336</v>
      </c>
      <c r="AH144" s="187">
        <f>AH117*Inputs!$H$61</f>
        <v>4388.7136883917947</v>
      </c>
      <c r="AI144" s="48"/>
    </row>
    <row r="145" spans="1:35">
      <c r="A145" s="10" t="s">
        <v>58</v>
      </c>
      <c r="C145" s="331">
        <f>SUM(C140,C143,C144)</f>
        <v>7005.8978100000004</v>
      </c>
      <c r="D145" s="331">
        <f>SUM(D140,D143,D144)</f>
        <v>7428.0733369168865</v>
      </c>
      <c r="E145" s="331">
        <f t="shared" ref="E145:AH145" si="94">SUM(E140,E143,E144)</f>
        <v>7343.1041569037297</v>
      </c>
      <c r="F145" s="331">
        <f t="shared" si="94"/>
        <v>8467.2396241496244</v>
      </c>
      <c r="G145" s="331">
        <f t="shared" si="94"/>
        <v>7770.1728093785241</v>
      </c>
      <c r="H145" s="402">
        <f t="shared" si="94"/>
        <v>8443.7141953022183</v>
      </c>
      <c r="I145" s="14">
        <f t="shared" si="94"/>
        <v>9179.8978552987119</v>
      </c>
      <c r="J145" s="14">
        <f t="shared" si="94"/>
        <v>10173.211093408456</v>
      </c>
      <c r="K145" s="14">
        <f t="shared" si="94"/>
        <v>10716.018114181436</v>
      </c>
      <c r="L145" s="14">
        <f t="shared" si="94"/>
        <v>11315.860178812698</v>
      </c>
      <c r="M145" s="14">
        <f t="shared" si="94"/>
        <v>12046.613372090884</v>
      </c>
      <c r="N145" s="187">
        <f t="shared" si="94"/>
        <v>13018.921675610298</v>
      </c>
      <c r="O145" s="14">
        <f t="shared" si="94"/>
        <v>12971.344517430653</v>
      </c>
      <c r="P145" s="14">
        <f t="shared" si="94"/>
        <v>13126.538535094671</v>
      </c>
      <c r="Q145" s="14">
        <f t="shared" si="94"/>
        <v>13444.125795614123</v>
      </c>
      <c r="R145" s="14">
        <f t="shared" si="94"/>
        <v>13491.743587941346</v>
      </c>
      <c r="S145" s="14">
        <f t="shared" si="94"/>
        <v>13570.482042554137</v>
      </c>
      <c r="T145" s="14">
        <f t="shared" si="94"/>
        <v>14010.373575402968</v>
      </c>
      <c r="U145" s="14">
        <f t="shared" si="94"/>
        <v>14213.722345969378</v>
      </c>
      <c r="V145" s="14">
        <f t="shared" si="94"/>
        <v>14248.89145898563</v>
      </c>
      <c r="W145" s="14">
        <f t="shared" si="94"/>
        <v>14427.678178444454</v>
      </c>
      <c r="X145" s="187">
        <f t="shared" si="94"/>
        <v>14444.358386077451</v>
      </c>
      <c r="Y145" s="158">
        <f t="shared" si="94"/>
        <v>14926.037827730956</v>
      </c>
      <c r="Z145" s="158">
        <f t="shared" si="94"/>
        <v>15374.113121471655</v>
      </c>
      <c r="AA145" s="158">
        <f t="shared" si="94"/>
        <v>15866.872004505172</v>
      </c>
      <c r="AB145" s="158">
        <f t="shared" si="94"/>
        <v>16273.616975301366</v>
      </c>
      <c r="AC145" s="158">
        <f t="shared" si="94"/>
        <v>16603.237946943802</v>
      </c>
      <c r="AD145" s="158">
        <f t="shared" si="94"/>
        <v>16972.868778773864</v>
      </c>
      <c r="AE145" s="158">
        <f t="shared" si="94"/>
        <v>17279.202483318746</v>
      </c>
      <c r="AF145" s="158">
        <f t="shared" si="94"/>
        <v>17521.635415482771</v>
      </c>
      <c r="AG145" s="158">
        <f t="shared" si="94"/>
        <v>17628.546821013621</v>
      </c>
      <c r="AH145" s="187">
        <f t="shared" si="94"/>
        <v>17808.885806552964</v>
      </c>
      <c r="AI145" s="48"/>
    </row>
    <row r="146" spans="1:35" s="1" customFormat="1">
      <c r="A146" s="1" t="s">
        <v>335</v>
      </c>
      <c r="B146" s="13"/>
      <c r="C146" s="341">
        <f>C145-'Output - Jobs vs Yr (BAU)'!C73</f>
        <v>1.3857300000008763</v>
      </c>
      <c r="D146" s="341">
        <f>D145-'Output - Jobs vs Yr (BAU)'!D73</f>
        <v>83.667256916886799</v>
      </c>
      <c r="E146" s="341">
        <f>E145-'Output - Jobs vs Yr (BAU)'!E73</f>
        <v>147.21220909290332</v>
      </c>
      <c r="F146" s="341">
        <f>F145-'Output - Jobs vs Yr (BAU)'!F73</f>
        <v>296.59580143734183</v>
      </c>
      <c r="G146" s="341">
        <f>G145-'Output - Jobs vs Yr (BAU)'!G73</f>
        <v>243.12238730943864</v>
      </c>
      <c r="H146" s="405">
        <f>H145-'Output - Jobs vs Yr (BAU)'!H73</f>
        <v>20.551620588666992</v>
      </c>
      <c r="I146" s="15">
        <f>I145-'Output - Jobs vs Yr (BAU)'!I73</f>
        <v>119.17868285278746</v>
      </c>
      <c r="J146" s="15">
        <f>J145-'Output - Jobs vs Yr (BAU)'!J73</f>
        <v>386.40508173375383</v>
      </c>
      <c r="K146" s="15">
        <f>K145-'Output - Jobs vs Yr (BAU)'!K73</f>
        <v>730.70512930352925</v>
      </c>
      <c r="L146" s="15">
        <f>L145-'Output - Jobs vs Yr (BAU)'!L73</f>
        <v>1246.743472680062</v>
      </c>
      <c r="M146" s="15">
        <f>M145-'Output - Jobs vs Yr (BAU)'!M73</f>
        <v>1993.6768503760377</v>
      </c>
      <c r="N146" s="182">
        <f>N145-'Output - Jobs vs Yr (BAU)'!N73</f>
        <v>2959.2389897201429</v>
      </c>
      <c r="O146" s="15">
        <f>O145-'Output - Jobs vs Yr (BAU)'!O73</f>
        <v>2940.6199200694846</v>
      </c>
      <c r="P146" s="15">
        <f>P145-'Output - Jobs vs Yr (BAU)'!P73</f>
        <v>2977.629753401061</v>
      </c>
      <c r="Q146" s="15">
        <f>Q145-'Output - Jobs vs Yr (BAU)'!Q73</f>
        <v>3058.7834926122196</v>
      </c>
      <c r="R146" s="15">
        <f>R145-'Output - Jobs vs Yr (BAU)'!R73</f>
        <v>3068.5852353991995</v>
      </c>
      <c r="S146" s="15">
        <f>S145-'Output - Jobs vs Yr (BAU)'!S73</f>
        <v>3089.1425287180064</v>
      </c>
      <c r="T146" s="15">
        <f>T145-'Output - Jobs vs Yr (BAU)'!T73</f>
        <v>3206.5695179102277</v>
      </c>
      <c r="U146" s="15">
        <f>U145-'Output - Jobs vs Yr (BAU)'!U73</f>
        <v>3262.2217172088058</v>
      </c>
      <c r="V146" s="15">
        <f>V145-'Output - Jobs vs Yr (BAU)'!V73</f>
        <v>3274.2742347692874</v>
      </c>
      <c r="W146" s="15">
        <f>W145-'Output - Jobs vs Yr (BAU)'!W73</f>
        <v>3218.4989907909767</v>
      </c>
      <c r="X146" s="190">
        <f>X145-'Output - Jobs vs Yr (BAU)'!X73</f>
        <v>3207.2246369552504</v>
      </c>
      <c r="Y146" s="130">
        <f>Y145-'Output - Jobs vs Yr (BAU)'!Y73</f>
        <v>3303.3592009126551</v>
      </c>
      <c r="Z146" s="130">
        <f>Z145-'Output - Jobs vs Yr (BAU)'!Z73</f>
        <v>3389.4675139768115</v>
      </c>
      <c r="AA146" s="130">
        <f>AA145-'Output - Jobs vs Yr (BAU)'!AA73</f>
        <v>3485.3142458617185</v>
      </c>
      <c r="AB146" s="130">
        <f>AB145-'Output - Jobs vs Yr (BAU)'!AB73</f>
        <v>3558.5744939011656</v>
      </c>
      <c r="AC146" s="130">
        <f>AC145-'Output - Jobs vs Yr (BAU)'!AC73</f>
        <v>3613.8739267997844</v>
      </c>
      <c r="AD146" s="130">
        <f>AD145-'Output - Jobs vs Yr (BAU)'!AD73</f>
        <v>3678.5014825243361</v>
      </c>
      <c r="AE146" s="130">
        <f>AE145-'Output - Jobs vs Yr (BAU)'!AE73</f>
        <v>3727.6165945600078</v>
      </c>
      <c r="AF146" s="130">
        <f>AF145-'Output - Jobs vs Yr (BAU)'!AF73</f>
        <v>3761.55838377494</v>
      </c>
      <c r="AG146" s="130">
        <f>AG145-'Output - Jobs vs Yr (BAU)'!AG73</f>
        <v>3764.2599763900307</v>
      </c>
      <c r="AH146" s="190">
        <f>AH145-'Output - Jobs vs Yr (BAU)'!AH73</f>
        <v>3784.835198656132</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14787.30328</v>
      </c>
      <c r="D176" s="334">
        <f>'Output - Jobs vs Yr (BAU)'!D55+'Output - Jobs vs Yr (BAU)'!D73</f>
        <v>15504.85728</v>
      </c>
      <c r="E176" s="334">
        <f>'Output - Jobs vs Yr (BAU)'!E55+'Output - Jobs vs Yr (BAU)'!E73</f>
        <v>15191.327445378414</v>
      </c>
      <c r="F176" s="334">
        <f>'Output - Jobs vs Yr (BAU)'!F55+'Output - Jobs vs Yr (BAU)'!F73</f>
        <v>17249.136959059262</v>
      </c>
      <c r="G176" s="334">
        <f>'Output - Jobs vs Yr (BAU)'!G55+'Output - Jobs vs Yr (BAU)'!G73</f>
        <v>15890.439779923625</v>
      </c>
      <c r="H176" s="404">
        <f>'Output - Jobs vs Yr (BAU)'!H55+'Output - Jobs vs Yr (BAU)'!H73</f>
        <v>17782.232102173053</v>
      </c>
      <c r="I176" s="19">
        <f>'Output - Jobs vs Yr (BAU)'!I55+'Output - Jobs vs Yr (BAU)'!I73</f>
        <v>19128.184919608066</v>
      </c>
      <c r="J176" s="19">
        <f>'Output - Jobs vs Yr (BAU)'!J55+'Output - Jobs vs Yr (BAU)'!J73</f>
        <v>20661.034913535485</v>
      </c>
      <c r="K176" s="19">
        <f>'Output - Jobs vs Yr (BAU)'!K55+'Output - Jobs vs Yr (BAU)'!K73</f>
        <v>21080.105190297807</v>
      </c>
      <c r="L176" s="19">
        <f>'Output - Jobs vs Yr (BAU)'!L55+'Output - Jobs vs Yr (BAU)'!L73</f>
        <v>21257.024157391119</v>
      </c>
      <c r="M176" s="19">
        <f>'Output - Jobs vs Yr (BAU)'!M55+'Output - Jobs vs Yr (BAU)'!M73</f>
        <v>21222.865990286897</v>
      </c>
      <c r="N176" s="182">
        <f>'Output - Jobs vs Yr (BAU)'!N55+'Output - Jobs vs Yr (BAU)'!N73</f>
        <v>21237.107892434771</v>
      </c>
      <c r="O176" s="19">
        <f>'Output - Jobs vs Yr (BAU)'!O55+'Output - Jobs vs Yr (BAU)'!O73</f>
        <v>21175.97414998469</v>
      </c>
      <c r="P176" s="19">
        <f>'Output - Jobs vs Yr (BAU)'!P55+'Output - Jobs vs Yr (BAU)'!P73</f>
        <v>21425.474094686513</v>
      </c>
      <c r="Q176" s="19">
        <f>'Output - Jobs vs Yr (BAU)'!Q55+'Output - Jobs vs Yr (BAU)'!Q73</f>
        <v>21924.611528559577</v>
      </c>
      <c r="R176" s="19">
        <f>'Output - Jobs vs Yr (BAU)'!R55+'Output - Jobs vs Yr (BAU)'!R73</f>
        <v>22004.445410922308</v>
      </c>
      <c r="S176" s="19">
        <f>'Output - Jobs vs Yr (BAU)'!S55+'Output - Jobs vs Yr (BAU)'!S73</f>
        <v>22127.272306987386</v>
      </c>
      <c r="T176" s="19">
        <f>'Output - Jobs vs Yr (BAU)'!T55+'Output - Jobs vs Yr (BAU)'!T73</f>
        <v>22808.030788040229</v>
      </c>
      <c r="U176" s="19">
        <f>'Output - Jobs vs Yr (BAU)'!U55+'Output - Jobs vs Yr (BAU)'!U73</f>
        <v>23119.834660716766</v>
      </c>
      <c r="V176" s="19">
        <f>'Output - Jobs vs Yr (BAU)'!V55+'Output - Jobs vs Yr (BAU)'!V73</f>
        <v>23168.636362234502</v>
      </c>
      <c r="W176" s="19">
        <f>'Output - Jobs vs Yr (BAU)'!W55+'Output - Jobs vs Yr (BAU)'!W73</f>
        <v>23663.822729490676</v>
      </c>
      <c r="X176" s="182">
        <f>'Output - Jobs vs Yr (BAU)'!X55+'Output - Jobs vs Yr (BAU)'!X73</f>
        <v>23722.837914813535</v>
      </c>
      <c r="Y176" s="206">
        <f>'Output - Jobs vs Yr (BAU)'!Y55+'Output - Jobs vs Yr (BAU)'!Y73</f>
        <v>24536.765989949745</v>
      </c>
      <c r="Z176" s="206">
        <f>'Output - Jobs vs Yr (BAU)'!Z55+'Output - Jobs vs Yr (BAU)'!Z73</f>
        <v>25300.918504711339</v>
      </c>
      <c r="AA176" s="206">
        <f>'Output - Jobs vs Yr (BAU)'!AA55+'Output - Jobs vs Yr (BAU)'!AA73</f>
        <v>26138.844157136184</v>
      </c>
      <c r="AB176" s="206">
        <f>'Output - Jobs vs Yr (BAU)'!AB55+'Output - Jobs vs Yr (BAU)'!AB73</f>
        <v>26842.867460733756</v>
      </c>
      <c r="AC176" s="206">
        <f>'Output - Jobs vs Yr (BAU)'!AC55+'Output - Jobs vs Yr (BAU)'!AC73</f>
        <v>27421.990709192927</v>
      </c>
      <c r="AD176" s="206">
        <f>'Output - Jobs vs Yr (BAU)'!AD55+'Output - Jobs vs Yr (BAU)'!AD73</f>
        <v>28065.886514304555</v>
      </c>
      <c r="AE176" s="206">
        <f>'Output - Jobs vs Yr (BAU)'!AE55+'Output - Jobs vs Yr (BAU)'!AE73</f>
        <v>28608.903542935113</v>
      </c>
      <c r="AF176" s="206">
        <f>'Output - Jobs vs Yr (BAU)'!AF55+'Output - Jobs vs Yr (BAU)'!AF73</f>
        <v>29049.051511383201</v>
      </c>
      <c r="AG176" s="206">
        <f>'Output - Jobs vs Yr (BAU)'!AG55+'Output - Jobs vs Yr (BAU)'!AG73</f>
        <v>29269.050005316465</v>
      </c>
      <c r="AH176" s="182">
        <f>'Output - Jobs vs Yr (BAU)'!AH55+'Output - Jobs vs Yr (BAU)'!AH73</f>
        <v>29606.329061115532</v>
      </c>
      <c r="AI176" s="1"/>
    </row>
    <row r="177" spans="1:35">
      <c r="A177" s="76" t="s">
        <v>300</v>
      </c>
      <c r="C177" s="334">
        <f>'Output - Jobs vs Yr (BAU)'!C55</f>
        <v>7782.7911999999997</v>
      </c>
      <c r="D177" s="334">
        <f>'Output - Jobs vs Yr (BAU)'!D55</f>
        <v>8160.4511999999995</v>
      </c>
      <c r="E177" s="334">
        <f>'Output - Jobs vs Yr (BAU)'!E55</f>
        <v>7995.4354975675869</v>
      </c>
      <c r="F177" s="334">
        <f>'Output - Jobs vs Yr (BAU)'!F55</f>
        <v>9078.4931363469805</v>
      </c>
      <c r="G177" s="334">
        <f>'Output - Jobs vs Yr (BAU)'!G55</f>
        <v>8363.3893578545394</v>
      </c>
      <c r="H177" s="404">
        <f>'Output - Jobs vs Yr (BAU)'!H55</f>
        <v>9359.0695274595037</v>
      </c>
      <c r="I177" s="19">
        <f>'Output - Jobs vs Yr (BAU)'!I55</f>
        <v>10067.465747162139</v>
      </c>
      <c r="J177" s="19">
        <f>'Output - Jobs vs Yr (BAU)'!J55</f>
        <v>10874.228901860781</v>
      </c>
      <c r="K177" s="19">
        <f>'Output - Jobs vs Yr (BAU)'!K55</f>
        <v>11094.792205419899</v>
      </c>
      <c r="L177" s="19">
        <f>'Output - Jobs vs Yr (BAU)'!L55</f>
        <v>11187.907451258485</v>
      </c>
      <c r="M177" s="19">
        <f>'Output - Jobs vs Yr (BAU)'!M55</f>
        <v>11169.929468572052</v>
      </c>
      <c r="N177" s="182">
        <f>'Output - Jobs vs Yr (BAU)'!N55</f>
        <v>11177.425206544616</v>
      </c>
      <c r="O177" s="19">
        <f>'Output - Jobs vs Yr (BAU)'!O55</f>
        <v>11145.249552623522</v>
      </c>
      <c r="P177" s="19">
        <f>'Output - Jobs vs Yr (BAU)'!P55</f>
        <v>11276.565312992901</v>
      </c>
      <c r="Q177" s="19">
        <f>'Output - Jobs vs Yr (BAU)'!Q55</f>
        <v>11539.269225557673</v>
      </c>
      <c r="R177" s="19">
        <f>'Output - Jobs vs Yr (BAU)'!R55</f>
        <v>11581.287058380163</v>
      </c>
      <c r="S177" s="19">
        <f>'Output - Jobs vs Yr (BAU)'!S55</f>
        <v>11645.932793151256</v>
      </c>
      <c r="T177" s="19">
        <f>'Output - Jobs vs Yr (BAU)'!T55</f>
        <v>12004.226730547489</v>
      </c>
      <c r="U177" s="19">
        <f>'Output - Jobs vs Yr (BAU)'!U55</f>
        <v>12168.334031956194</v>
      </c>
      <c r="V177" s="19">
        <f>'Output - Jobs vs Yr (BAU)'!V55</f>
        <v>12194.01913801816</v>
      </c>
      <c r="W177" s="19">
        <f>'Output - Jobs vs Yr (BAU)'!W55</f>
        <v>12454.643541837198</v>
      </c>
      <c r="X177" s="182">
        <f>'Output - Jobs vs Yr (BAU)'!X55</f>
        <v>12485.704165691335</v>
      </c>
      <c r="Y177" s="206">
        <f>'Output - Jobs vs Yr (BAU)'!Y55</f>
        <v>12914.087363131446</v>
      </c>
      <c r="Z177" s="206">
        <f>'Output - Jobs vs Yr (BAU)'!Z55</f>
        <v>13316.272897216495</v>
      </c>
      <c r="AA177" s="206">
        <f>'Output - Jobs vs Yr (BAU)'!AA55</f>
        <v>13757.286398492728</v>
      </c>
      <c r="AB177" s="206">
        <f>'Output - Jobs vs Yr (BAU)'!AB55</f>
        <v>14127.824979333556</v>
      </c>
      <c r="AC177" s="206">
        <f>'Output - Jobs vs Yr (BAU)'!AC55</f>
        <v>14432.626689048908</v>
      </c>
      <c r="AD177" s="206">
        <f>'Output - Jobs vs Yr (BAU)'!AD55</f>
        <v>14771.519218055029</v>
      </c>
      <c r="AE177" s="206">
        <f>'Output - Jobs vs Yr (BAU)'!AE55</f>
        <v>15057.317654176375</v>
      </c>
      <c r="AF177" s="206">
        <f>'Output - Jobs vs Yr (BAU)'!AF55</f>
        <v>15288.974479675368</v>
      </c>
      <c r="AG177" s="206">
        <f>'Output - Jobs vs Yr (BAU)'!AG55</f>
        <v>15404.763160692877</v>
      </c>
      <c r="AH177" s="182">
        <f>'Output - Jobs vs Yr (BAU)'!AH55</f>
        <v>15582.2784532187</v>
      </c>
      <c r="AI177" s="1"/>
    </row>
    <row r="178" spans="1:35">
      <c r="A178" s="76" t="s">
        <v>301</v>
      </c>
      <c r="C178" s="334">
        <f>'Output - Jobs vs Yr (BAU)'!C73</f>
        <v>7004.5120799999995</v>
      </c>
      <c r="D178" s="334">
        <f>'Output - Jobs vs Yr (BAU)'!D73</f>
        <v>7344.4060799999997</v>
      </c>
      <c r="E178" s="334">
        <f>'Output - Jobs vs Yr (BAU)'!E73</f>
        <v>7195.8919478108264</v>
      </c>
      <c r="F178" s="334">
        <f>'Output - Jobs vs Yr (BAU)'!F73</f>
        <v>8170.6438227122826</v>
      </c>
      <c r="G178" s="334">
        <f>'Output - Jobs vs Yr (BAU)'!G73</f>
        <v>7527.0504220690855</v>
      </c>
      <c r="H178" s="404">
        <f>'Output - Jobs vs Yr (BAU)'!H73</f>
        <v>8423.1625747135513</v>
      </c>
      <c r="I178" s="19">
        <f>'Output - Jobs vs Yr (BAU)'!I73</f>
        <v>9060.7191724459244</v>
      </c>
      <c r="J178" s="19">
        <f>'Output - Jobs vs Yr (BAU)'!J73</f>
        <v>9786.8060116747019</v>
      </c>
      <c r="K178" s="19">
        <f>'Output - Jobs vs Yr (BAU)'!K73</f>
        <v>9985.3129848779063</v>
      </c>
      <c r="L178" s="19">
        <f>'Output - Jobs vs Yr (BAU)'!L73</f>
        <v>10069.116706132636</v>
      </c>
      <c r="M178" s="19">
        <f>'Output - Jobs vs Yr (BAU)'!M73</f>
        <v>10052.936521714846</v>
      </c>
      <c r="N178" s="182">
        <f>'Output - Jobs vs Yr (BAU)'!N73</f>
        <v>10059.682685890155</v>
      </c>
      <c r="O178" s="19">
        <f>'Output - Jobs vs Yr (BAU)'!O73</f>
        <v>10030.724597361168</v>
      </c>
      <c r="P178" s="19">
        <f>'Output - Jobs vs Yr (BAU)'!P73</f>
        <v>10148.90878169361</v>
      </c>
      <c r="Q178" s="19">
        <f>'Output - Jobs vs Yr (BAU)'!Q73</f>
        <v>10385.342303001904</v>
      </c>
      <c r="R178" s="19">
        <f>'Output - Jobs vs Yr (BAU)'!R73</f>
        <v>10423.158352542147</v>
      </c>
      <c r="S178" s="19">
        <f>'Output - Jobs vs Yr (BAU)'!S73</f>
        <v>10481.33951383613</v>
      </c>
      <c r="T178" s="19">
        <f>'Output - Jobs vs Yr (BAU)'!T73</f>
        <v>10803.80405749274</v>
      </c>
      <c r="U178" s="19">
        <f>'Output - Jobs vs Yr (BAU)'!U73</f>
        <v>10951.500628760572</v>
      </c>
      <c r="V178" s="19">
        <f>'Output - Jobs vs Yr (BAU)'!V73</f>
        <v>10974.617224216343</v>
      </c>
      <c r="W178" s="19">
        <f>'Output - Jobs vs Yr (BAU)'!W73</f>
        <v>11209.179187653477</v>
      </c>
      <c r="X178" s="182">
        <f>'Output - Jobs vs Yr (BAU)'!X73</f>
        <v>11237.1337491222</v>
      </c>
      <c r="Y178" s="206">
        <f>'Output - Jobs vs Yr (BAU)'!Y73</f>
        <v>11622.6786268183</v>
      </c>
      <c r="Z178" s="206">
        <f>'Output - Jobs vs Yr (BAU)'!Z73</f>
        <v>11984.645607494844</v>
      </c>
      <c r="AA178" s="206">
        <f>'Output - Jobs vs Yr (BAU)'!AA73</f>
        <v>12381.557758643454</v>
      </c>
      <c r="AB178" s="206">
        <f>'Output - Jobs vs Yr (BAU)'!AB73</f>
        <v>12715.0424814002</v>
      </c>
      <c r="AC178" s="206">
        <f>'Output - Jobs vs Yr (BAU)'!AC73</f>
        <v>12989.364020144018</v>
      </c>
      <c r="AD178" s="206">
        <f>'Output - Jobs vs Yr (BAU)'!AD73</f>
        <v>13294.367296249527</v>
      </c>
      <c r="AE178" s="206">
        <f>'Output - Jobs vs Yr (BAU)'!AE73</f>
        <v>13551.585888758738</v>
      </c>
      <c r="AF178" s="206">
        <f>'Output - Jobs vs Yr (BAU)'!AF73</f>
        <v>13760.077031707831</v>
      </c>
      <c r="AG178" s="206">
        <f>'Output - Jobs vs Yr (BAU)'!AG73</f>
        <v>13864.28684462359</v>
      </c>
      <c r="AH178" s="182">
        <f>'Output - Jobs vs Yr (BAU)'!AH73</f>
        <v>14024.050607896832</v>
      </c>
      <c r="AI178" s="80" t="s">
        <v>0</v>
      </c>
    </row>
    <row r="179" spans="1:35">
      <c r="A179" s="75" t="s">
        <v>298</v>
      </c>
      <c r="C179" s="331">
        <f>SUM(C118,C145)</f>
        <v>14790.229009999999</v>
      </c>
      <c r="D179" s="331">
        <f t="shared" ref="D179:AH179" si="99">SUM(D118,D145)+D249+D252</f>
        <v>15681.488526151401</v>
      </c>
      <c r="E179" s="331">
        <f t="shared" si="99"/>
        <v>15502.109200754614</v>
      </c>
      <c r="F179" s="331">
        <f t="shared" si="99"/>
        <v>17875.284220871061</v>
      </c>
      <c r="G179" s="331">
        <f t="shared" si="99"/>
        <v>16403.698761948406</v>
      </c>
      <c r="H179" s="402">
        <f>SUM(H118,H145)+H249+H252</f>
        <v>17825.61915674913</v>
      </c>
      <c r="I179" s="14">
        <f t="shared" si="99"/>
        <v>19379.784729456842</v>
      </c>
      <c r="J179" s="14">
        <f t="shared" si="99"/>
        <v>21476.779432349293</v>
      </c>
      <c r="K179" s="14">
        <f t="shared" si="99"/>
        <v>22622.705443070208</v>
      </c>
      <c r="L179" s="14">
        <f t="shared" si="99"/>
        <v>23889.038776950318</v>
      </c>
      <c r="M179" s="14">
        <f t="shared" si="99"/>
        <v>25431.740060195763</v>
      </c>
      <c r="N179" s="187">
        <f t="shared" si="99"/>
        <v>27484.391037163292</v>
      </c>
      <c r="O179" s="14">
        <f t="shared" si="99"/>
        <v>27383.950373477564</v>
      </c>
      <c r="P179" s="14">
        <f t="shared" si="99"/>
        <v>27711.582205231742</v>
      </c>
      <c r="Q179" s="14">
        <f t="shared" si="99"/>
        <v>28382.044227122278</v>
      </c>
      <c r="R179" s="14">
        <f t="shared" si="99"/>
        <v>28482.570687632826</v>
      </c>
      <c r="S179" s="14">
        <f t="shared" si="99"/>
        <v>28648.796326217678</v>
      </c>
      <c r="T179" s="14">
        <f t="shared" si="99"/>
        <v>29577.456265309116</v>
      </c>
      <c r="U179" s="14">
        <f t="shared" si="99"/>
        <v>30006.748135246053</v>
      </c>
      <c r="V179" s="14">
        <f t="shared" si="99"/>
        <v>30080.994050289646</v>
      </c>
      <c r="W179" s="14">
        <f t="shared" si="99"/>
        <v>30458.432699926525</v>
      </c>
      <c r="X179" s="187">
        <f t="shared" si="99"/>
        <v>30493.646480310821</v>
      </c>
      <c r="Y179" s="158">
        <f t="shared" si="99"/>
        <v>31510.525342310262</v>
      </c>
      <c r="Z179" s="158">
        <f t="shared" si="99"/>
        <v>32456.462112435071</v>
      </c>
      <c r="AA179" s="158">
        <f t="shared" si="99"/>
        <v>33496.730908023928</v>
      </c>
      <c r="AB179" s="158">
        <f t="shared" si="99"/>
        <v>34355.414772203629</v>
      </c>
      <c r="AC179" s="158">
        <f t="shared" si="99"/>
        <v>35051.281299760885</v>
      </c>
      <c r="AD179" s="158">
        <f t="shared" si="99"/>
        <v>35831.613090950399</v>
      </c>
      <c r="AE179" s="158">
        <f t="shared" si="99"/>
        <v>36478.317609242615</v>
      </c>
      <c r="AF179" s="158">
        <f t="shared" si="99"/>
        <v>36990.120492625632</v>
      </c>
      <c r="AG179" s="158">
        <f t="shared" si="99"/>
        <v>37215.822365653854</v>
      </c>
      <c r="AH179" s="187">
        <f t="shared" si="99"/>
        <v>37596.538024262802</v>
      </c>
    </row>
    <row r="180" spans="1:35">
      <c r="A180" s="76" t="s">
        <v>302</v>
      </c>
      <c r="C180" s="331">
        <f>C118</f>
        <v>7784.3311999999996</v>
      </c>
      <c r="D180" s="331">
        <f t="shared" ref="D180:AH180" si="100">D118+D250+D253</f>
        <v>8253.4151892345144</v>
      </c>
      <c r="E180" s="331">
        <f t="shared" si="100"/>
        <v>8159.0050438508833</v>
      </c>
      <c r="F180" s="331">
        <f t="shared" si="100"/>
        <v>9408.0445967214364</v>
      </c>
      <c r="G180" s="331">
        <f t="shared" si="100"/>
        <v>8633.5259525698821</v>
      </c>
      <c r="H180" s="402">
        <f t="shared" si="100"/>
        <v>9381.9049614469113</v>
      </c>
      <c r="I180" s="14">
        <f t="shared" si="100"/>
        <v>10199.88687415813</v>
      </c>
      <c r="J180" s="14">
        <f t="shared" si="100"/>
        <v>11303.568338940835</v>
      </c>
      <c r="K180" s="14">
        <f t="shared" si="100"/>
        <v>11906.687328888773</v>
      </c>
      <c r="L180" s="14">
        <f t="shared" si="100"/>
        <v>12573.17859813762</v>
      </c>
      <c r="M180" s="14">
        <f t="shared" si="100"/>
        <v>13385.12668810488</v>
      </c>
      <c r="N180" s="187">
        <f t="shared" si="100"/>
        <v>14465.469361552994</v>
      </c>
      <c r="O180" s="14">
        <f t="shared" si="100"/>
        <v>14412.60585604691</v>
      </c>
      <c r="P180" s="14">
        <f t="shared" si="100"/>
        <v>14585.043670137071</v>
      </c>
      <c r="Q180" s="14">
        <f t="shared" si="100"/>
        <v>14937.918431508155</v>
      </c>
      <c r="R180" s="14">
        <f t="shared" si="100"/>
        <v>14990.82709969148</v>
      </c>
      <c r="S180" s="14">
        <f t="shared" si="100"/>
        <v>15078.314283663543</v>
      </c>
      <c r="T180" s="14">
        <f t="shared" si="100"/>
        <v>15567.082689906149</v>
      </c>
      <c r="U180" s="14">
        <f t="shared" si="100"/>
        <v>15793.025789276673</v>
      </c>
      <c r="V180" s="14">
        <f t="shared" si="100"/>
        <v>15832.102591304016</v>
      </c>
      <c r="W180" s="14">
        <f t="shared" si="100"/>
        <v>16030.754521482069</v>
      </c>
      <c r="X180" s="187">
        <f t="shared" si="100"/>
        <v>16049.28809423337</v>
      </c>
      <c r="Y180" s="158">
        <f t="shared" si="100"/>
        <v>16584.487514579308</v>
      </c>
      <c r="Z180" s="158">
        <f t="shared" si="100"/>
        <v>17082.348990963415</v>
      </c>
      <c r="AA180" s="158">
        <f t="shared" si="100"/>
        <v>17629.858903518754</v>
      </c>
      <c r="AB180" s="158">
        <f t="shared" si="100"/>
        <v>18081.797796902261</v>
      </c>
      <c r="AC180" s="158">
        <f t="shared" si="100"/>
        <v>18448.043352817087</v>
      </c>
      <c r="AD180" s="158">
        <f t="shared" si="100"/>
        <v>18858.744312176539</v>
      </c>
      <c r="AE180" s="158">
        <f t="shared" si="100"/>
        <v>19199.115125923869</v>
      </c>
      <c r="AF180" s="158">
        <f t="shared" si="100"/>
        <v>19468.485077142865</v>
      </c>
      <c r="AG180" s="158">
        <f t="shared" si="100"/>
        <v>19587.275544640233</v>
      </c>
      <c r="AH180" s="187">
        <f t="shared" si="100"/>
        <v>19787.652217709838</v>
      </c>
    </row>
    <row r="181" spans="1:35">
      <c r="A181" s="76" t="s">
        <v>303</v>
      </c>
      <c r="C181" s="331">
        <f>C145</f>
        <v>7005.8978100000004</v>
      </c>
      <c r="D181" s="331">
        <f t="shared" ref="D181:AH181" si="101">D145+D251+D254</f>
        <v>7428.0733369168865</v>
      </c>
      <c r="E181" s="331">
        <f t="shared" si="101"/>
        <v>7343.1041569037297</v>
      </c>
      <c r="F181" s="331">
        <f t="shared" si="101"/>
        <v>8467.2396241496244</v>
      </c>
      <c r="G181" s="331">
        <f t="shared" si="101"/>
        <v>7770.1728093785241</v>
      </c>
      <c r="H181" s="402">
        <f>H145+H251+H254</f>
        <v>8443.7141953022183</v>
      </c>
      <c r="I181" s="14">
        <f t="shared" si="101"/>
        <v>9179.8978552987119</v>
      </c>
      <c r="J181" s="14">
        <f t="shared" si="101"/>
        <v>10173.211093408456</v>
      </c>
      <c r="K181" s="14">
        <f t="shared" si="101"/>
        <v>10716.018114181436</v>
      </c>
      <c r="L181" s="14">
        <f t="shared" si="101"/>
        <v>11315.860178812698</v>
      </c>
      <c r="M181" s="14">
        <f t="shared" si="101"/>
        <v>12046.613372090884</v>
      </c>
      <c r="N181" s="187">
        <f t="shared" si="101"/>
        <v>13018.921675610298</v>
      </c>
      <c r="O181" s="14">
        <f t="shared" si="101"/>
        <v>12971.344517430653</v>
      </c>
      <c r="P181" s="14">
        <f t="shared" si="101"/>
        <v>13126.538535094671</v>
      </c>
      <c r="Q181" s="14">
        <f t="shared" si="101"/>
        <v>13444.125795614123</v>
      </c>
      <c r="R181" s="14">
        <f t="shared" si="101"/>
        <v>13491.743587941346</v>
      </c>
      <c r="S181" s="14">
        <f t="shared" si="101"/>
        <v>13570.482042554137</v>
      </c>
      <c r="T181" s="14">
        <f t="shared" si="101"/>
        <v>14010.373575402968</v>
      </c>
      <c r="U181" s="14">
        <f t="shared" si="101"/>
        <v>14213.722345969378</v>
      </c>
      <c r="V181" s="14">
        <f t="shared" si="101"/>
        <v>14248.89145898563</v>
      </c>
      <c r="W181" s="14">
        <f t="shared" si="101"/>
        <v>14427.678178444454</v>
      </c>
      <c r="X181" s="187">
        <f t="shared" si="101"/>
        <v>14444.358386077451</v>
      </c>
      <c r="Y181" s="158">
        <f t="shared" si="101"/>
        <v>14926.037827730956</v>
      </c>
      <c r="Z181" s="158">
        <f t="shared" si="101"/>
        <v>15374.113121471655</v>
      </c>
      <c r="AA181" s="158">
        <f t="shared" si="101"/>
        <v>15866.872004505172</v>
      </c>
      <c r="AB181" s="158">
        <f t="shared" si="101"/>
        <v>16273.616975301366</v>
      </c>
      <c r="AC181" s="158">
        <f t="shared" si="101"/>
        <v>16603.237946943802</v>
      </c>
      <c r="AD181" s="158">
        <f t="shared" si="101"/>
        <v>16972.868778773864</v>
      </c>
      <c r="AE181" s="158">
        <f t="shared" si="101"/>
        <v>17279.202483318746</v>
      </c>
      <c r="AF181" s="158">
        <f t="shared" si="101"/>
        <v>17521.635415482771</v>
      </c>
      <c r="AG181" s="158">
        <f t="shared" si="101"/>
        <v>17628.546821013621</v>
      </c>
      <c r="AH181" s="187">
        <f t="shared" si="101"/>
        <v>17808.885806552964</v>
      </c>
      <c r="AI181" s="31" t="s">
        <v>0</v>
      </c>
    </row>
    <row r="182" spans="1:35" s="1" customFormat="1">
      <c r="A182" s="75" t="s">
        <v>304</v>
      </c>
      <c r="B182" s="13"/>
      <c r="C182" s="341" t="s">
        <v>0</v>
      </c>
      <c r="D182" s="341">
        <f t="shared" ref="D182:AH182" si="102">D179-D176</f>
        <v>176.63124615140077</v>
      </c>
      <c r="E182" s="341">
        <f t="shared" si="102"/>
        <v>310.78175537619973</v>
      </c>
      <c r="F182" s="341">
        <f t="shared" si="102"/>
        <v>626.14726181179867</v>
      </c>
      <c r="G182" s="341">
        <f t="shared" si="102"/>
        <v>513.25898202478129</v>
      </c>
      <c r="H182" s="405">
        <f>H179-H176</f>
        <v>43.38705457607648</v>
      </c>
      <c r="I182" s="15">
        <f t="shared" si="102"/>
        <v>251.5998098487762</v>
      </c>
      <c r="J182" s="15">
        <f t="shared" si="102"/>
        <v>815.7445188138081</v>
      </c>
      <c r="K182" s="15">
        <f t="shared" si="102"/>
        <v>1542.6002527724013</v>
      </c>
      <c r="L182" s="15">
        <f t="shared" si="102"/>
        <v>2632.0146195591988</v>
      </c>
      <c r="M182" s="15">
        <f t="shared" si="102"/>
        <v>4208.8740699088667</v>
      </c>
      <c r="N182" s="190">
        <f t="shared" si="102"/>
        <v>6247.2831447285207</v>
      </c>
      <c r="O182" s="15">
        <f t="shared" si="102"/>
        <v>6207.9762234928749</v>
      </c>
      <c r="P182" s="15">
        <f t="shared" si="102"/>
        <v>6286.1081105452286</v>
      </c>
      <c r="Q182" s="15">
        <f t="shared" si="102"/>
        <v>6457.4326985627013</v>
      </c>
      <c r="R182" s="15">
        <f t="shared" si="102"/>
        <v>6478.1252767105179</v>
      </c>
      <c r="S182" s="15">
        <f t="shared" si="102"/>
        <v>6521.5240192302917</v>
      </c>
      <c r="T182" s="15">
        <f t="shared" si="102"/>
        <v>6769.4254772688873</v>
      </c>
      <c r="U182" s="15">
        <f t="shared" si="102"/>
        <v>6886.9134745292868</v>
      </c>
      <c r="V182" s="15">
        <f t="shared" si="102"/>
        <v>6912.3576880551445</v>
      </c>
      <c r="W182" s="15">
        <f t="shared" si="102"/>
        <v>6794.6099704358494</v>
      </c>
      <c r="X182" s="190">
        <f t="shared" si="102"/>
        <v>6770.8085654972856</v>
      </c>
      <c r="Y182" s="130">
        <f t="shared" si="102"/>
        <v>6973.7593523605174</v>
      </c>
      <c r="Z182" s="130">
        <f t="shared" si="102"/>
        <v>7155.5436077237318</v>
      </c>
      <c r="AA182" s="130">
        <f t="shared" si="102"/>
        <v>7357.8867508877447</v>
      </c>
      <c r="AB182" s="130">
        <f t="shared" si="102"/>
        <v>7512.5473114698725</v>
      </c>
      <c r="AC182" s="130">
        <f t="shared" si="102"/>
        <v>7629.2905905679581</v>
      </c>
      <c r="AD182" s="130">
        <f t="shared" si="102"/>
        <v>7765.726576645844</v>
      </c>
      <c r="AE182" s="130">
        <f t="shared" si="102"/>
        <v>7869.4140663075013</v>
      </c>
      <c r="AF182" s="130">
        <f t="shared" si="102"/>
        <v>7941.0689812424316</v>
      </c>
      <c r="AG182" s="130">
        <f t="shared" si="102"/>
        <v>7946.7723603373888</v>
      </c>
      <c r="AH182" s="190">
        <f t="shared" si="102"/>
        <v>7990.20896314727</v>
      </c>
    </row>
    <row r="183" spans="1:35" s="20" customFormat="1">
      <c r="A183" s="20" t="s">
        <v>305</v>
      </c>
      <c r="B183" s="33"/>
      <c r="C183" s="334" t="s">
        <v>0</v>
      </c>
      <c r="D183" s="334">
        <f t="shared" ref="D183:AH183" si="103">D180-D177</f>
        <v>92.963989234514884</v>
      </c>
      <c r="E183" s="334">
        <f t="shared" si="103"/>
        <v>163.5695462832964</v>
      </c>
      <c r="F183" s="334">
        <f t="shared" si="103"/>
        <v>329.55146037445593</v>
      </c>
      <c r="G183" s="334">
        <f t="shared" si="103"/>
        <v>270.13659471534265</v>
      </c>
      <c r="H183" s="404">
        <f>H180-H177</f>
        <v>22.835433987407669</v>
      </c>
      <c r="I183" s="19">
        <f t="shared" si="103"/>
        <v>132.42112699599056</v>
      </c>
      <c r="J183" s="19">
        <f t="shared" si="103"/>
        <v>429.33943708005427</v>
      </c>
      <c r="K183" s="19">
        <f t="shared" si="103"/>
        <v>811.89512346887386</v>
      </c>
      <c r="L183" s="19">
        <f t="shared" si="103"/>
        <v>1385.2711468791349</v>
      </c>
      <c r="M183" s="19">
        <f t="shared" si="103"/>
        <v>2215.1972195328271</v>
      </c>
      <c r="N183" s="182">
        <f t="shared" si="103"/>
        <v>3288.0441550083779</v>
      </c>
      <c r="O183" s="19">
        <f t="shared" si="103"/>
        <v>3267.3563034233885</v>
      </c>
      <c r="P183" s="19">
        <f t="shared" si="103"/>
        <v>3308.4783571441694</v>
      </c>
      <c r="Q183" s="19">
        <f t="shared" si="103"/>
        <v>3398.6492059504817</v>
      </c>
      <c r="R183" s="19">
        <f t="shared" si="103"/>
        <v>3409.5400413113166</v>
      </c>
      <c r="S183" s="19">
        <f t="shared" si="103"/>
        <v>3432.3814905122872</v>
      </c>
      <c r="T183" s="19">
        <f t="shared" si="103"/>
        <v>3562.8559593586597</v>
      </c>
      <c r="U183" s="19">
        <f t="shared" si="103"/>
        <v>3624.6917573204792</v>
      </c>
      <c r="V183" s="19">
        <f t="shared" si="103"/>
        <v>3638.0834532858553</v>
      </c>
      <c r="W183" s="19">
        <f t="shared" si="103"/>
        <v>3576.1109796448709</v>
      </c>
      <c r="X183" s="182">
        <f t="shared" si="103"/>
        <v>3563.5839285420352</v>
      </c>
      <c r="Y183" s="206">
        <f t="shared" si="103"/>
        <v>3670.4001514478623</v>
      </c>
      <c r="Z183" s="206">
        <f t="shared" si="103"/>
        <v>3766.0760937469204</v>
      </c>
      <c r="AA183" s="206">
        <f t="shared" si="103"/>
        <v>3872.5725050260262</v>
      </c>
      <c r="AB183" s="206">
        <f t="shared" si="103"/>
        <v>3953.9728175687051</v>
      </c>
      <c r="AC183" s="206">
        <f t="shared" si="103"/>
        <v>4015.4166637681792</v>
      </c>
      <c r="AD183" s="206">
        <f t="shared" si="103"/>
        <v>4087.2250941215098</v>
      </c>
      <c r="AE183" s="206">
        <f t="shared" si="103"/>
        <v>4141.7974717474935</v>
      </c>
      <c r="AF183" s="206">
        <f t="shared" si="103"/>
        <v>4179.5105974674971</v>
      </c>
      <c r="AG183" s="206">
        <f t="shared" si="103"/>
        <v>4182.5123839473563</v>
      </c>
      <c r="AH183" s="182">
        <f t="shared" si="103"/>
        <v>4205.373764491138</v>
      </c>
    </row>
    <row r="184" spans="1:35" s="20" customFormat="1">
      <c r="A184" s="20" t="s">
        <v>306</v>
      </c>
      <c r="B184" s="33"/>
      <c r="C184" s="334" t="s">
        <v>0</v>
      </c>
      <c r="D184" s="334">
        <f t="shared" ref="D184:AH184" si="104">D181-D178</f>
        <v>83.667256916886799</v>
      </c>
      <c r="E184" s="334">
        <f t="shared" si="104"/>
        <v>147.21220909290332</v>
      </c>
      <c r="F184" s="334">
        <f t="shared" si="104"/>
        <v>296.59580143734183</v>
      </c>
      <c r="G184" s="334">
        <f t="shared" si="104"/>
        <v>243.12238730943864</v>
      </c>
      <c r="H184" s="404">
        <f t="shared" si="104"/>
        <v>20.551620588666992</v>
      </c>
      <c r="I184" s="19">
        <f t="shared" si="104"/>
        <v>119.17868285278746</v>
      </c>
      <c r="J184" s="19">
        <f t="shared" si="104"/>
        <v>386.40508173375383</v>
      </c>
      <c r="K184" s="19">
        <f t="shared" si="104"/>
        <v>730.70512930352925</v>
      </c>
      <c r="L184" s="19">
        <f t="shared" si="104"/>
        <v>1246.743472680062</v>
      </c>
      <c r="M184" s="19">
        <f t="shared" si="104"/>
        <v>1993.6768503760377</v>
      </c>
      <c r="N184" s="182">
        <f t="shared" si="104"/>
        <v>2959.2389897201429</v>
      </c>
      <c r="O184" s="19">
        <f t="shared" si="104"/>
        <v>2940.6199200694846</v>
      </c>
      <c r="P184" s="19">
        <f t="shared" si="104"/>
        <v>2977.629753401061</v>
      </c>
      <c r="Q184" s="19">
        <f t="shared" si="104"/>
        <v>3058.7834926122196</v>
      </c>
      <c r="R184" s="19">
        <f t="shared" si="104"/>
        <v>3068.5852353991995</v>
      </c>
      <c r="S184" s="19">
        <f t="shared" si="104"/>
        <v>3089.1425287180064</v>
      </c>
      <c r="T184" s="19">
        <f t="shared" si="104"/>
        <v>3206.5695179102277</v>
      </c>
      <c r="U184" s="19">
        <f t="shared" si="104"/>
        <v>3262.2217172088058</v>
      </c>
      <c r="V184" s="19">
        <f t="shared" si="104"/>
        <v>3274.2742347692874</v>
      </c>
      <c r="W184" s="19">
        <f t="shared" si="104"/>
        <v>3218.4989907909767</v>
      </c>
      <c r="X184" s="182">
        <f t="shared" si="104"/>
        <v>3207.2246369552504</v>
      </c>
      <c r="Y184" s="206">
        <f t="shared" si="104"/>
        <v>3303.3592009126551</v>
      </c>
      <c r="Z184" s="206">
        <f t="shared" si="104"/>
        <v>3389.4675139768115</v>
      </c>
      <c r="AA184" s="206">
        <f t="shared" si="104"/>
        <v>3485.3142458617185</v>
      </c>
      <c r="AB184" s="206">
        <f t="shared" si="104"/>
        <v>3558.5744939011656</v>
      </c>
      <c r="AC184" s="206">
        <f t="shared" si="104"/>
        <v>3613.8739267997844</v>
      </c>
      <c r="AD184" s="206">
        <f t="shared" si="104"/>
        <v>3678.5014825243361</v>
      </c>
      <c r="AE184" s="206">
        <f t="shared" si="104"/>
        <v>3727.6165945600078</v>
      </c>
      <c r="AF184" s="206">
        <f t="shared" si="104"/>
        <v>3761.55838377494</v>
      </c>
      <c r="AG184" s="206">
        <f t="shared" si="104"/>
        <v>3764.2599763900307</v>
      </c>
      <c r="AH184" s="182">
        <f t="shared" si="104"/>
        <v>3784.835198656132</v>
      </c>
    </row>
    <row r="185" spans="1:35" s="1" customFormat="1">
      <c r="A185" s="1" t="s">
        <v>449</v>
      </c>
      <c r="B185" s="13"/>
      <c r="C185" s="341"/>
      <c r="D185" s="341">
        <f>D182</f>
        <v>176.63124615140077</v>
      </c>
      <c r="E185" s="341">
        <f>D185+E182</f>
        <v>487.4130015276005</v>
      </c>
      <c r="F185" s="341">
        <f t="shared" ref="E185:N187" si="105">E185+F182</f>
        <v>1113.5602633393992</v>
      </c>
      <c r="G185" s="341">
        <f t="shared" si="105"/>
        <v>1626.8192453641805</v>
      </c>
      <c r="H185" s="405">
        <f>H182</f>
        <v>43.38705457607648</v>
      </c>
      <c r="I185" s="15">
        <f t="shared" si="105"/>
        <v>294.98686442485268</v>
      </c>
      <c r="J185" s="15">
        <f t="shared" si="105"/>
        <v>1110.7313832386608</v>
      </c>
      <c r="K185" s="15">
        <f t="shared" si="105"/>
        <v>2653.3316360110621</v>
      </c>
      <c r="L185" s="15">
        <f t="shared" si="105"/>
        <v>5285.3462555702608</v>
      </c>
      <c r="M185" s="15">
        <f t="shared" si="105"/>
        <v>9494.2203254791275</v>
      </c>
      <c r="N185" s="15">
        <f t="shared" si="105"/>
        <v>15741.503470207648</v>
      </c>
      <c r="O185" s="15">
        <f t="shared" ref="O185:X185" si="106">N185+O182</f>
        <v>21949.479693700523</v>
      </c>
      <c r="P185" s="15">
        <f t="shared" si="106"/>
        <v>28235.587804245752</v>
      </c>
      <c r="Q185" s="15">
        <f t="shared" si="106"/>
        <v>34693.020502808453</v>
      </c>
      <c r="R185" s="15">
        <f t="shared" si="106"/>
        <v>41171.145779518971</v>
      </c>
      <c r="S185" s="130">
        <f t="shared" si="106"/>
        <v>47692.669798749266</v>
      </c>
      <c r="T185" s="15">
        <f t="shared" si="106"/>
        <v>54462.095276018154</v>
      </c>
      <c r="U185" s="15">
        <f t="shared" si="106"/>
        <v>61349.008750547437</v>
      </c>
      <c r="V185" s="15">
        <f t="shared" si="106"/>
        <v>68261.366438602578</v>
      </c>
      <c r="W185" s="15">
        <f t="shared" si="106"/>
        <v>75055.976409038427</v>
      </c>
      <c r="X185" s="190">
        <f t="shared" si="106"/>
        <v>81826.784974535709</v>
      </c>
      <c r="Y185" s="130">
        <f t="shared" ref="Y185:AH185" si="107">X185+Y182</f>
        <v>88800.544326896226</v>
      </c>
      <c r="Z185" s="130">
        <f t="shared" si="107"/>
        <v>95956.087934619951</v>
      </c>
      <c r="AA185" s="130">
        <f t="shared" si="107"/>
        <v>103313.9746855077</v>
      </c>
      <c r="AB185" s="130">
        <f t="shared" si="107"/>
        <v>110826.52199697756</v>
      </c>
      <c r="AC185" s="130">
        <f t="shared" si="107"/>
        <v>118455.81258754552</v>
      </c>
      <c r="AD185" s="130">
        <f t="shared" si="107"/>
        <v>126221.53916419136</v>
      </c>
      <c r="AE185" s="130">
        <f t="shared" si="107"/>
        <v>134090.95323049885</v>
      </c>
      <c r="AF185" s="130">
        <f t="shared" si="107"/>
        <v>142032.02221174128</v>
      </c>
      <c r="AG185" s="130">
        <f t="shared" si="107"/>
        <v>149978.79457207868</v>
      </c>
      <c r="AH185" s="190">
        <f t="shared" si="107"/>
        <v>157969.00353522596</v>
      </c>
    </row>
    <row r="186" spans="1:35" s="20" customFormat="1">
      <c r="A186" s="20" t="s">
        <v>450</v>
      </c>
      <c r="B186" s="33"/>
      <c r="C186" s="334"/>
      <c r="D186" s="334">
        <f>D183</f>
        <v>92.963989234514884</v>
      </c>
      <c r="E186" s="334">
        <f t="shared" si="105"/>
        <v>256.53353551781129</v>
      </c>
      <c r="F186" s="334">
        <f t="shared" si="105"/>
        <v>586.08499589226722</v>
      </c>
      <c r="G186" s="334">
        <f t="shared" si="105"/>
        <v>856.22159060760987</v>
      </c>
      <c r="H186" s="404">
        <f t="shared" si="105"/>
        <v>879.05702459501754</v>
      </c>
      <c r="I186" s="19">
        <f t="shared" ref="I186:X186" si="108">H186+I183</f>
        <v>1011.4781515910081</v>
      </c>
      <c r="J186" s="19">
        <f t="shared" si="108"/>
        <v>1440.8175886710624</v>
      </c>
      <c r="K186" s="19">
        <f t="shared" si="108"/>
        <v>2252.7127121399362</v>
      </c>
      <c r="L186" s="19">
        <f t="shared" si="108"/>
        <v>3637.9838590190711</v>
      </c>
      <c r="M186" s="19">
        <f t="shared" si="108"/>
        <v>5853.1810785518983</v>
      </c>
      <c r="N186" s="182">
        <f t="shared" si="108"/>
        <v>9141.2252335602752</v>
      </c>
      <c r="O186" s="19">
        <f t="shared" si="108"/>
        <v>12408.581536983664</v>
      </c>
      <c r="P186" s="19">
        <f t="shared" si="108"/>
        <v>15717.059894127833</v>
      </c>
      <c r="Q186" s="19">
        <f t="shared" si="108"/>
        <v>19115.709100078315</v>
      </c>
      <c r="R186" s="19">
        <f t="shared" si="108"/>
        <v>22525.249141389631</v>
      </c>
      <c r="S186" s="206">
        <f t="shared" si="108"/>
        <v>25957.63063190192</v>
      </c>
      <c r="T186" s="19">
        <f t="shared" si="108"/>
        <v>29520.486591260582</v>
      </c>
      <c r="U186" s="19">
        <f t="shared" si="108"/>
        <v>33145.178348581059</v>
      </c>
      <c r="V186" s="19">
        <f t="shared" si="108"/>
        <v>36783.261801866916</v>
      </c>
      <c r="W186" s="19">
        <f t="shared" si="108"/>
        <v>40359.372781511789</v>
      </c>
      <c r="X186" s="182">
        <f t="shared" si="108"/>
        <v>43922.956710053826</v>
      </c>
      <c r="Y186" s="206">
        <f t="shared" ref="Y186:AH186" si="109">X186+Y183</f>
        <v>47593.356861501685</v>
      </c>
      <c r="Z186" s="206">
        <f t="shared" si="109"/>
        <v>51359.432955248602</v>
      </c>
      <c r="AA186" s="206">
        <f t="shared" si="109"/>
        <v>55232.005460274624</v>
      </c>
      <c r="AB186" s="206">
        <f t="shared" si="109"/>
        <v>59185.978277843329</v>
      </c>
      <c r="AC186" s="206">
        <f t="shared" si="109"/>
        <v>63201.394941611507</v>
      </c>
      <c r="AD186" s="206">
        <f t="shared" si="109"/>
        <v>67288.620035733009</v>
      </c>
      <c r="AE186" s="206">
        <f t="shared" si="109"/>
        <v>71430.41750748051</v>
      </c>
      <c r="AF186" s="206">
        <f t="shared" si="109"/>
        <v>75609.928104948005</v>
      </c>
      <c r="AG186" s="206">
        <f t="shared" si="109"/>
        <v>79792.440488895358</v>
      </c>
      <c r="AH186" s="182">
        <f t="shared" si="109"/>
        <v>83997.814253386488</v>
      </c>
    </row>
    <row r="187" spans="1:35" s="20" customFormat="1">
      <c r="A187" s="20" t="s">
        <v>451</v>
      </c>
      <c r="B187" s="33"/>
      <c r="C187" s="334"/>
      <c r="D187" s="334">
        <f>D184</f>
        <v>83.667256916886799</v>
      </c>
      <c r="E187" s="334">
        <f t="shared" si="105"/>
        <v>230.87946600979012</v>
      </c>
      <c r="F187" s="334">
        <f t="shared" si="105"/>
        <v>527.47526744713196</v>
      </c>
      <c r="G187" s="334">
        <f t="shared" si="105"/>
        <v>770.59765475657059</v>
      </c>
      <c r="H187" s="404">
        <f t="shared" si="105"/>
        <v>791.14927534523758</v>
      </c>
      <c r="I187" s="19">
        <f t="shared" ref="I187:X187" si="110">H187+I184</f>
        <v>910.32795819802504</v>
      </c>
      <c r="J187" s="19">
        <f t="shared" si="110"/>
        <v>1296.7330399317789</v>
      </c>
      <c r="K187" s="19">
        <f t="shared" si="110"/>
        <v>2027.4381692353081</v>
      </c>
      <c r="L187" s="19">
        <f t="shared" si="110"/>
        <v>3274.1816419153702</v>
      </c>
      <c r="M187" s="19">
        <f t="shared" si="110"/>
        <v>5267.8584922914079</v>
      </c>
      <c r="N187" s="182">
        <f t="shared" si="110"/>
        <v>8227.0974820115516</v>
      </c>
      <c r="O187" s="19">
        <f t="shared" si="110"/>
        <v>11167.717402081036</v>
      </c>
      <c r="P187" s="19">
        <f t="shared" si="110"/>
        <v>14145.347155482097</v>
      </c>
      <c r="Q187" s="19">
        <f t="shared" si="110"/>
        <v>17204.130648094317</v>
      </c>
      <c r="R187" s="19">
        <f t="shared" si="110"/>
        <v>20272.715883493518</v>
      </c>
      <c r="S187" s="206">
        <f t="shared" si="110"/>
        <v>23361.858412211524</v>
      </c>
      <c r="T187" s="19">
        <f t="shared" si="110"/>
        <v>26568.427930121754</v>
      </c>
      <c r="U187" s="19">
        <f t="shared" si="110"/>
        <v>29830.64964733056</v>
      </c>
      <c r="V187" s="19">
        <f t="shared" si="110"/>
        <v>33104.923882099843</v>
      </c>
      <c r="W187" s="19">
        <f t="shared" si="110"/>
        <v>36323.42287289082</v>
      </c>
      <c r="X187" s="182">
        <f t="shared" si="110"/>
        <v>39530.647509846072</v>
      </c>
      <c r="Y187" s="206">
        <f t="shared" ref="Y187:AH187" si="111">X187+Y184</f>
        <v>42834.006710758724</v>
      </c>
      <c r="Z187" s="206">
        <f t="shared" si="111"/>
        <v>46223.474224735532</v>
      </c>
      <c r="AA187" s="206">
        <f t="shared" si="111"/>
        <v>49708.788470597254</v>
      </c>
      <c r="AB187" s="206">
        <f t="shared" si="111"/>
        <v>53267.362964498418</v>
      </c>
      <c r="AC187" s="206">
        <f t="shared" si="111"/>
        <v>56881.236891298206</v>
      </c>
      <c r="AD187" s="206">
        <f t="shared" si="111"/>
        <v>60559.73837382254</v>
      </c>
      <c r="AE187" s="206">
        <f t="shared" si="111"/>
        <v>64287.354968382548</v>
      </c>
      <c r="AF187" s="206">
        <f t="shared" si="111"/>
        <v>68048.913352157484</v>
      </c>
      <c r="AG187" s="206">
        <f t="shared" si="111"/>
        <v>71813.17332854752</v>
      </c>
      <c r="AH187" s="182">
        <f t="shared" si="111"/>
        <v>75598.008527203652</v>
      </c>
    </row>
    <row r="188" spans="1:35" s="519" customFormat="1">
      <c r="A188" s="519" t="s">
        <v>549</v>
      </c>
      <c r="B188" s="520"/>
      <c r="C188" s="521"/>
      <c r="D188"/>
      <c r="E188"/>
      <c r="F188"/>
      <c r="G188"/>
      <c r="H188"/>
      <c r="I188"/>
      <c r="J188"/>
      <c r="K188"/>
      <c r="L188"/>
      <c r="M188"/>
      <c r="N188"/>
      <c r="O188"/>
      <c r="P188"/>
      <c r="Q188"/>
      <c r="R188"/>
      <c r="S188"/>
      <c r="T188"/>
      <c r="U188"/>
      <c r="V188"/>
      <c r="W188"/>
      <c r="X188"/>
      <c r="Y188"/>
      <c r="Z188"/>
      <c r="AA188"/>
      <c r="AB188" s="523"/>
      <c r="AC188" s="523"/>
      <c r="AD188" s="523"/>
      <c r="AE188" s="523"/>
      <c r="AF188" s="523"/>
      <c r="AG188" s="523"/>
      <c r="AH188" s="522"/>
    </row>
    <row r="189" spans="1:35" s="1" customFormat="1">
      <c r="B189" s="13"/>
      <c r="C189" s="341"/>
      <c r="D189" s="341"/>
      <c r="E189" s="341"/>
      <c r="F189" s="341"/>
      <c r="G189" s="341"/>
      <c r="H189" s="405"/>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80"/>
    </row>
    <row r="190" spans="1:35" s="1" customFormat="1">
      <c r="A190" s="1" t="s">
        <v>411</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405</v>
      </c>
      <c r="I191" s="112"/>
      <c r="J191" s="112"/>
      <c r="K191" s="112"/>
      <c r="L191" s="112"/>
      <c r="M191" s="131"/>
      <c r="N191" s="192"/>
      <c r="O191" s="131"/>
      <c r="P191" s="112"/>
      <c r="Q191" s="112"/>
      <c r="R191" s="131"/>
      <c r="S191" s="131"/>
      <c r="T191" s="131"/>
      <c r="U191" s="131"/>
      <c r="V191" s="112"/>
      <c r="W191" s="112"/>
    </row>
    <row r="192" spans="1:35">
      <c r="A192" t="s">
        <v>406</v>
      </c>
      <c r="I192" s="112"/>
      <c r="J192" s="112"/>
      <c r="K192" s="112"/>
      <c r="L192" s="112"/>
      <c r="M192" s="131"/>
      <c r="N192" s="192"/>
      <c r="O192" s="131"/>
      <c r="P192" s="112"/>
      <c r="Q192" s="112"/>
      <c r="R192" s="131"/>
      <c r="S192" s="131"/>
      <c r="T192" s="131"/>
      <c r="U192" s="131"/>
      <c r="V192" s="112"/>
      <c r="W192" s="112"/>
    </row>
    <row r="193" spans="1:34">
      <c r="A193" t="s">
        <v>407</v>
      </c>
      <c r="I193" s="112"/>
      <c r="J193" s="112"/>
      <c r="K193" s="112"/>
      <c r="L193" s="112"/>
      <c r="M193" s="131"/>
      <c r="N193" s="192"/>
      <c r="O193" s="131"/>
      <c r="P193" s="112"/>
      <c r="Q193" s="112"/>
      <c r="R193" s="131"/>
      <c r="S193" s="131"/>
      <c r="T193" s="131"/>
      <c r="U193" s="131"/>
      <c r="V193" s="112"/>
      <c r="W193" s="112"/>
    </row>
    <row r="194" spans="1:34">
      <c r="A194" t="s">
        <v>387</v>
      </c>
      <c r="C194" s="331">
        <f>SUM(C195:C196)</f>
        <v>270.41313000000002</v>
      </c>
      <c r="D194" s="331">
        <f t="shared" ref="D194:AH194" si="112">SUM(D195:D196)</f>
        <v>236.76412999999999</v>
      </c>
      <c r="E194" s="331">
        <f t="shared" si="112"/>
        <v>397.1363660435411</v>
      </c>
      <c r="F194" s="331">
        <f t="shared" si="112"/>
        <v>442.83954303441271</v>
      </c>
      <c r="G194" s="331">
        <f t="shared" si="112"/>
        <v>534.35665251526666</v>
      </c>
      <c r="H194" s="402">
        <f t="shared" si="112"/>
        <v>2640.5220961664122</v>
      </c>
      <c r="I194" s="14">
        <f t="shared" si="112"/>
        <v>3193.019852142791</v>
      </c>
      <c r="J194" s="14">
        <f t="shared" si="112"/>
        <v>3727.3361985832271</v>
      </c>
      <c r="K194" s="14">
        <f t="shared" si="112"/>
        <v>4046.6998900127919</v>
      </c>
      <c r="L194" s="14">
        <f t="shared" si="112"/>
        <v>4282.6074490921237</v>
      </c>
      <c r="M194" s="14">
        <f t="shared" si="112"/>
        <v>4373.4877015281463</v>
      </c>
      <c r="N194" s="187">
        <f t="shared" si="112"/>
        <v>4469.9342977132783</v>
      </c>
      <c r="O194" s="14">
        <f t="shared" si="112"/>
        <v>4544.675017204665</v>
      </c>
      <c r="P194" s="14">
        <f t="shared" si="112"/>
        <v>4681.7572169841606</v>
      </c>
      <c r="Q194" s="14">
        <f t="shared" si="112"/>
        <v>4872.8159425400927</v>
      </c>
      <c r="R194" s="14">
        <f t="shared" si="112"/>
        <v>4982.7268014667861</v>
      </c>
      <c r="S194" s="15">
        <f t="shared" si="112"/>
        <v>5098.3473893134596</v>
      </c>
      <c r="T194" s="14">
        <f t="shared" si="112"/>
        <v>5336.6896379928521</v>
      </c>
      <c r="U194" s="14">
        <f t="shared" si="112"/>
        <v>5497.524312079815</v>
      </c>
      <c r="V194" s="14">
        <f t="shared" si="112"/>
        <v>5600.6233232676368</v>
      </c>
      <c r="W194" s="14">
        <f t="shared" si="112"/>
        <v>5980.335978689669</v>
      </c>
      <c r="X194" s="187">
        <f t="shared" si="112"/>
        <v>6121.5493585230906</v>
      </c>
      <c r="Y194" s="158">
        <f t="shared" si="112"/>
        <v>6450.0755511992847</v>
      </c>
      <c r="Z194" s="158">
        <f t="shared" si="112"/>
        <v>6772.7043554887987</v>
      </c>
      <c r="AA194" s="158">
        <f t="shared" si="112"/>
        <v>7120.9868160142523</v>
      </c>
      <c r="AB194" s="158">
        <f t="shared" si="112"/>
        <v>7450.7174825329575</v>
      </c>
      <c r="AC194" s="158">
        <f t="shared" si="112"/>
        <v>7743.5752366567986</v>
      </c>
      <c r="AD194" s="158">
        <f t="shared" si="112"/>
        <v>8058.6040252013936</v>
      </c>
      <c r="AE194" s="158">
        <f t="shared" si="112"/>
        <v>8350.9378108132496</v>
      </c>
      <c r="AF194" s="158">
        <f t="shared" si="112"/>
        <v>8617.9217374957207</v>
      </c>
      <c r="AG194" s="158">
        <f t="shared" si="112"/>
        <v>8824.8006513625114</v>
      </c>
      <c r="AH194" s="187">
        <f t="shared" si="112"/>
        <v>9067.4124149415547</v>
      </c>
    </row>
    <row r="195" spans="1:34">
      <c r="A195" t="s">
        <v>388</v>
      </c>
      <c r="C195" s="330">
        <f>'Output - Jobs vs Yr (BAU)'!C51</f>
        <v>142.3227</v>
      </c>
      <c r="D195" s="330">
        <f>'Output - Jobs vs Yr (BAU)'!D51</f>
        <v>124.61269999999999</v>
      </c>
      <c r="E195" s="330">
        <f>'Output - Jobs vs Yr (BAU)'!E51</f>
        <v>209.01914002291639</v>
      </c>
      <c r="F195" s="330">
        <f>'Output - Jobs vs Yr (BAU)'!F51</f>
        <v>233.07344370232249</v>
      </c>
      <c r="G195" s="330">
        <f>'Output - Jobs vs Yr (BAU)'!G51</f>
        <v>281.24034342908772</v>
      </c>
      <c r="H195" s="286">
        <f>'Output - Jobs vs Yr (BAU)'!H51</f>
        <v>1389.7484716665329</v>
      </c>
      <c r="I195" s="118">
        <f>'Output - Jobs vs Yr (BAU)'!I51</f>
        <v>1680.5367642856795</v>
      </c>
      <c r="J195" s="118">
        <f>'Output - Jobs vs Yr (BAU)'!J51</f>
        <v>1961.7558939911723</v>
      </c>
      <c r="K195" s="118">
        <f>'Output - Jobs vs Yr (BAU)'!K51</f>
        <v>2129.8420473751535</v>
      </c>
      <c r="L195" s="118">
        <f>'Output - Jobs vs Yr (BAU)'!L51</f>
        <v>2254.0039205748021</v>
      </c>
      <c r="M195" s="118">
        <f>'Output - Jobs vs Yr (BAU)'!M51</f>
        <v>2301.835632383235</v>
      </c>
      <c r="N195" s="177">
        <f>'Output - Jobs vs Yr (BAU)'!N51</f>
        <v>2352.5969987964622</v>
      </c>
      <c r="O195" s="118">
        <f>'Output - Jobs vs Yr (BAU)'!O51</f>
        <v>2391.9342195814029</v>
      </c>
      <c r="P195" s="118">
        <f>'Output - Jobs vs Yr (BAU)'!P51</f>
        <v>2464.082745781137</v>
      </c>
      <c r="Q195" s="118">
        <f>'Output - Jobs vs Yr (BAU)'!Q51</f>
        <v>2564.6399697579436</v>
      </c>
      <c r="R195" s="118">
        <f>'Output - Jobs vs Yr (BAU)'!R51</f>
        <v>2622.4877902456769</v>
      </c>
      <c r="S195" s="118">
        <f>'Output - Jobs vs Yr (BAU)'!S51</f>
        <v>2683.34073121761</v>
      </c>
      <c r="T195" s="118">
        <f>'Output - Jobs vs Yr (BAU)'!T51</f>
        <v>2808.7840199962379</v>
      </c>
      <c r="U195" s="118">
        <f>'Output - Jobs vs Yr (BAU)'!U51</f>
        <v>2893.4338484630603</v>
      </c>
      <c r="V195" s="118">
        <f>'Output - Jobs vs Yr (BAU)'!V51</f>
        <v>2947.6964859303353</v>
      </c>
      <c r="W195" s="118">
        <f>'Output - Jobs vs Yr (BAU)'!W51</f>
        <v>3147.5452519419309</v>
      </c>
      <c r="X195" s="184">
        <f>'Output - Jobs vs Yr (BAU)'!X51</f>
        <v>3221.8680834332054</v>
      </c>
      <c r="Y195" s="271">
        <f>'Output - Jobs vs Yr (BAU)'!Y51</f>
        <v>3394.7766058943603</v>
      </c>
      <c r="Z195" s="271">
        <f>'Output - Jobs vs Yr (BAU)'!Z51</f>
        <v>3564.5812397309469</v>
      </c>
      <c r="AA195" s="271">
        <f>'Output - Jobs vs Yr (BAU)'!AA51</f>
        <v>3747.8877979022377</v>
      </c>
      <c r="AB195" s="271">
        <f>'Output - Jobs vs Yr (BAU)'!AB51</f>
        <v>3921.4302539647147</v>
      </c>
      <c r="AC195" s="271">
        <f>'Output - Jobs vs Yr (BAU)'!AC51</f>
        <v>4075.565914029894</v>
      </c>
      <c r="AD195" s="271">
        <f>'Output - Jobs vs Yr (BAU)'!AD51</f>
        <v>4241.3705395796806</v>
      </c>
      <c r="AE195" s="271">
        <f>'Output - Jobs vs Yr (BAU)'!AE51</f>
        <v>4395.2304267438158</v>
      </c>
      <c r="AF195" s="271">
        <f>'Output - Jobs vs Yr (BAU)'!AF51</f>
        <v>4535.748282892484</v>
      </c>
      <c r="AG195" s="271">
        <f>'Output - Jobs vs Yr (BAU)'!AG51</f>
        <v>4644.6319217697428</v>
      </c>
      <c r="AH195" s="184">
        <f>'Output - Jobs vs Yr (BAU)'!AH51</f>
        <v>4772.3223236534495</v>
      </c>
    </row>
    <row r="196" spans="1:34">
      <c r="A196" t="s">
        <v>389</v>
      </c>
      <c r="C196" s="330">
        <f>'Output - Jobs vs Yr (BAU)'!C69</f>
        <v>128.09043</v>
      </c>
      <c r="D196" s="330">
        <f>'Output - Jobs vs Yr (BAU)'!D69</f>
        <v>112.15143</v>
      </c>
      <c r="E196" s="330">
        <f>'Output - Jobs vs Yr (BAU)'!E69</f>
        <v>188.11722602062474</v>
      </c>
      <c r="F196" s="330">
        <f>'Output - Jobs vs Yr (BAU)'!F69</f>
        <v>209.76609933209022</v>
      </c>
      <c r="G196" s="330">
        <f>'Output - Jobs vs Yr (BAU)'!G69</f>
        <v>253.11630908617892</v>
      </c>
      <c r="H196" s="286">
        <f>'Output - Jobs vs Yr (BAU)'!H69</f>
        <v>1250.7736244998794</v>
      </c>
      <c r="I196" s="118">
        <f>'Output - Jobs vs Yr (BAU)'!I69</f>
        <v>1512.4830878571115</v>
      </c>
      <c r="J196" s="118">
        <f>'Output - Jobs vs Yr (BAU)'!J69</f>
        <v>1765.580304592055</v>
      </c>
      <c r="K196" s="118">
        <f>'Output - Jobs vs Yr (BAU)'!K69</f>
        <v>1916.8578426376382</v>
      </c>
      <c r="L196" s="118">
        <f>'Output - Jobs vs Yr (BAU)'!L69</f>
        <v>2028.603528517322</v>
      </c>
      <c r="M196" s="118">
        <f>'Output - Jobs vs Yr (BAU)'!M69</f>
        <v>2071.6520691449114</v>
      </c>
      <c r="N196" s="177">
        <f>'Output - Jobs vs Yr (BAU)'!N69</f>
        <v>2117.3372989168161</v>
      </c>
      <c r="O196" s="118">
        <f>'Output - Jobs vs Yr (BAU)'!O69</f>
        <v>2152.7407976232626</v>
      </c>
      <c r="P196" s="118">
        <f>'Output - Jobs vs Yr (BAU)'!P69</f>
        <v>2217.6744712030231</v>
      </c>
      <c r="Q196" s="118">
        <f>'Output - Jobs vs Yr (BAU)'!Q69</f>
        <v>2308.1759727821491</v>
      </c>
      <c r="R196" s="118">
        <f>'Output - Jobs vs Yr (BAU)'!R69</f>
        <v>2360.2390112211092</v>
      </c>
      <c r="S196" s="118">
        <f>'Output - Jobs vs Yr (BAU)'!S69</f>
        <v>2415.0066580958492</v>
      </c>
      <c r="T196" s="118">
        <f>'Output - Jobs vs Yr (BAU)'!T69</f>
        <v>2527.9056179966142</v>
      </c>
      <c r="U196" s="118">
        <f>'Output - Jobs vs Yr (BAU)'!U69</f>
        <v>2604.0904636167543</v>
      </c>
      <c r="V196" s="118">
        <f>'Output - Jobs vs Yr (BAU)'!V69</f>
        <v>2652.926837337302</v>
      </c>
      <c r="W196" s="118">
        <f>'Output - Jobs vs Yr (BAU)'!W69</f>
        <v>2832.7907267477376</v>
      </c>
      <c r="X196" s="184">
        <f>'Output - Jobs vs Yr (BAU)'!X69</f>
        <v>2899.6812750898848</v>
      </c>
      <c r="Y196" s="271">
        <f>'Output - Jobs vs Yr (BAU)'!Y69</f>
        <v>3055.2989453049245</v>
      </c>
      <c r="Z196" s="271">
        <f>'Output - Jobs vs Yr (BAU)'!Z69</f>
        <v>3208.1231157578522</v>
      </c>
      <c r="AA196" s="271">
        <f>'Output - Jobs vs Yr (BAU)'!AA69</f>
        <v>3373.0990181120142</v>
      </c>
      <c r="AB196" s="271">
        <f>'Output - Jobs vs Yr (BAU)'!AB69</f>
        <v>3529.2872285682429</v>
      </c>
      <c r="AC196" s="271">
        <f>'Output - Jobs vs Yr (BAU)'!AC69</f>
        <v>3668.0093226269046</v>
      </c>
      <c r="AD196" s="271">
        <f>'Output - Jobs vs Yr (BAU)'!AD69</f>
        <v>3817.2334856217126</v>
      </c>
      <c r="AE196" s="271">
        <f>'Output - Jobs vs Yr (BAU)'!AE69</f>
        <v>3955.7073840694338</v>
      </c>
      <c r="AF196" s="271">
        <f>'Output - Jobs vs Yr (BAU)'!AF69</f>
        <v>4082.1734546032362</v>
      </c>
      <c r="AG196" s="271">
        <f>'Output - Jobs vs Yr (BAU)'!AG69</f>
        <v>4180.1687295927677</v>
      </c>
      <c r="AH196" s="184">
        <f>'Output - Jobs vs Yr (BAU)'!AH69</f>
        <v>4295.0900912881043</v>
      </c>
    </row>
    <row r="197" spans="1:34">
      <c r="A197" t="s">
        <v>390</v>
      </c>
      <c r="C197" s="331">
        <f>SUM(C198:C199)</f>
        <v>9140.3651500000014</v>
      </c>
      <c r="D197" s="331">
        <f t="shared" ref="D197:AH197" si="113">SUM(D198:D199)</f>
        <v>8722.2131500000014</v>
      </c>
      <c r="E197" s="331">
        <f t="shared" si="113"/>
        <v>8007.2074748939694</v>
      </c>
      <c r="F197" s="331">
        <f t="shared" si="113"/>
        <v>8099.5611737374002</v>
      </c>
      <c r="G197" s="331">
        <f t="shared" si="113"/>
        <v>7808.3621998455146</v>
      </c>
      <c r="H197" s="402">
        <f t="shared" si="113"/>
        <v>7823.3770859376064</v>
      </c>
      <c r="I197" s="14">
        <f t="shared" si="113"/>
        <v>8049.919952939912</v>
      </c>
      <c r="J197" s="14">
        <f t="shared" si="113"/>
        <v>8130.6356464665168</v>
      </c>
      <c r="K197" s="14">
        <f t="shared" si="113"/>
        <v>8004.1794686838302</v>
      </c>
      <c r="L197" s="14">
        <f t="shared" si="113"/>
        <v>7747.0850635638308</v>
      </c>
      <c r="M197" s="14">
        <f t="shared" si="113"/>
        <v>7488.13786204383</v>
      </c>
      <c r="N197" s="187">
        <f t="shared" si="113"/>
        <v>7333.5677507071287</v>
      </c>
      <c r="O197" s="14">
        <f t="shared" si="113"/>
        <v>7333.7358726600505</v>
      </c>
      <c r="P197" s="14">
        <f t="shared" si="113"/>
        <v>7333.7356492200488</v>
      </c>
      <c r="Q197" s="14">
        <f t="shared" si="113"/>
        <v>7334.3237546301571</v>
      </c>
      <c r="R197" s="14">
        <f t="shared" si="113"/>
        <v>7334.3239780701588</v>
      </c>
      <c r="S197" s="15">
        <f t="shared" si="113"/>
        <v>7334.3237546301571</v>
      </c>
      <c r="T197" s="14">
        <f t="shared" si="113"/>
        <v>7334.3239780701588</v>
      </c>
      <c r="U197" s="14">
        <f t="shared" si="113"/>
        <v>7334.3237546301571</v>
      </c>
      <c r="V197" s="14">
        <f t="shared" si="113"/>
        <v>7334.4180271435853</v>
      </c>
      <c r="W197" s="14">
        <f t="shared" si="113"/>
        <v>7334.418250583587</v>
      </c>
      <c r="X197" s="187">
        <f t="shared" si="113"/>
        <v>7334.4796011963554</v>
      </c>
      <c r="Y197" s="158">
        <f t="shared" si="113"/>
        <v>7334.661147070341</v>
      </c>
      <c r="Z197" s="158">
        <f t="shared" si="113"/>
        <v>7334.8197839339373</v>
      </c>
      <c r="AA197" s="158">
        <f t="shared" si="113"/>
        <v>7334.8195604939356</v>
      </c>
      <c r="AB197" s="158">
        <f t="shared" si="113"/>
        <v>7335.0363137957775</v>
      </c>
      <c r="AC197" s="158">
        <f t="shared" si="113"/>
        <v>7335.2289484248031</v>
      </c>
      <c r="AD197" s="158">
        <f t="shared" si="113"/>
        <v>7335.3076905396429</v>
      </c>
      <c r="AE197" s="158">
        <f t="shared" si="113"/>
        <v>7335.3076905396429</v>
      </c>
      <c r="AF197" s="158">
        <f t="shared" si="113"/>
        <v>7335.3076905396429</v>
      </c>
      <c r="AG197" s="158">
        <f t="shared" si="113"/>
        <v>7335.3076905396429</v>
      </c>
      <c r="AH197" s="187">
        <f t="shared" si="113"/>
        <v>7335.3079139796446</v>
      </c>
    </row>
    <row r="198" spans="1:34">
      <c r="A198" t="s">
        <v>392</v>
      </c>
      <c r="C198" s="330">
        <f>SUM('Output - Jobs vs Yr (BAU)'!C40:C43)</f>
        <v>4810.7184999999999</v>
      </c>
      <c r="D198" s="330">
        <f>SUM('Output - Jobs vs Yr (BAU)'!D40:D43)</f>
        <v>4590.6385000000009</v>
      </c>
      <c r="E198" s="330">
        <f>SUM('Output - Jobs vs Yr (BAU)'!E40:E43)</f>
        <v>4214.319723628405</v>
      </c>
      <c r="F198" s="330">
        <f>SUM('Output - Jobs vs Yr (BAU)'!F40:F43)</f>
        <v>4262.9269335460003</v>
      </c>
      <c r="G198" s="330">
        <f>SUM('Output - Jobs vs Yr (BAU)'!G40:G43)</f>
        <v>4109.6643157081653</v>
      </c>
      <c r="H198" s="286">
        <f>SUM('Output - Jobs vs Yr (BAU)'!H40:H43)</f>
        <v>4117.5668873355826</v>
      </c>
      <c r="I198" s="118">
        <f>SUM('Output - Jobs vs Yr (BAU)'!I40:I43)</f>
        <v>4236.7999752315327</v>
      </c>
      <c r="J198" s="118">
        <f>SUM('Output - Jobs vs Yr (BAU)'!J40:J43)</f>
        <v>4279.2819191929038</v>
      </c>
      <c r="K198" s="118">
        <f>SUM('Output - Jobs vs Yr (BAU)'!K40:K43)</f>
        <v>4212.7260361493845</v>
      </c>
      <c r="L198" s="118">
        <f>SUM('Output - Jobs vs Yr (BAU)'!L40:L43)</f>
        <v>4077.4131913493848</v>
      </c>
      <c r="M198" s="118">
        <f>SUM('Output - Jobs vs Yr (BAU)'!M40:M43)</f>
        <v>3941.1251905493841</v>
      </c>
      <c r="N198" s="177">
        <f>SUM('Output - Jobs vs Yr (BAU)'!N40:N43)</f>
        <v>3859.7725003721725</v>
      </c>
      <c r="O198" s="118">
        <f>SUM('Output - Jobs vs Yr (BAU)'!O40:O43)</f>
        <v>3859.8609856105531</v>
      </c>
      <c r="P198" s="118">
        <f>SUM('Output - Jobs vs Yr (BAU)'!P40:P43)</f>
        <v>3859.8608680105522</v>
      </c>
      <c r="Q198" s="118">
        <f>SUM('Output - Jobs vs Yr (BAU)'!Q40:Q43)</f>
        <v>3860.170397173767</v>
      </c>
      <c r="R198" s="118">
        <f>SUM('Output - Jobs vs Yr (BAU)'!R40:R43)</f>
        <v>3860.170514773768</v>
      </c>
      <c r="S198" s="118">
        <f>SUM('Output - Jobs vs Yr (BAU)'!S40:S43)</f>
        <v>3860.170397173767</v>
      </c>
      <c r="T198" s="118">
        <f>SUM('Output - Jobs vs Yr (BAU)'!T40:T43)</f>
        <v>3860.170514773768</v>
      </c>
      <c r="U198" s="118">
        <f>SUM('Output - Jobs vs Yr (BAU)'!U40:U43)</f>
        <v>3860.170397173767</v>
      </c>
      <c r="V198" s="118">
        <f>SUM('Output - Jobs vs Yr (BAU)'!V40:V43)</f>
        <v>3860.2200142860975</v>
      </c>
      <c r="W198" s="118">
        <f>SUM('Output - Jobs vs Yr (BAU)'!W40:W43)</f>
        <v>3860.2201318860984</v>
      </c>
      <c r="X198" s="184">
        <f>SUM('Output - Jobs vs Yr (BAU)'!X40:X43)</f>
        <v>3860.2524216822926</v>
      </c>
      <c r="Y198" s="271">
        <f>SUM('Output - Jobs vs Yr (BAU)'!Y40:Y43)</f>
        <v>3860.347972142285</v>
      </c>
      <c r="Z198" s="271">
        <f>SUM('Output - Jobs vs Yr (BAU)'!Z40:Z43)</f>
        <v>3860.4314652283883</v>
      </c>
      <c r="AA198" s="271">
        <f>SUM('Output - Jobs vs Yr (BAU)'!AA40:AA43)</f>
        <v>3860.4313476283874</v>
      </c>
      <c r="AB198" s="271">
        <f>SUM('Output - Jobs vs Yr (BAU)'!AB40:AB43)</f>
        <v>3860.5454283135673</v>
      </c>
      <c r="AC198" s="271">
        <f>SUM('Output - Jobs vs Yr (BAU)'!AC40:AC43)</f>
        <v>3860.6468149604225</v>
      </c>
      <c r="AD198" s="271">
        <f>SUM('Output - Jobs vs Yr (BAU)'!AD40:AD43)</f>
        <v>3860.688258178759</v>
      </c>
      <c r="AE198" s="271">
        <f>SUM('Output - Jobs vs Yr (BAU)'!AE40:AE43)</f>
        <v>3860.688258178759</v>
      </c>
      <c r="AF198" s="271">
        <f>SUM('Output - Jobs vs Yr (BAU)'!AF40:AF43)</f>
        <v>3860.688258178759</v>
      </c>
      <c r="AG198" s="271">
        <f>SUM('Output - Jobs vs Yr (BAU)'!AG40:AG43)</f>
        <v>3860.688258178759</v>
      </c>
      <c r="AH198" s="184">
        <f>SUM('Output - Jobs vs Yr (BAU)'!AH40:AH43)</f>
        <v>3860.68837577876</v>
      </c>
    </row>
    <row r="199" spans="1:34">
      <c r="A199" t="s">
        <v>391</v>
      </c>
      <c r="C199" s="330">
        <f>SUM('Output - Jobs vs Yr (BAU)'!C58:C61)</f>
        <v>4329.6466500000006</v>
      </c>
      <c r="D199" s="330">
        <f>SUM('Output - Jobs vs Yr (BAU)'!D58:D61)</f>
        <v>4131.5746500000005</v>
      </c>
      <c r="E199" s="330">
        <f>SUM('Output - Jobs vs Yr (BAU)'!E58:E61)</f>
        <v>3792.8877512655645</v>
      </c>
      <c r="F199" s="330">
        <f>SUM('Output - Jobs vs Yr (BAU)'!F58:F61)</f>
        <v>3836.6342401914003</v>
      </c>
      <c r="G199" s="330">
        <f>SUM('Output - Jobs vs Yr (BAU)'!G58:G61)</f>
        <v>3698.6978841373489</v>
      </c>
      <c r="H199" s="286">
        <f>SUM('Output - Jobs vs Yr (BAU)'!H58:H61)</f>
        <v>3705.8101986020238</v>
      </c>
      <c r="I199" s="118">
        <f>SUM('Output - Jobs vs Yr (BAU)'!I58:I61)</f>
        <v>3813.1199777083798</v>
      </c>
      <c r="J199" s="118">
        <f>SUM('Output - Jobs vs Yr (BAU)'!J58:J61)</f>
        <v>3851.3537272736135</v>
      </c>
      <c r="K199" s="118">
        <f>SUM('Output - Jobs vs Yr (BAU)'!K58:K61)</f>
        <v>3791.4534325344457</v>
      </c>
      <c r="L199" s="118">
        <f>SUM('Output - Jobs vs Yr (BAU)'!L58:L61)</f>
        <v>3669.6718722144465</v>
      </c>
      <c r="M199" s="118">
        <f>SUM('Output - Jobs vs Yr (BAU)'!M58:M61)</f>
        <v>3547.0126714944458</v>
      </c>
      <c r="N199" s="177">
        <f>SUM('Output - Jobs vs Yr (BAU)'!N58:N61)</f>
        <v>3473.7952503349557</v>
      </c>
      <c r="O199" s="118">
        <f>SUM('Output - Jobs vs Yr (BAU)'!O58:O61)</f>
        <v>3473.8748870494978</v>
      </c>
      <c r="P199" s="118">
        <f>SUM('Output - Jobs vs Yr (BAU)'!P58:P61)</f>
        <v>3473.8747812094971</v>
      </c>
      <c r="Q199" s="118">
        <f>SUM('Output - Jobs vs Yr (BAU)'!Q58:Q61)</f>
        <v>3474.1533574563905</v>
      </c>
      <c r="R199" s="118">
        <f>SUM('Output - Jobs vs Yr (BAU)'!R58:R61)</f>
        <v>3474.1534632963912</v>
      </c>
      <c r="S199" s="118">
        <f>SUM('Output - Jobs vs Yr (BAU)'!S58:S61)</f>
        <v>3474.1533574563905</v>
      </c>
      <c r="T199" s="118">
        <f>SUM('Output - Jobs vs Yr (BAU)'!T58:T61)</f>
        <v>3474.1534632963912</v>
      </c>
      <c r="U199" s="118">
        <f>SUM('Output - Jobs vs Yr (BAU)'!U58:U61)</f>
        <v>3474.1533574563905</v>
      </c>
      <c r="V199" s="118">
        <f>SUM('Output - Jobs vs Yr (BAU)'!V58:V61)</f>
        <v>3474.1980128574878</v>
      </c>
      <c r="W199" s="118">
        <f>SUM('Output - Jobs vs Yr (BAU)'!W58:W61)</f>
        <v>3474.1981186974886</v>
      </c>
      <c r="X199" s="184">
        <f>SUM('Output - Jobs vs Yr (BAU)'!X58:X61)</f>
        <v>3474.2271795140632</v>
      </c>
      <c r="Y199" s="271">
        <f>SUM('Output - Jobs vs Yr (BAU)'!Y58:Y61)</f>
        <v>3474.3131749280565</v>
      </c>
      <c r="Z199" s="271">
        <f>SUM('Output - Jobs vs Yr (BAU)'!Z58:Z61)</f>
        <v>3474.3883187055494</v>
      </c>
      <c r="AA199" s="271">
        <f>SUM('Output - Jobs vs Yr (BAU)'!AA58:AA61)</f>
        <v>3474.3882128655487</v>
      </c>
      <c r="AB199" s="271">
        <f>SUM('Output - Jobs vs Yr (BAU)'!AB58:AB61)</f>
        <v>3474.4908854822106</v>
      </c>
      <c r="AC199" s="271">
        <f>SUM('Output - Jobs vs Yr (BAU)'!AC58:AC61)</f>
        <v>3474.5821334643806</v>
      </c>
      <c r="AD199" s="271">
        <f>SUM('Output - Jobs vs Yr (BAU)'!AD58:AD61)</f>
        <v>3474.6194323608834</v>
      </c>
      <c r="AE199" s="271">
        <f>SUM('Output - Jobs vs Yr (BAU)'!AE58:AE61)</f>
        <v>3474.6194323608834</v>
      </c>
      <c r="AF199" s="271">
        <f>SUM('Output - Jobs vs Yr (BAU)'!AF58:AF61)</f>
        <v>3474.6194323608834</v>
      </c>
      <c r="AG199" s="271">
        <f>SUM('Output - Jobs vs Yr (BAU)'!AG58:AG61)</f>
        <v>3474.6194323608834</v>
      </c>
      <c r="AH199" s="184">
        <f>SUM('Output - Jobs vs Yr (BAU)'!AH58:AH61)</f>
        <v>3474.6195382008841</v>
      </c>
    </row>
    <row r="200" spans="1:34">
      <c r="A200" t="s">
        <v>393</v>
      </c>
      <c r="C200" s="331">
        <f>SUM(C201:C202)</f>
        <v>5376.5249999999996</v>
      </c>
      <c r="D200" s="331">
        <f t="shared" ref="D200:AH200" si="114">SUM(D201:D202)</f>
        <v>6545.8799999999992</v>
      </c>
      <c r="E200" s="331">
        <f t="shared" si="114"/>
        <v>6786.9836044409012</v>
      </c>
      <c r="F200" s="331">
        <f t="shared" si="114"/>
        <v>8706.7362422874485</v>
      </c>
      <c r="G200" s="331">
        <f t="shared" si="114"/>
        <v>7547.7209275628438</v>
      </c>
      <c r="H200" s="402">
        <f t="shared" si="114"/>
        <v>7318.3329200690368</v>
      </c>
      <c r="I200" s="14">
        <f t="shared" si="114"/>
        <v>7885.2451145253608</v>
      </c>
      <c r="J200" s="14">
        <f t="shared" si="114"/>
        <v>8803.0630684857406</v>
      </c>
      <c r="K200" s="14">
        <f t="shared" si="114"/>
        <v>9029.2258316011867</v>
      </c>
      <c r="L200" s="14">
        <f t="shared" si="114"/>
        <v>9227.3316447351644</v>
      </c>
      <c r="M200" s="14">
        <f t="shared" si="114"/>
        <v>9361.2404267149232</v>
      </c>
      <c r="N200" s="187">
        <f t="shared" si="114"/>
        <v>9433.6058440143643</v>
      </c>
      <c r="O200" s="14">
        <f t="shared" si="114"/>
        <v>9297.5632601199741</v>
      </c>
      <c r="P200" s="14">
        <f t="shared" si="114"/>
        <v>9409.981228482302</v>
      </c>
      <c r="Q200" s="14">
        <f t="shared" si="114"/>
        <v>9717.47183138933</v>
      </c>
      <c r="R200" s="14">
        <f t="shared" si="114"/>
        <v>9687.3946313853648</v>
      </c>
      <c r="S200" s="15">
        <f t="shared" si="114"/>
        <v>9694.6011630437679</v>
      </c>
      <c r="T200" s="14">
        <f t="shared" si="114"/>
        <v>10137.017171977219</v>
      </c>
      <c r="U200" s="14">
        <f t="shared" si="114"/>
        <v>10287.986594006794</v>
      </c>
      <c r="V200" s="14">
        <f t="shared" si="114"/>
        <v>10233.595011823281</v>
      </c>
      <c r="W200" s="14">
        <f t="shared" si="114"/>
        <v>10349.068500217418</v>
      </c>
      <c r="X200" s="187">
        <f t="shared" si="114"/>
        <v>10266.808955094089</v>
      </c>
      <c r="Y200" s="158">
        <f t="shared" si="114"/>
        <v>10752.029291680123</v>
      </c>
      <c r="Z200" s="158">
        <f t="shared" si="114"/>
        <v>11193.394365288601</v>
      </c>
      <c r="AA200" s="158">
        <f t="shared" si="114"/>
        <v>11683.037780627994</v>
      </c>
      <c r="AB200" s="158">
        <f t="shared" si="114"/>
        <v>12057.113664405018</v>
      </c>
      <c r="AC200" s="158">
        <f t="shared" si="114"/>
        <v>12343.186524111323</v>
      </c>
      <c r="AD200" s="158">
        <f t="shared" si="114"/>
        <v>12671.974798563522</v>
      </c>
      <c r="AE200" s="158">
        <f t="shared" si="114"/>
        <v>12922.658041582223</v>
      </c>
      <c r="AF200" s="158">
        <f t="shared" si="114"/>
        <v>13095.822083347837</v>
      </c>
      <c r="AG200" s="158">
        <f t="shared" si="114"/>
        <v>13108.941663414316</v>
      </c>
      <c r="AH200" s="187">
        <f t="shared" si="114"/>
        <v>13203.608732194332</v>
      </c>
    </row>
    <row r="201" spans="1:34">
      <c r="A201" t="s">
        <v>394</v>
      </c>
      <c r="C201" s="330">
        <f>SUM('Output - Jobs vs Yr (BAU)'!C53:C54)</f>
        <v>2829.75</v>
      </c>
      <c r="D201" s="330">
        <f>SUM('Output - Jobs vs Yr (BAU)'!D53:D54)</f>
        <v>3445.2</v>
      </c>
      <c r="E201" s="330">
        <f>SUM('Output - Jobs vs Yr (BAU)'!E53:E54)</f>
        <v>3572.0966339162637</v>
      </c>
      <c r="F201" s="330">
        <f>SUM('Output - Jobs vs Yr (BAU)'!F53:F54)</f>
        <v>4582.4927590986572</v>
      </c>
      <c r="G201" s="330">
        <f>SUM('Output - Jobs vs Yr (BAU)'!G53:G54)</f>
        <v>3972.4846987172859</v>
      </c>
      <c r="H201" s="286">
        <f>SUM('Output - Jobs vs Yr (BAU)'!H53:H54)</f>
        <v>3851.754168457388</v>
      </c>
      <c r="I201" s="118">
        <f>SUM('Output - Jobs vs Yr (BAU)'!I53:I54)</f>
        <v>4150.1290076449268</v>
      </c>
      <c r="J201" s="118">
        <f>SUM('Output - Jobs vs Yr (BAU)'!J53:J54)</f>
        <v>4633.1910886767055</v>
      </c>
      <c r="K201" s="118">
        <f>SUM('Output - Jobs vs Yr (BAU)'!K53:K54)</f>
        <v>4752.2241218953604</v>
      </c>
      <c r="L201" s="118">
        <f>SUM('Output - Jobs vs Yr (BAU)'!L53:L54)</f>
        <v>4856.4903393342975</v>
      </c>
      <c r="M201" s="118">
        <f>SUM('Output - Jobs vs Yr (BAU)'!M53:M54)</f>
        <v>4926.9686456394329</v>
      </c>
      <c r="N201" s="177">
        <f>SUM('Output - Jobs vs Yr (BAU)'!N53:N54)</f>
        <v>4965.055707375981</v>
      </c>
      <c r="O201" s="118">
        <f>SUM('Output - Jobs vs Yr (BAU)'!O53:O54)</f>
        <v>4893.4543474315651</v>
      </c>
      <c r="P201" s="118">
        <f>SUM('Output - Jobs vs Yr (BAU)'!P53:P54)</f>
        <v>4952.6216992012123</v>
      </c>
      <c r="Q201" s="118">
        <f>SUM('Output - Jobs vs Yr (BAU)'!Q53:Q54)</f>
        <v>5114.4588586259633</v>
      </c>
      <c r="R201" s="118">
        <f>SUM('Output - Jobs vs Yr (BAU)'!R53:R54)</f>
        <v>5098.6287533607183</v>
      </c>
      <c r="S201" s="118">
        <f>SUM('Output - Jobs vs Yr (BAU)'!S53:S54)</f>
        <v>5102.4216647598778</v>
      </c>
      <c r="T201" s="118">
        <f>SUM('Output - Jobs vs Yr (BAU)'!T53:T54)</f>
        <v>5335.2721957774829</v>
      </c>
      <c r="U201" s="118">
        <f>SUM('Output - Jobs vs Yr (BAU)'!U53:U54)</f>
        <v>5414.7297863193653</v>
      </c>
      <c r="V201" s="118">
        <f>SUM('Output - Jobs vs Yr (BAU)'!V53:V54)</f>
        <v>5386.1026378017268</v>
      </c>
      <c r="W201" s="118">
        <f>SUM('Output - Jobs vs Yr (BAU)'!W53:W54)</f>
        <v>5446.8781580091681</v>
      </c>
      <c r="X201" s="184">
        <f>SUM('Output - Jobs vs Yr (BAU)'!X53:X54)</f>
        <v>5403.5836605758368</v>
      </c>
      <c r="Y201" s="271">
        <f>SUM('Output - Jobs vs Yr (BAU)'!Y53:Y54)</f>
        <v>5658.9627850948009</v>
      </c>
      <c r="Z201" s="271">
        <f>SUM('Output - Jobs vs Yr (BAU)'!Z53:Z54)</f>
        <v>5891.2601922571585</v>
      </c>
      <c r="AA201" s="271">
        <f>SUM('Output - Jobs vs Yr (BAU)'!AA53:AA54)</f>
        <v>6148.9672529621021</v>
      </c>
      <c r="AB201" s="271">
        <f>SUM('Output - Jobs vs Yr (BAU)'!AB53:AB54)</f>
        <v>6345.8492970552725</v>
      </c>
      <c r="AC201" s="271">
        <f>SUM('Output - Jobs vs Yr (BAU)'!AC53:AC54)</f>
        <v>6496.4139600585913</v>
      </c>
      <c r="AD201" s="271">
        <f>SUM('Output - Jobs vs Yr (BAU)'!AD53:AD54)</f>
        <v>6669.4604202965911</v>
      </c>
      <c r="AE201" s="271">
        <f>SUM('Output - Jobs vs Yr (BAU)'!AE53:AE54)</f>
        <v>6801.3989692538016</v>
      </c>
      <c r="AF201" s="271">
        <f>SUM('Output - Jobs vs Yr (BAU)'!AF53:AF54)</f>
        <v>6892.537938604125</v>
      </c>
      <c r="AG201" s="271">
        <f>SUM('Output - Jobs vs Yr (BAU)'!AG53:AG54)</f>
        <v>6899.4429807443767</v>
      </c>
      <c r="AH201" s="184">
        <f>SUM('Output - Jobs vs Yr (BAU)'!AH53:AH54)</f>
        <v>6949.2677537864902</v>
      </c>
    </row>
    <row r="202" spans="1:34">
      <c r="A202" t="s">
        <v>395</v>
      </c>
      <c r="C202" s="330">
        <f>SUM('Output - Jobs vs Yr (BAU)'!C71:C72)</f>
        <v>2546.7750000000001</v>
      </c>
      <c r="D202" s="330">
        <f>SUM('Output - Jobs vs Yr (BAU)'!D71:D72)</f>
        <v>3100.68</v>
      </c>
      <c r="E202" s="330">
        <f>SUM('Output - Jobs vs Yr (BAU)'!E71:E72)</f>
        <v>3214.8869705246375</v>
      </c>
      <c r="F202" s="330">
        <f>SUM('Output - Jobs vs Yr (BAU)'!F71:F72)</f>
        <v>4124.2434831887913</v>
      </c>
      <c r="G202" s="330">
        <f>SUM('Output - Jobs vs Yr (BAU)'!G71:G72)</f>
        <v>3575.2362288455579</v>
      </c>
      <c r="H202" s="286">
        <f>SUM('Output - Jobs vs Yr (BAU)'!H71:H72)</f>
        <v>3466.5787516116493</v>
      </c>
      <c r="I202" s="118">
        <f>SUM('Output - Jobs vs Yr (BAU)'!I71:I72)</f>
        <v>3735.116106880434</v>
      </c>
      <c r="J202" s="118">
        <f>SUM('Output - Jobs vs Yr (BAU)'!J71:J72)</f>
        <v>4169.8719798090351</v>
      </c>
      <c r="K202" s="118">
        <f>SUM('Output - Jobs vs Yr (BAU)'!K71:K72)</f>
        <v>4277.0017097058253</v>
      </c>
      <c r="L202" s="118">
        <f>SUM('Output - Jobs vs Yr (BAU)'!L71:L72)</f>
        <v>4370.8413054008679</v>
      </c>
      <c r="M202" s="118">
        <f>SUM('Output - Jobs vs Yr (BAU)'!M71:M72)</f>
        <v>4434.2717810754903</v>
      </c>
      <c r="N202" s="177">
        <f>SUM('Output - Jobs vs Yr (BAU)'!N71:N72)</f>
        <v>4468.5501366383833</v>
      </c>
      <c r="O202" s="118">
        <f>SUM('Output - Jobs vs Yr (BAU)'!O71:O72)</f>
        <v>4404.108912688409</v>
      </c>
      <c r="P202" s="118">
        <f>SUM('Output - Jobs vs Yr (BAU)'!P71:P72)</f>
        <v>4457.3595292810905</v>
      </c>
      <c r="Q202" s="118">
        <f>SUM('Output - Jobs vs Yr (BAU)'!Q71:Q72)</f>
        <v>4603.0129727633666</v>
      </c>
      <c r="R202" s="118">
        <f>SUM('Output - Jobs vs Yr (BAU)'!R71:R72)</f>
        <v>4588.7658780246466</v>
      </c>
      <c r="S202" s="118">
        <f>SUM('Output - Jobs vs Yr (BAU)'!S71:S72)</f>
        <v>4592.1794982838901</v>
      </c>
      <c r="T202" s="118">
        <f>SUM('Output - Jobs vs Yr (BAU)'!T71:T72)</f>
        <v>4801.744976199735</v>
      </c>
      <c r="U202" s="118">
        <f>SUM('Output - Jobs vs Yr (BAU)'!U71:U72)</f>
        <v>4873.2568076874295</v>
      </c>
      <c r="V202" s="118">
        <f>SUM('Output - Jobs vs Yr (BAU)'!V71:V72)</f>
        <v>4847.4923740215545</v>
      </c>
      <c r="W202" s="118">
        <f>SUM('Output - Jobs vs Yr (BAU)'!W71:W72)</f>
        <v>4902.1903422082505</v>
      </c>
      <c r="X202" s="184">
        <f>SUM('Output - Jobs vs Yr (BAU)'!X71:X72)</f>
        <v>4863.2252945182536</v>
      </c>
      <c r="Y202" s="271">
        <f>SUM('Output - Jobs vs Yr (BAU)'!Y71:Y72)</f>
        <v>5093.0665065853209</v>
      </c>
      <c r="Z202" s="271">
        <f>SUM('Output - Jobs vs Yr (BAU)'!Z71:Z72)</f>
        <v>5302.1341730314425</v>
      </c>
      <c r="AA202" s="271">
        <f>SUM('Output - Jobs vs Yr (BAU)'!AA71:AA72)</f>
        <v>5534.0705276658919</v>
      </c>
      <c r="AB202" s="271">
        <f>SUM('Output - Jobs vs Yr (BAU)'!AB71:AB72)</f>
        <v>5711.264367349746</v>
      </c>
      <c r="AC202" s="271">
        <f>SUM('Output - Jobs vs Yr (BAU)'!AC71:AC72)</f>
        <v>5846.7725640527324</v>
      </c>
      <c r="AD202" s="271">
        <f>SUM('Output - Jobs vs Yr (BAU)'!AD71:AD72)</f>
        <v>6002.5143782669311</v>
      </c>
      <c r="AE202" s="271">
        <f>SUM('Output - Jobs vs Yr (BAU)'!AE71:AE72)</f>
        <v>6121.2590723284211</v>
      </c>
      <c r="AF202" s="271">
        <f>SUM('Output - Jobs vs Yr (BAU)'!AF71:AF72)</f>
        <v>6203.2841447437131</v>
      </c>
      <c r="AG202" s="271">
        <f>SUM('Output - Jobs vs Yr (BAU)'!AG71:AG72)</f>
        <v>6209.4986826699396</v>
      </c>
      <c r="AH202" s="184">
        <f>SUM('Output - Jobs vs Yr (BAU)'!AH71:AH72)</f>
        <v>6254.3409784078422</v>
      </c>
    </row>
    <row r="203" spans="1:34">
      <c r="A203" s="1" t="s">
        <v>424</v>
      </c>
      <c r="C203" s="331">
        <f>SUM(C191,C194,C197,C200)</f>
        <v>14787.303280000002</v>
      </c>
      <c r="D203" s="331">
        <f t="shared" ref="D203:AH203" si="115">SUM(D191,D194,D197,D200)</f>
        <v>15504.85728</v>
      </c>
      <c r="E203" s="331">
        <f t="shared" si="115"/>
        <v>15191.327445378411</v>
      </c>
      <c r="F203" s="331">
        <f t="shared" si="115"/>
        <v>17249.136959059262</v>
      </c>
      <c r="G203" s="331">
        <f t="shared" si="115"/>
        <v>15890.439779923625</v>
      </c>
      <c r="H203" s="402">
        <f t="shared" si="115"/>
        <v>17782.232102173053</v>
      </c>
      <c r="I203" s="14">
        <f t="shared" si="115"/>
        <v>19128.184919608066</v>
      </c>
      <c r="J203" s="14">
        <f t="shared" si="115"/>
        <v>20661.034913535485</v>
      </c>
      <c r="K203" s="14">
        <f t="shared" si="115"/>
        <v>21080.105190297807</v>
      </c>
      <c r="L203" s="14">
        <f t="shared" si="115"/>
        <v>21257.024157391119</v>
      </c>
      <c r="M203" s="132">
        <f t="shared" si="115"/>
        <v>21222.865990286897</v>
      </c>
      <c r="N203" s="193">
        <f t="shared" si="115"/>
        <v>21237.107892434771</v>
      </c>
      <c r="O203" s="14">
        <f t="shared" si="115"/>
        <v>21175.97414998469</v>
      </c>
      <c r="P203" s="14">
        <f t="shared" si="115"/>
        <v>21425.474094686513</v>
      </c>
      <c r="Q203" s="14">
        <f t="shared" si="115"/>
        <v>21924.611528559581</v>
      </c>
      <c r="R203" s="14">
        <f t="shared" si="115"/>
        <v>22004.445410922308</v>
      </c>
      <c r="S203" s="14">
        <f t="shared" si="115"/>
        <v>22127.272306987383</v>
      </c>
      <c r="T203" s="14">
        <f t="shared" si="115"/>
        <v>22808.030788040229</v>
      </c>
      <c r="U203" s="14">
        <f t="shared" si="115"/>
        <v>23119.834660716766</v>
      </c>
      <c r="V203" s="14">
        <f t="shared" si="115"/>
        <v>23168.636362234502</v>
      </c>
      <c r="W203" s="14">
        <f t="shared" si="115"/>
        <v>23663.822729490676</v>
      </c>
      <c r="X203" s="187">
        <f t="shared" si="115"/>
        <v>23722.837914813535</v>
      </c>
      <c r="Y203" s="158">
        <f t="shared" si="115"/>
        <v>24536.765989949748</v>
      </c>
      <c r="Z203" s="158">
        <f t="shared" si="115"/>
        <v>25300.918504711335</v>
      </c>
      <c r="AA203" s="158">
        <f t="shared" si="115"/>
        <v>26138.844157136184</v>
      </c>
      <c r="AB203" s="158">
        <f t="shared" si="115"/>
        <v>26842.867460733753</v>
      </c>
      <c r="AC203" s="158">
        <f t="shared" si="115"/>
        <v>27421.990709192924</v>
      </c>
      <c r="AD203" s="158">
        <f t="shared" si="115"/>
        <v>28065.886514304559</v>
      </c>
      <c r="AE203" s="158">
        <f t="shared" si="115"/>
        <v>28608.903542935113</v>
      </c>
      <c r="AF203" s="158">
        <f t="shared" si="115"/>
        <v>29049.051511383201</v>
      </c>
      <c r="AG203" s="158">
        <f t="shared" si="115"/>
        <v>29269.050005316472</v>
      </c>
      <c r="AH203" s="187">
        <f t="shared" si="115"/>
        <v>29606.329061115532</v>
      </c>
    </row>
    <row r="204" spans="1:34">
      <c r="A204" s="1" t="s">
        <v>447</v>
      </c>
      <c r="C204" s="331"/>
      <c r="D204" s="331">
        <f>D194+D197</f>
        <v>8958.977280000001</v>
      </c>
      <c r="E204" s="331">
        <f t="shared" ref="E204:AH204" si="116">E194+E197</f>
        <v>8404.3438409375103</v>
      </c>
      <c r="F204" s="331">
        <f t="shared" si="116"/>
        <v>8542.4007167718137</v>
      </c>
      <c r="G204" s="331">
        <f t="shared" si="116"/>
        <v>8342.718852360782</v>
      </c>
      <c r="H204" s="402">
        <f t="shared" si="116"/>
        <v>10463.899182104018</v>
      </c>
      <c r="I204" s="14">
        <f t="shared" si="116"/>
        <v>11242.939805082704</v>
      </c>
      <c r="J204" s="14">
        <f t="shared" si="116"/>
        <v>11857.971845049744</v>
      </c>
      <c r="K204" s="14">
        <f t="shared" si="116"/>
        <v>12050.879358696622</v>
      </c>
      <c r="L204" s="14">
        <f t="shared" si="116"/>
        <v>12029.692512655954</v>
      </c>
      <c r="M204" s="14">
        <f t="shared" si="116"/>
        <v>11861.625563571975</v>
      </c>
      <c r="N204" s="187">
        <f t="shared" si="116"/>
        <v>11803.502048420407</v>
      </c>
      <c r="O204" s="14">
        <f t="shared" si="116"/>
        <v>11878.410889864716</v>
      </c>
      <c r="P204" s="14">
        <f t="shared" si="116"/>
        <v>12015.492866204209</v>
      </c>
      <c r="Q204" s="14">
        <f t="shared" si="116"/>
        <v>12207.139697170249</v>
      </c>
      <c r="R204" s="14">
        <f t="shared" si="116"/>
        <v>12317.050779536945</v>
      </c>
      <c r="S204" s="14">
        <f t="shared" si="116"/>
        <v>12432.671143943617</v>
      </c>
      <c r="T204" s="14">
        <f t="shared" si="116"/>
        <v>12671.01361606301</v>
      </c>
      <c r="U204" s="14">
        <f t="shared" si="116"/>
        <v>12831.848066709972</v>
      </c>
      <c r="V204" s="14">
        <f t="shared" si="116"/>
        <v>12935.041350411222</v>
      </c>
      <c r="W204" s="14">
        <f t="shared" si="116"/>
        <v>13314.754229273256</v>
      </c>
      <c r="X204" s="187">
        <f t="shared" si="116"/>
        <v>13456.028959719446</v>
      </c>
      <c r="Y204" s="158">
        <f t="shared" si="116"/>
        <v>13784.736698269626</v>
      </c>
      <c r="Z204" s="158">
        <f t="shared" si="116"/>
        <v>14107.524139422736</v>
      </c>
      <c r="AA204" s="158">
        <f t="shared" si="116"/>
        <v>14455.806376508188</v>
      </c>
      <c r="AB204" s="158">
        <f t="shared" si="116"/>
        <v>14785.753796328736</v>
      </c>
      <c r="AC204" s="158">
        <f t="shared" si="116"/>
        <v>15078.804185081601</v>
      </c>
      <c r="AD204" s="158">
        <f t="shared" si="116"/>
        <v>15393.911715741036</v>
      </c>
      <c r="AE204" s="158">
        <f t="shared" si="116"/>
        <v>15686.245501352892</v>
      </c>
      <c r="AF204" s="158">
        <f t="shared" si="116"/>
        <v>15953.229428035364</v>
      </c>
      <c r="AG204" s="158">
        <f t="shared" si="116"/>
        <v>16160.108341902154</v>
      </c>
      <c r="AH204" s="187">
        <f t="shared" si="116"/>
        <v>16402.720328921198</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452</v>
      </c>
      <c r="C206" s="331"/>
      <c r="D206" s="331">
        <f>D194</f>
        <v>236.76412999999999</v>
      </c>
      <c r="E206" s="331">
        <f>D206+E194</f>
        <v>633.90049604354112</v>
      </c>
      <c r="F206" s="331">
        <f>E206+F194</f>
        <v>1076.740039077954</v>
      </c>
      <c r="G206" s="331">
        <f>F206+G194</f>
        <v>1611.0966915932206</v>
      </c>
      <c r="H206" s="402">
        <f t="shared" ref="H206:X206" si="117">G206+H194</f>
        <v>4251.6187877596331</v>
      </c>
      <c r="I206" s="14">
        <f t="shared" si="117"/>
        <v>7444.6386399024241</v>
      </c>
      <c r="J206" s="14">
        <f t="shared" si="117"/>
        <v>11171.97483848565</v>
      </c>
      <c r="K206" s="14">
        <f t="shared" si="117"/>
        <v>15218.674728498441</v>
      </c>
      <c r="L206" s="14">
        <f t="shared" si="117"/>
        <v>19501.282177590565</v>
      </c>
      <c r="M206" s="14">
        <f t="shared" si="117"/>
        <v>23874.76987911871</v>
      </c>
      <c r="N206" s="187">
        <f t="shared" si="117"/>
        <v>28344.70417683199</v>
      </c>
      <c r="O206" s="14">
        <f t="shared" si="117"/>
        <v>32889.379194036657</v>
      </c>
      <c r="P206" s="14">
        <f t="shared" si="117"/>
        <v>37571.136411020816</v>
      </c>
      <c r="Q206" s="14">
        <f t="shared" si="117"/>
        <v>42443.952353560911</v>
      </c>
      <c r="R206" s="14">
        <f t="shared" si="117"/>
        <v>47426.679155027698</v>
      </c>
      <c r="S206" s="14">
        <f t="shared" si="117"/>
        <v>52525.026544341155</v>
      </c>
      <c r="T206" s="14">
        <f t="shared" si="117"/>
        <v>57861.716182334007</v>
      </c>
      <c r="U206" s="14">
        <f t="shared" si="117"/>
        <v>63359.240494413825</v>
      </c>
      <c r="V206" s="14">
        <f t="shared" si="117"/>
        <v>68959.863817681457</v>
      </c>
      <c r="W206" s="14">
        <f t="shared" si="117"/>
        <v>74940.199796371133</v>
      </c>
      <c r="X206" s="187">
        <f t="shared" si="117"/>
        <v>81061.74915489422</v>
      </c>
      <c r="Y206" s="158">
        <f t="shared" ref="Y206:AH206" si="118">X206+Y194</f>
        <v>87511.82470609351</v>
      </c>
      <c r="Z206" s="158">
        <f t="shared" si="118"/>
        <v>94284.529061582303</v>
      </c>
      <c r="AA206" s="158">
        <f t="shared" si="118"/>
        <v>101405.51587759655</v>
      </c>
      <c r="AB206" s="158">
        <f t="shared" si="118"/>
        <v>108856.23336012951</v>
      </c>
      <c r="AC206" s="158">
        <f t="shared" si="118"/>
        <v>116599.80859678632</v>
      </c>
      <c r="AD206" s="158">
        <f t="shared" si="118"/>
        <v>124658.41262198771</v>
      </c>
      <c r="AE206" s="158">
        <f t="shared" si="118"/>
        <v>133009.35043280094</v>
      </c>
      <c r="AF206" s="158">
        <f t="shared" si="118"/>
        <v>141627.27217029667</v>
      </c>
      <c r="AG206" s="158">
        <f t="shared" si="118"/>
        <v>150452.07282165918</v>
      </c>
      <c r="AH206" s="187">
        <f t="shared" si="118"/>
        <v>159519.48523660074</v>
      </c>
    </row>
    <row r="207" spans="1:34">
      <c r="A207" s="1" t="s">
        <v>455</v>
      </c>
      <c r="C207" s="331"/>
      <c r="D207" s="331">
        <f>D200</f>
        <v>6545.8799999999992</v>
      </c>
      <c r="E207" s="331">
        <f>D207+E200</f>
        <v>13332.8636044409</v>
      </c>
      <c r="F207" s="331">
        <f>E207+F200</f>
        <v>22039.59984672835</v>
      </c>
      <c r="G207" s="331">
        <f t="shared" ref="G207:X207" si="119">F207+G200</f>
        <v>29587.320774291195</v>
      </c>
      <c r="H207" s="402">
        <f t="shared" si="119"/>
        <v>36905.653694360233</v>
      </c>
      <c r="I207" s="14">
        <f t="shared" si="119"/>
        <v>44790.898808885591</v>
      </c>
      <c r="J207" s="14">
        <f t="shared" si="119"/>
        <v>53593.96187737133</v>
      </c>
      <c r="K207" s="14">
        <f t="shared" si="119"/>
        <v>62623.187708972517</v>
      </c>
      <c r="L207" s="14">
        <f t="shared" si="119"/>
        <v>71850.519353707685</v>
      </c>
      <c r="M207" s="14">
        <f t="shared" si="119"/>
        <v>81211.75978042261</v>
      </c>
      <c r="N207" s="187">
        <f t="shared" si="119"/>
        <v>90645.365624436978</v>
      </c>
      <c r="O207" s="14">
        <f t="shared" si="119"/>
        <v>99942.928884556954</v>
      </c>
      <c r="P207" s="14">
        <f t="shared" si="119"/>
        <v>109352.91011303925</v>
      </c>
      <c r="Q207" s="14">
        <f t="shared" si="119"/>
        <v>119070.38194442858</v>
      </c>
      <c r="R207" s="14">
        <f t="shared" si="119"/>
        <v>128757.77657581394</v>
      </c>
      <c r="S207" s="14">
        <f t="shared" si="119"/>
        <v>138452.3777388577</v>
      </c>
      <c r="T207" s="14">
        <f t="shared" si="119"/>
        <v>148589.3949108349</v>
      </c>
      <c r="U207" s="14">
        <f t="shared" si="119"/>
        <v>158877.3815048417</v>
      </c>
      <c r="V207" s="14">
        <f t="shared" si="119"/>
        <v>169110.97651666499</v>
      </c>
      <c r="W207" s="14">
        <f t="shared" si="119"/>
        <v>179460.04501688242</v>
      </c>
      <c r="X207" s="187">
        <f t="shared" si="119"/>
        <v>189726.8539719765</v>
      </c>
      <c r="Y207" s="158">
        <f t="shared" ref="Y207:AH207" si="120">X207+Y200</f>
        <v>200478.88326365661</v>
      </c>
      <c r="Z207" s="158">
        <f t="shared" si="120"/>
        <v>211672.27762894522</v>
      </c>
      <c r="AA207" s="158">
        <f t="shared" si="120"/>
        <v>223355.3154095732</v>
      </c>
      <c r="AB207" s="158">
        <f t="shared" si="120"/>
        <v>235412.42907397822</v>
      </c>
      <c r="AC207" s="158">
        <f t="shared" si="120"/>
        <v>247755.61559808953</v>
      </c>
      <c r="AD207" s="158">
        <f t="shared" si="120"/>
        <v>260427.59039665305</v>
      </c>
      <c r="AE207" s="158">
        <f t="shared" si="120"/>
        <v>273350.24843823526</v>
      </c>
      <c r="AF207" s="158">
        <f t="shared" si="120"/>
        <v>286446.07052158308</v>
      </c>
      <c r="AG207" s="158">
        <f t="shared" si="120"/>
        <v>299555.01218499738</v>
      </c>
      <c r="AH207" s="187">
        <f t="shared" si="120"/>
        <v>312758.62091719173</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411</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408</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409</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410</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396</v>
      </c>
      <c r="B213" s="13"/>
      <c r="C213" s="341">
        <f>SUM(C214:C215)</f>
        <v>270.41286000000002</v>
      </c>
      <c r="D213" s="341">
        <f t="shared" ref="D213:AH213" si="124">SUM(D214:D215)</f>
        <v>333.57649203971641</v>
      </c>
      <c r="E213" s="341">
        <f t="shared" si="124"/>
        <v>439.59557834677037</v>
      </c>
      <c r="F213" s="341">
        <f t="shared" si="124"/>
        <v>577.96681996415111</v>
      </c>
      <c r="G213" s="341">
        <f t="shared" si="124"/>
        <v>623.22758128592591</v>
      </c>
      <c r="H213" s="405">
        <f t="shared" si="124"/>
        <v>2640.5218261664122</v>
      </c>
      <c r="I213" s="15">
        <f t="shared" si="124"/>
        <v>3525.0568447577371</v>
      </c>
      <c r="J213" s="15">
        <f t="shared" si="124"/>
        <v>4769.04086220522</v>
      </c>
      <c r="K213" s="15">
        <f t="shared" si="124"/>
        <v>6090.316951811079</v>
      </c>
      <c r="L213" s="15">
        <f t="shared" si="124"/>
        <v>7727.592570453563</v>
      </c>
      <c r="M213" s="15">
        <f t="shared" si="124"/>
        <v>9780.2565533967736</v>
      </c>
      <c r="N213" s="190">
        <f t="shared" si="124"/>
        <v>12412.963708818428</v>
      </c>
      <c r="O213" s="15">
        <f t="shared" si="124"/>
        <v>12466.340869325153</v>
      </c>
      <c r="P213" s="15">
        <f t="shared" si="124"/>
        <v>12714.954101428886</v>
      </c>
      <c r="Q213" s="15">
        <f t="shared" si="124"/>
        <v>13124.110680575885</v>
      </c>
      <c r="R213" s="15">
        <f t="shared" si="124"/>
        <v>13273.733692062187</v>
      </c>
      <c r="S213" s="15">
        <f t="shared" si="124"/>
        <v>13455.214153509809</v>
      </c>
      <c r="T213" s="15">
        <f t="shared" si="124"/>
        <v>13997.723705013466</v>
      </c>
      <c r="U213" s="15">
        <f t="shared" si="124"/>
        <v>14310.073787547455</v>
      </c>
      <c r="V213" s="15">
        <f t="shared" si="124"/>
        <v>14455.898792424947</v>
      </c>
      <c r="W213" s="15">
        <f t="shared" si="124"/>
        <v>14748.951433402755</v>
      </c>
      <c r="X213" s="190">
        <f t="shared" si="124"/>
        <v>14878.797620281564</v>
      </c>
      <c r="Y213" s="130">
        <f t="shared" si="124"/>
        <v>15485.67954821833</v>
      </c>
      <c r="Z213" s="130">
        <f t="shared" si="124"/>
        <v>16065.198098869019</v>
      </c>
      <c r="AA213" s="130">
        <f t="shared" si="124"/>
        <v>16698.708494095663</v>
      </c>
      <c r="AB213" s="130">
        <f t="shared" si="124"/>
        <v>17249.155372164358</v>
      </c>
      <c r="AC213" s="130">
        <f t="shared" si="124"/>
        <v>17723.976722001345</v>
      </c>
      <c r="AD213" s="130">
        <f t="shared" si="124"/>
        <v>18247.016043801854</v>
      </c>
      <c r="AE213" s="130">
        <f t="shared" si="124"/>
        <v>18707.712589158014</v>
      </c>
      <c r="AF213" s="130">
        <f t="shared" si="124"/>
        <v>19103.931908551946</v>
      </c>
      <c r="AG213" s="130">
        <f t="shared" si="124"/>
        <v>19355.850524139572</v>
      </c>
      <c r="AH213" s="190">
        <f t="shared" si="124"/>
        <v>19690.653636713454</v>
      </c>
    </row>
    <row r="214" spans="1:34">
      <c r="A214" t="s">
        <v>397</v>
      </c>
      <c r="C214" s="331">
        <f>C115</f>
        <v>142.3227</v>
      </c>
      <c r="D214" s="331">
        <f t="shared" ref="D214:AH214" si="125">D115</f>
        <v>175.56675022836524</v>
      </c>
      <c r="E214" s="331">
        <f t="shared" si="125"/>
        <v>231.36629521517588</v>
      </c>
      <c r="F214" s="331">
        <f t="shared" si="125"/>
        <v>304.19333308622043</v>
      </c>
      <c r="G214" s="331">
        <f t="shared" si="125"/>
        <v>328.01480485278699</v>
      </c>
      <c r="H214" s="402">
        <f t="shared" si="125"/>
        <v>1389.7484716665329</v>
      </c>
      <c r="I214" s="14">
        <f t="shared" si="125"/>
        <v>1855.293250632285</v>
      </c>
      <c r="J214" s="14">
        <f t="shared" si="125"/>
        <v>2510.0217230755352</v>
      </c>
      <c r="K214" s="14">
        <f t="shared" si="125"/>
        <v>3205.4302282260724</v>
      </c>
      <c r="L214" s="14">
        <f t="shared" si="125"/>
        <v>4067.1542789288023</v>
      </c>
      <c r="M214" s="14">
        <f t="shared" si="125"/>
        <v>5147.5037897896209</v>
      </c>
      <c r="N214" s="182">
        <f t="shared" si="125"/>
        <v>6533.1391887399086</v>
      </c>
      <c r="O214" s="14">
        <f t="shared" si="125"/>
        <v>6561.2324328088007</v>
      </c>
      <c r="P214" s="14">
        <f t="shared" si="125"/>
        <v>6692.0815102408333</v>
      </c>
      <c r="Q214" s="14">
        <f t="shared" si="125"/>
        <v>6907.4270912205802</v>
      </c>
      <c r="R214" s="14">
        <f t="shared" si="125"/>
        <v>6986.1760493911424</v>
      </c>
      <c r="S214" s="14">
        <f t="shared" si="125"/>
        <v>7081.6920875015057</v>
      </c>
      <c r="T214" s="14">
        <f t="shared" si="125"/>
        <v>7367.2234476452813</v>
      </c>
      <c r="U214" s="14">
        <f t="shared" si="125"/>
        <v>7531.6182378563608</v>
      </c>
      <c r="V214" s="14">
        <f t="shared" si="125"/>
        <v>7608.368245059436</v>
      </c>
      <c r="W214" s="14">
        <f t="shared" si="125"/>
        <v>7762.6064864695591</v>
      </c>
      <c r="X214" s="187">
        <f t="shared" si="125"/>
        <v>7830.9465889548146</v>
      </c>
      <c r="Y214" s="158">
        <f t="shared" si="125"/>
        <v>8150.358149267764</v>
      </c>
      <c r="Z214" s="158">
        <f t="shared" si="125"/>
        <v>8455.3679311918095</v>
      </c>
      <c r="AA214" s="158">
        <f t="shared" si="125"/>
        <v>8788.7944751354589</v>
      </c>
      <c r="AB214" s="158">
        <f t="shared" si="125"/>
        <v>9078.503375828961</v>
      </c>
      <c r="AC214" s="158">
        <f t="shared" si="125"/>
        <v>9328.4093645225912</v>
      </c>
      <c r="AD214" s="158">
        <f t="shared" si="125"/>
        <v>9603.6932347299335</v>
      </c>
      <c r="AE214" s="158">
        <f t="shared" si="125"/>
        <v>9846.1651153530293</v>
      </c>
      <c r="AF214" s="158">
        <f t="shared" si="125"/>
        <v>10054.701611840923</v>
      </c>
      <c r="AG214" s="158">
        <f t="shared" si="125"/>
        <v>10187.290364895875</v>
      </c>
      <c r="AH214" s="187">
        <f t="shared" si="125"/>
        <v>10363.50254005229</v>
      </c>
    </row>
    <row r="215" spans="1:34">
      <c r="A215" t="s">
        <v>398</v>
      </c>
      <c r="C215" s="331">
        <f>C142</f>
        <v>128.09016</v>
      </c>
      <c r="D215" s="331">
        <f t="shared" ref="D215:AH215" si="126">D142</f>
        <v>158.00974181135115</v>
      </c>
      <c r="E215" s="331">
        <f t="shared" si="126"/>
        <v>208.22928313159449</v>
      </c>
      <c r="F215" s="331">
        <f t="shared" si="126"/>
        <v>273.77348687793068</v>
      </c>
      <c r="G215" s="331">
        <f t="shared" si="126"/>
        <v>295.21277643313886</v>
      </c>
      <c r="H215" s="402">
        <f t="shared" si="126"/>
        <v>1250.7733544998794</v>
      </c>
      <c r="I215" s="14">
        <f t="shared" si="126"/>
        <v>1669.7635941254518</v>
      </c>
      <c r="J215" s="14">
        <f t="shared" si="126"/>
        <v>2259.0191391296853</v>
      </c>
      <c r="K215" s="14">
        <f t="shared" si="126"/>
        <v>2884.8867235850066</v>
      </c>
      <c r="L215" s="14">
        <f t="shared" si="126"/>
        <v>3660.4382915247606</v>
      </c>
      <c r="M215" s="14">
        <f t="shared" si="126"/>
        <v>4632.7527636071527</v>
      </c>
      <c r="N215" s="182">
        <f t="shared" si="126"/>
        <v>5879.8245200785204</v>
      </c>
      <c r="O215" s="14">
        <f t="shared" si="126"/>
        <v>5905.1084365163524</v>
      </c>
      <c r="P215" s="14">
        <f t="shared" si="126"/>
        <v>6022.8725911880529</v>
      </c>
      <c r="Q215" s="14">
        <f t="shared" si="126"/>
        <v>6216.6835893553043</v>
      </c>
      <c r="R215" s="14">
        <f t="shared" si="126"/>
        <v>6287.557642671045</v>
      </c>
      <c r="S215" s="14">
        <f t="shared" si="126"/>
        <v>6373.5220660083032</v>
      </c>
      <c r="T215" s="14">
        <f t="shared" si="126"/>
        <v>6630.500257368185</v>
      </c>
      <c r="U215" s="14">
        <f t="shared" si="126"/>
        <v>6778.4555496910934</v>
      </c>
      <c r="V215" s="14">
        <f t="shared" si="126"/>
        <v>6847.5305473655108</v>
      </c>
      <c r="W215" s="14">
        <f t="shared" si="126"/>
        <v>6986.3449469331954</v>
      </c>
      <c r="X215" s="187">
        <f t="shared" si="126"/>
        <v>7047.8510313267498</v>
      </c>
      <c r="Y215" s="158">
        <f t="shared" si="126"/>
        <v>7335.3213989505648</v>
      </c>
      <c r="Z215" s="158">
        <f t="shared" si="126"/>
        <v>7609.8301676772107</v>
      </c>
      <c r="AA215" s="158">
        <f t="shared" si="126"/>
        <v>7909.9140189602031</v>
      </c>
      <c r="AB215" s="158">
        <f t="shared" si="126"/>
        <v>8170.6519963353976</v>
      </c>
      <c r="AC215" s="158">
        <f t="shared" si="126"/>
        <v>8395.5673574787543</v>
      </c>
      <c r="AD215" s="158">
        <f t="shared" si="126"/>
        <v>8643.3228090719203</v>
      </c>
      <c r="AE215" s="158">
        <f t="shared" si="126"/>
        <v>8861.5474738049852</v>
      </c>
      <c r="AF215" s="158">
        <f t="shared" si="126"/>
        <v>9049.2302967110245</v>
      </c>
      <c r="AG215" s="158">
        <f t="shared" si="126"/>
        <v>9168.5601592436979</v>
      </c>
      <c r="AH215" s="187">
        <f t="shared" si="126"/>
        <v>9327.1510966611659</v>
      </c>
    </row>
    <row r="216" spans="1:34">
      <c r="A216" t="s">
        <v>399</v>
      </c>
      <c r="C216" s="331">
        <f>SUM(C217:C218)</f>
        <v>9140.3651500000014</v>
      </c>
      <c r="D216" s="331">
        <f t="shared" ref="D216:AH216" si="127">SUM(D217:D218)</f>
        <v>9402.6810324411254</v>
      </c>
      <c r="E216" s="331">
        <f t="shared" si="127"/>
        <v>8978.2696855747563</v>
      </c>
      <c r="F216" s="331">
        <f t="shared" si="127"/>
        <v>10004.328578314267</v>
      </c>
      <c r="G216" s="331">
        <f t="shared" si="127"/>
        <v>8871.0955288435325</v>
      </c>
      <c r="H216" s="402">
        <f t="shared" si="127"/>
        <v>7823.3770859376064</v>
      </c>
      <c r="I216" s="14">
        <f t="shared" si="127"/>
        <v>8032.9219671654882</v>
      </c>
      <c r="J216" s="14">
        <f t="shared" si="127"/>
        <v>8337.3934177841329</v>
      </c>
      <c r="K216" s="14">
        <f t="shared" si="127"/>
        <v>8147.8308000222005</v>
      </c>
      <c r="L216" s="14">
        <f t="shared" si="127"/>
        <v>7891.8480525657687</v>
      </c>
      <c r="M216" s="14">
        <f t="shared" si="127"/>
        <v>7606.0801214315925</v>
      </c>
      <c r="N216" s="190">
        <f t="shared" si="127"/>
        <v>7333.5677507071305</v>
      </c>
      <c r="O216" s="14">
        <f t="shared" si="127"/>
        <v>7234.2184000196066</v>
      </c>
      <c r="P216" s="14">
        <f t="shared" si="127"/>
        <v>7247.0902475898019</v>
      </c>
      <c r="Q216" s="14">
        <f t="shared" si="127"/>
        <v>7346.8008048570191</v>
      </c>
      <c r="R216" s="14">
        <f t="shared" si="127"/>
        <v>7297.6668272307925</v>
      </c>
      <c r="S216" s="15">
        <f t="shared" si="127"/>
        <v>7264.854596230427</v>
      </c>
      <c r="T216" s="14">
        <f t="shared" si="127"/>
        <v>7422.0131713293304</v>
      </c>
      <c r="U216" s="14">
        <f t="shared" si="127"/>
        <v>7451.0342187400611</v>
      </c>
      <c r="V216" s="14">
        <f t="shared" si="127"/>
        <v>7391.1552975474497</v>
      </c>
      <c r="W216" s="14">
        <f t="shared" si="127"/>
        <v>7404.6212585815192</v>
      </c>
      <c r="X216" s="187">
        <f t="shared" si="127"/>
        <v>7334.4189330048421</v>
      </c>
      <c r="Y216" s="158">
        <f t="shared" si="127"/>
        <v>7432.4693678717213</v>
      </c>
      <c r="Z216" s="158">
        <f t="shared" si="127"/>
        <v>7505.4824558423279</v>
      </c>
      <c r="AA216" s="158">
        <f t="shared" si="127"/>
        <v>7591.8202020397621</v>
      </c>
      <c r="AB216" s="158">
        <f t="shared" si="127"/>
        <v>7629.1850811072336</v>
      </c>
      <c r="AC216" s="158">
        <f t="shared" si="127"/>
        <v>7624.1476712406456</v>
      </c>
      <c r="AD216" s="158">
        <f t="shared" si="127"/>
        <v>7631.498742118416</v>
      </c>
      <c r="AE216" s="158">
        <f t="shared" si="127"/>
        <v>7604.8358732725919</v>
      </c>
      <c r="AF216" s="158">
        <f t="shared" si="127"/>
        <v>7545.7328989511825</v>
      </c>
      <c r="AG216" s="158">
        <f t="shared" si="127"/>
        <v>7425.9755256820827</v>
      </c>
      <c r="AH216" s="187">
        <f t="shared" si="127"/>
        <v>7335.1921220817085</v>
      </c>
    </row>
    <row r="217" spans="1:34">
      <c r="A217" t="s">
        <v>400</v>
      </c>
      <c r="C217" s="331">
        <f>C114</f>
        <v>4810.7184999999999</v>
      </c>
      <c r="D217" s="331">
        <f t="shared" ref="D217:AH217" si="128">D114</f>
        <v>4948.7794907584866</v>
      </c>
      <c r="E217" s="331">
        <f t="shared" si="128"/>
        <v>4725.4050976709241</v>
      </c>
      <c r="F217" s="331">
        <f t="shared" si="128"/>
        <v>5265.4360938496147</v>
      </c>
      <c r="G217" s="331">
        <f t="shared" si="128"/>
        <v>4668.9976467597544</v>
      </c>
      <c r="H217" s="402">
        <f t="shared" si="128"/>
        <v>4117.5668873355826</v>
      </c>
      <c r="I217" s="14">
        <f t="shared" si="128"/>
        <v>4227.8536669292043</v>
      </c>
      <c r="J217" s="14">
        <f t="shared" si="128"/>
        <v>4388.1017988337544</v>
      </c>
      <c r="K217" s="14">
        <f t="shared" si="128"/>
        <v>4288.3320000116846</v>
      </c>
      <c r="L217" s="14">
        <f t="shared" si="128"/>
        <v>4153.6042381925099</v>
      </c>
      <c r="M217" s="14">
        <f t="shared" si="128"/>
        <v>4003.2000639113644</v>
      </c>
      <c r="N217" s="187">
        <f t="shared" si="128"/>
        <v>3859.7725003721735</v>
      </c>
      <c r="O217" s="14">
        <f t="shared" si="128"/>
        <v>3807.4833684313717</v>
      </c>
      <c r="P217" s="14">
        <f t="shared" si="128"/>
        <v>3814.2580250472643</v>
      </c>
      <c r="Q217" s="14">
        <f t="shared" si="128"/>
        <v>3866.7372657142205</v>
      </c>
      <c r="R217" s="14">
        <f t="shared" si="128"/>
        <v>3840.8772774898912</v>
      </c>
      <c r="S217" s="14">
        <f t="shared" si="128"/>
        <v>3823.6076822265409</v>
      </c>
      <c r="T217" s="14">
        <f t="shared" si="128"/>
        <v>3906.3227217522794</v>
      </c>
      <c r="U217" s="14">
        <f t="shared" si="128"/>
        <v>3921.5969572316112</v>
      </c>
      <c r="V217" s="14">
        <f t="shared" si="128"/>
        <v>3890.0817355512891</v>
      </c>
      <c r="W217" s="14">
        <f t="shared" si="128"/>
        <v>3897.1690834639571</v>
      </c>
      <c r="X217" s="187">
        <f t="shared" si="128"/>
        <v>3860.22049105518</v>
      </c>
      <c r="Y217" s="158">
        <f t="shared" si="128"/>
        <v>3911.8259830903794</v>
      </c>
      <c r="Z217" s="158">
        <f t="shared" si="128"/>
        <v>3950.2539241275408</v>
      </c>
      <c r="AA217" s="158">
        <f t="shared" si="128"/>
        <v>3995.6948431788223</v>
      </c>
      <c r="AB217" s="158">
        <f t="shared" si="128"/>
        <v>4015.3605690038071</v>
      </c>
      <c r="AC217" s="158">
        <f t="shared" si="128"/>
        <v>4012.7093006529717</v>
      </c>
      <c r="AD217" s="158">
        <f t="shared" si="128"/>
        <v>4016.5782853254823</v>
      </c>
      <c r="AE217" s="158">
        <f t="shared" si="128"/>
        <v>4002.5451964592589</v>
      </c>
      <c r="AF217" s="158">
        <f t="shared" si="128"/>
        <v>3971.4383678690433</v>
      </c>
      <c r="AG217" s="158">
        <f t="shared" si="128"/>
        <v>3908.4081714116223</v>
      </c>
      <c r="AH217" s="187">
        <f t="shared" si="128"/>
        <v>3860.6274326745834</v>
      </c>
    </row>
    <row r="218" spans="1:34">
      <c r="A218" t="s">
        <v>401</v>
      </c>
      <c r="C218" s="331">
        <f>C141</f>
        <v>4329.6466500000006</v>
      </c>
      <c r="D218" s="331">
        <f t="shared" ref="D218:AH218" si="129">D141</f>
        <v>4453.9015416826387</v>
      </c>
      <c r="E218" s="331">
        <f t="shared" si="129"/>
        <v>4252.8645879038322</v>
      </c>
      <c r="F218" s="331">
        <f t="shared" si="129"/>
        <v>4738.8924844646535</v>
      </c>
      <c r="G218" s="331">
        <f t="shared" si="129"/>
        <v>4202.097882083779</v>
      </c>
      <c r="H218" s="402">
        <f t="shared" si="129"/>
        <v>3705.8101986020238</v>
      </c>
      <c r="I218" s="14">
        <f t="shared" si="129"/>
        <v>3805.0683002362834</v>
      </c>
      <c r="J218" s="14">
        <f t="shared" si="129"/>
        <v>3949.2916189503785</v>
      </c>
      <c r="K218" s="14">
        <f t="shared" si="129"/>
        <v>3859.4988000105159</v>
      </c>
      <c r="L218" s="14">
        <f t="shared" si="129"/>
        <v>3738.2438143732588</v>
      </c>
      <c r="M218" s="14">
        <f t="shared" si="129"/>
        <v>3602.8800575202281</v>
      </c>
      <c r="N218" s="187">
        <f t="shared" si="129"/>
        <v>3473.7952503349566</v>
      </c>
      <c r="O218" s="14">
        <f t="shared" si="129"/>
        <v>3426.7350315882345</v>
      </c>
      <c r="P218" s="14">
        <f t="shared" si="129"/>
        <v>3432.8322225425377</v>
      </c>
      <c r="Q218" s="14">
        <f t="shared" si="129"/>
        <v>3480.0635391427991</v>
      </c>
      <c r="R218" s="14">
        <f t="shared" si="129"/>
        <v>3456.7895497409017</v>
      </c>
      <c r="S218" s="14">
        <f t="shared" si="129"/>
        <v>3441.2469140038866</v>
      </c>
      <c r="T218" s="14">
        <f t="shared" si="129"/>
        <v>3515.6904495770514</v>
      </c>
      <c r="U218" s="14">
        <f t="shared" si="129"/>
        <v>3529.4372615084499</v>
      </c>
      <c r="V218" s="14">
        <f t="shared" si="129"/>
        <v>3501.0735619961602</v>
      </c>
      <c r="W218" s="14">
        <f t="shared" si="129"/>
        <v>3507.4521751175616</v>
      </c>
      <c r="X218" s="187">
        <f t="shared" si="129"/>
        <v>3474.1984419496621</v>
      </c>
      <c r="Y218" s="158">
        <f t="shared" si="129"/>
        <v>3520.6433847813414</v>
      </c>
      <c r="Z218" s="158">
        <f t="shared" si="129"/>
        <v>3555.2285317147871</v>
      </c>
      <c r="AA218" s="158">
        <f t="shared" si="129"/>
        <v>3596.1253588609402</v>
      </c>
      <c r="AB218" s="158">
        <f t="shared" si="129"/>
        <v>3613.8245121034265</v>
      </c>
      <c r="AC218" s="158">
        <f t="shared" si="129"/>
        <v>3611.4383705876744</v>
      </c>
      <c r="AD218" s="158">
        <f t="shared" si="129"/>
        <v>3614.9204567929341</v>
      </c>
      <c r="AE218" s="158">
        <f t="shared" si="129"/>
        <v>3602.2906768133334</v>
      </c>
      <c r="AF218" s="158">
        <f t="shared" si="129"/>
        <v>3574.2945310821387</v>
      </c>
      <c r="AG218" s="158">
        <f t="shared" si="129"/>
        <v>3517.5673542704599</v>
      </c>
      <c r="AH218" s="187">
        <f t="shared" si="129"/>
        <v>3474.5646894071251</v>
      </c>
    </row>
    <row r="219" spans="1:34" s="1" customFormat="1">
      <c r="A219" s="1" t="s">
        <v>393</v>
      </c>
      <c r="B219" s="13"/>
      <c r="C219" s="341">
        <f>SUM(C220:C221)</f>
        <v>5379.451</v>
      </c>
      <c r="D219" s="341">
        <f t="shared" ref="D219:AH219" si="130">SUM(D220:D221)</f>
        <v>5945.2310016705596</v>
      </c>
      <c r="E219" s="341">
        <f t="shared" si="130"/>
        <v>6084.2439368330888</v>
      </c>
      <c r="F219" s="341">
        <f t="shared" si="130"/>
        <v>7292.9888225926425</v>
      </c>
      <c r="G219" s="341">
        <f t="shared" si="130"/>
        <v>6909.3756518189466</v>
      </c>
      <c r="H219" s="405">
        <f t="shared" si="130"/>
        <v>7361.7202446451101</v>
      </c>
      <c r="I219" s="15">
        <f t="shared" si="130"/>
        <v>7821.8059175336175</v>
      </c>
      <c r="J219" s="15">
        <f t="shared" si="130"/>
        <v>8370.345152359936</v>
      </c>
      <c r="K219" s="15">
        <f t="shared" si="130"/>
        <v>8384.557691236927</v>
      </c>
      <c r="L219" s="15">
        <f t="shared" si="130"/>
        <v>8269.5981539309832</v>
      </c>
      <c r="M219" s="15">
        <f t="shared" si="130"/>
        <v>8045.4033853673982</v>
      </c>
      <c r="N219" s="190">
        <f t="shared" si="130"/>
        <v>7737.8595776377315</v>
      </c>
      <c r="O219" s="15">
        <f t="shared" si="130"/>
        <v>7683.3911041328029</v>
      </c>
      <c r="P219" s="15">
        <f t="shared" si="130"/>
        <v>7749.5378562130481</v>
      </c>
      <c r="Q219" s="15">
        <f t="shared" si="130"/>
        <v>7911.132741689371</v>
      </c>
      <c r="R219" s="15">
        <f t="shared" si="130"/>
        <v>7911.1701683398478</v>
      </c>
      <c r="S219" s="15">
        <f t="shared" si="130"/>
        <v>7928.7275764774449</v>
      </c>
      <c r="T219" s="15">
        <f t="shared" si="130"/>
        <v>8157.7193889663195</v>
      </c>
      <c r="U219" s="15">
        <f t="shared" si="130"/>
        <v>8245.6401289585338</v>
      </c>
      <c r="V219" s="15">
        <f t="shared" si="130"/>
        <v>8233.9399603172533</v>
      </c>
      <c r="W219" s="15">
        <f t="shared" si="130"/>
        <v>8304.8600079422486</v>
      </c>
      <c r="X219" s="190">
        <f t="shared" si="130"/>
        <v>8280.4299270244155</v>
      </c>
      <c r="Y219" s="130">
        <f t="shared" si="130"/>
        <v>8592.3764262202167</v>
      </c>
      <c r="Z219" s="130">
        <f t="shared" si="130"/>
        <v>8885.7815577237197</v>
      </c>
      <c r="AA219" s="130">
        <f t="shared" si="130"/>
        <v>9206.2022118885034</v>
      </c>
      <c r="AB219" s="130">
        <f t="shared" si="130"/>
        <v>9477.074318932031</v>
      </c>
      <c r="AC219" s="130">
        <f t="shared" si="130"/>
        <v>9703.156906518896</v>
      </c>
      <c r="AD219" s="130">
        <f t="shared" si="130"/>
        <v>9953.0983050301329</v>
      </c>
      <c r="AE219" s="130">
        <f t="shared" si="130"/>
        <v>10165.769146812007</v>
      </c>
      <c r="AF219" s="130">
        <f t="shared" si="130"/>
        <v>10340.455685122508</v>
      </c>
      <c r="AG219" s="130">
        <f t="shared" si="130"/>
        <v>10433.996315832195</v>
      </c>
      <c r="AH219" s="190">
        <f t="shared" si="130"/>
        <v>10570.692265467638</v>
      </c>
    </row>
    <row r="220" spans="1:34">
      <c r="A220" t="s">
        <v>402</v>
      </c>
      <c r="C220" s="331">
        <f>SUM(C116:C117)</f>
        <v>2831.29</v>
      </c>
      <c r="D220" s="331">
        <f t="shared" ref="D220:AH220" si="131">SUM(D116:D117)</f>
        <v>3129.0689482476628</v>
      </c>
      <c r="E220" s="331">
        <f t="shared" si="131"/>
        <v>3202.2336509647835</v>
      </c>
      <c r="F220" s="331">
        <f t="shared" si="131"/>
        <v>3838.4151697856009</v>
      </c>
      <c r="G220" s="331">
        <f t="shared" si="131"/>
        <v>3636.5135009573405</v>
      </c>
      <c r="H220" s="402">
        <f t="shared" si="131"/>
        <v>3874.5896024447948</v>
      </c>
      <c r="I220" s="14">
        <f t="shared" si="131"/>
        <v>4116.7399565966407</v>
      </c>
      <c r="J220" s="14">
        <f t="shared" si="131"/>
        <v>4405.4448170315454</v>
      </c>
      <c r="K220" s="14">
        <f t="shared" si="131"/>
        <v>4412.925100651014</v>
      </c>
      <c r="L220" s="14">
        <f t="shared" si="131"/>
        <v>4352.4200810163074</v>
      </c>
      <c r="M220" s="14">
        <f t="shared" si="131"/>
        <v>4234.4228344038938</v>
      </c>
      <c r="N220" s="187">
        <f t="shared" si="131"/>
        <v>4072.5576724409116</v>
      </c>
      <c r="O220" s="14">
        <f t="shared" si="131"/>
        <v>4043.8900548067386</v>
      </c>
      <c r="P220" s="14">
        <f t="shared" si="131"/>
        <v>4078.7041348489724</v>
      </c>
      <c r="Q220" s="14">
        <f t="shared" si="131"/>
        <v>4163.7540745733531</v>
      </c>
      <c r="R220" s="14">
        <f t="shared" si="131"/>
        <v>4163.7737728104466</v>
      </c>
      <c r="S220" s="14">
        <f t="shared" si="131"/>
        <v>4173.0145139354972</v>
      </c>
      <c r="T220" s="14">
        <f t="shared" si="131"/>
        <v>4293.5365205085891</v>
      </c>
      <c r="U220" s="14">
        <f t="shared" si="131"/>
        <v>4339.8105941887015</v>
      </c>
      <c r="V220" s="14">
        <f t="shared" si="131"/>
        <v>4333.6526106932906</v>
      </c>
      <c r="W220" s="14">
        <f t="shared" si="131"/>
        <v>4370.9789515485518</v>
      </c>
      <c r="X220" s="187">
        <f t="shared" si="131"/>
        <v>4358.1210142233758</v>
      </c>
      <c r="Y220" s="158">
        <f t="shared" si="131"/>
        <v>4522.3033822211664</v>
      </c>
      <c r="Z220" s="158">
        <f t="shared" si="131"/>
        <v>4676.7271356440633</v>
      </c>
      <c r="AA220" s="158">
        <f t="shared" si="131"/>
        <v>4845.3695852044748</v>
      </c>
      <c r="AB220" s="158">
        <f t="shared" si="131"/>
        <v>4987.9338520694901</v>
      </c>
      <c r="AC220" s="158">
        <f t="shared" si="131"/>
        <v>5106.9246876415236</v>
      </c>
      <c r="AD220" s="158">
        <f t="shared" si="131"/>
        <v>5238.4727921211224</v>
      </c>
      <c r="AE220" s="158">
        <f t="shared" si="131"/>
        <v>5350.4048141115827</v>
      </c>
      <c r="AF220" s="158">
        <f t="shared" si="131"/>
        <v>5442.3450974328989</v>
      </c>
      <c r="AG220" s="158">
        <f t="shared" si="131"/>
        <v>5491.5770083327343</v>
      </c>
      <c r="AH220" s="187">
        <f t="shared" si="131"/>
        <v>5563.522244982968</v>
      </c>
    </row>
    <row r="221" spans="1:34">
      <c r="A221" t="s">
        <v>403</v>
      </c>
      <c r="C221" s="331">
        <f>SUM(C143:C144)</f>
        <v>2548.1610000000001</v>
      </c>
      <c r="D221" s="331">
        <f t="shared" ref="D221:AH221" si="132">SUM(D143:D144)</f>
        <v>2816.1620534228964</v>
      </c>
      <c r="E221" s="331">
        <f t="shared" si="132"/>
        <v>2882.0102858683049</v>
      </c>
      <c r="F221" s="331">
        <f t="shared" si="132"/>
        <v>3454.5736528070411</v>
      </c>
      <c r="G221" s="331">
        <f t="shared" si="132"/>
        <v>3272.8621508616061</v>
      </c>
      <c r="H221" s="402">
        <f t="shared" si="132"/>
        <v>3487.1306422003154</v>
      </c>
      <c r="I221" s="14">
        <f t="shared" si="132"/>
        <v>3705.0659609369768</v>
      </c>
      <c r="J221" s="14">
        <f t="shared" si="132"/>
        <v>3964.9003353283906</v>
      </c>
      <c r="K221" s="14">
        <f t="shared" si="132"/>
        <v>3971.632590585913</v>
      </c>
      <c r="L221" s="14">
        <f t="shared" si="132"/>
        <v>3917.1780729146767</v>
      </c>
      <c r="M221" s="14">
        <f t="shared" si="132"/>
        <v>3810.9805509635044</v>
      </c>
      <c r="N221" s="187">
        <f t="shared" si="132"/>
        <v>3665.3019051968204</v>
      </c>
      <c r="O221" s="14">
        <f t="shared" si="132"/>
        <v>3639.5010493260643</v>
      </c>
      <c r="P221" s="14">
        <f t="shared" si="132"/>
        <v>3670.8337213640752</v>
      </c>
      <c r="Q221" s="14">
        <f t="shared" si="132"/>
        <v>3747.3786671160178</v>
      </c>
      <c r="R221" s="14">
        <f t="shared" si="132"/>
        <v>3747.3963955294016</v>
      </c>
      <c r="S221" s="14">
        <f t="shared" si="132"/>
        <v>3755.7130625419477</v>
      </c>
      <c r="T221" s="14">
        <f t="shared" si="132"/>
        <v>3864.1828684577304</v>
      </c>
      <c r="U221" s="14">
        <f t="shared" si="132"/>
        <v>3905.8295347698313</v>
      </c>
      <c r="V221" s="14">
        <f t="shared" si="132"/>
        <v>3900.2873496239617</v>
      </c>
      <c r="W221" s="14">
        <f t="shared" si="132"/>
        <v>3933.8810563936968</v>
      </c>
      <c r="X221" s="187">
        <f t="shared" si="132"/>
        <v>3922.3089128010388</v>
      </c>
      <c r="Y221" s="158">
        <f t="shared" si="132"/>
        <v>4070.0730439990502</v>
      </c>
      <c r="Z221" s="158">
        <f t="shared" si="132"/>
        <v>4209.0544220796573</v>
      </c>
      <c r="AA221" s="158">
        <f t="shared" si="132"/>
        <v>4360.8326266840277</v>
      </c>
      <c r="AB221" s="158">
        <f t="shared" si="132"/>
        <v>4489.1404668625419</v>
      </c>
      <c r="AC221" s="158">
        <f t="shared" si="132"/>
        <v>4596.2322188773715</v>
      </c>
      <c r="AD221" s="158">
        <f t="shared" si="132"/>
        <v>4714.6255129090096</v>
      </c>
      <c r="AE221" s="158">
        <f t="shared" si="132"/>
        <v>4815.3643327004247</v>
      </c>
      <c r="AF221" s="158">
        <f t="shared" si="132"/>
        <v>4898.110587689609</v>
      </c>
      <c r="AG221" s="158">
        <f t="shared" si="132"/>
        <v>4942.419307499461</v>
      </c>
      <c r="AH221" s="187">
        <f t="shared" si="132"/>
        <v>5007.1700204846711</v>
      </c>
    </row>
    <row r="222" spans="1:34">
      <c r="A222" s="1" t="s">
        <v>425</v>
      </c>
      <c r="C222" s="331">
        <f>SUM(C210,C213,C216,C219)</f>
        <v>14790.229010000003</v>
      </c>
      <c r="D222" s="331">
        <f t="shared" ref="D222:AH222" si="133">SUM(D210,D213,D216,D219)</f>
        <v>15681.488526151401</v>
      </c>
      <c r="E222" s="331">
        <f t="shared" si="133"/>
        <v>15502.109200754616</v>
      </c>
      <c r="F222" s="331">
        <f t="shared" si="133"/>
        <v>17875.284220871061</v>
      </c>
      <c r="G222" s="331">
        <f t="shared" si="133"/>
        <v>16403.698761948406</v>
      </c>
      <c r="H222" s="402">
        <f t="shared" si="133"/>
        <v>17825.619156749126</v>
      </c>
      <c r="I222" s="14">
        <f t="shared" si="133"/>
        <v>19379.784729456842</v>
      </c>
      <c r="J222" s="14">
        <f t="shared" si="133"/>
        <v>21476.779432349289</v>
      </c>
      <c r="K222" s="14">
        <f t="shared" si="133"/>
        <v>22622.705443070205</v>
      </c>
      <c r="L222" s="14">
        <f t="shared" si="133"/>
        <v>23889.038776950314</v>
      </c>
      <c r="M222" s="14">
        <f t="shared" si="133"/>
        <v>25431.740060195763</v>
      </c>
      <c r="N222" s="187">
        <f t="shared" si="133"/>
        <v>27484.391037163288</v>
      </c>
      <c r="O222" s="14">
        <f t="shared" si="133"/>
        <v>27383.950373477564</v>
      </c>
      <c r="P222" s="14">
        <f t="shared" si="133"/>
        <v>27711.582205231738</v>
      </c>
      <c r="Q222" s="14">
        <f t="shared" si="133"/>
        <v>28382.044227122271</v>
      </c>
      <c r="R222" s="14">
        <f t="shared" si="133"/>
        <v>28482.570687632826</v>
      </c>
      <c r="S222" s="14">
        <f t="shared" si="133"/>
        <v>28648.796326217682</v>
      </c>
      <c r="T222" s="14">
        <f t="shared" si="133"/>
        <v>29577.456265309112</v>
      </c>
      <c r="U222" s="14">
        <f t="shared" si="133"/>
        <v>30006.748135246049</v>
      </c>
      <c r="V222" s="14">
        <f t="shared" si="133"/>
        <v>30080.99405028965</v>
      </c>
      <c r="W222" s="14">
        <f t="shared" si="133"/>
        <v>30458.432699926525</v>
      </c>
      <c r="X222" s="187">
        <f t="shared" si="133"/>
        <v>30493.646480310821</v>
      </c>
      <c r="Y222" s="158">
        <f t="shared" si="133"/>
        <v>31510.525342310269</v>
      </c>
      <c r="Z222" s="158">
        <f t="shared" si="133"/>
        <v>32456.462112435067</v>
      </c>
      <c r="AA222" s="158">
        <f t="shared" si="133"/>
        <v>33496.730908023928</v>
      </c>
      <c r="AB222" s="158">
        <f t="shared" si="133"/>
        <v>34355.414772203621</v>
      </c>
      <c r="AC222" s="158">
        <f t="shared" si="133"/>
        <v>35051.281299760885</v>
      </c>
      <c r="AD222" s="158">
        <f t="shared" si="133"/>
        <v>35831.613090950399</v>
      </c>
      <c r="AE222" s="158">
        <f t="shared" si="133"/>
        <v>36478.317609242615</v>
      </c>
      <c r="AF222" s="158">
        <f t="shared" si="133"/>
        <v>36990.120492625632</v>
      </c>
      <c r="AG222" s="158">
        <f t="shared" si="133"/>
        <v>37215.822365653847</v>
      </c>
      <c r="AH222" s="187">
        <f t="shared" si="133"/>
        <v>37596.538024262802</v>
      </c>
    </row>
    <row r="223" spans="1:34" s="1" customFormat="1">
      <c r="A223" s="1" t="s">
        <v>443</v>
      </c>
      <c r="B223" s="13"/>
      <c r="C223" s="328" t="s">
        <v>0</v>
      </c>
      <c r="D223" s="341">
        <f>D210+D213</f>
        <v>333.57649203971641</v>
      </c>
      <c r="E223" s="341">
        <f t="shared" ref="E223:AH223" si="134">E210+E213</f>
        <v>439.59557834677037</v>
      </c>
      <c r="F223" s="341">
        <f t="shared" si="134"/>
        <v>577.96681996415111</v>
      </c>
      <c r="G223" s="341">
        <f t="shared" si="134"/>
        <v>623.22758128592591</v>
      </c>
      <c r="H223" s="405">
        <f>H210+H213</f>
        <v>2640.5218261664122</v>
      </c>
      <c r="I223" s="15">
        <f t="shared" si="134"/>
        <v>3525.0568447577371</v>
      </c>
      <c r="J223" s="15">
        <f t="shared" si="134"/>
        <v>4769.04086220522</v>
      </c>
      <c r="K223" s="15">
        <f t="shared" si="134"/>
        <v>6090.316951811079</v>
      </c>
      <c r="L223" s="15">
        <f t="shared" si="134"/>
        <v>7727.592570453563</v>
      </c>
      <c r="M223" s="15">
        <f t="shared" si="134"/>
        <v>9780.2565533967736</v>
      </c>
      <c r="N223" s="190">
        <f t="shared" si="134"/>
        <v>12412.963708818428</v>
      </c>
      <c r="O223" s="15">
        <f t="shared" si="134"/>
        <v>12466.340869325153</v>
      </c>
      <c r="P223" s="15">
        <f t="shared" si="134"/>
        <v>12714.954101428886</v>
      </c>
      <c r="Q223" s="15">
        <f t="shared" si="134"/>
        <v>13124.110680575885</v>
      </c>
      <c r="R223" s="15">
        <f t="shared" si="134"/>
        <v>13273.733692062187</v>
      </c>
      <c r="S223" s="15">
        <f t="shared" si="134"/>
        <v>13455.214153509809</v>
      </c>
      <c r="T223" s="15">
        <f t="shared" si="134"/>
        <v>13997.723705013466</v>
      </c>
      <c r="U223" s="15">
        <f t="shared" si="134"/>
        <v>14310.073787547455</v>
      </c>
      <c r="V223" s="15">
        <f t="shared" si="134"/>
        <v>14455.898792424947</v>
      </c>
      <c r="W223" s="15">
        <f t="shared" si="134"/>
        <v>14748.951433402755</v>
      </c>
      <c r="X223" s="190">
        <f t="shared" si="134"/>
        <v>14878.797620281564</v>
      </c>
      <c r="Y223" s="130">
        <f t="shared" si="134"/>
        <v>15485.67954821833</v>
      </c>
      <c r="Z223" s="130">
        <f t="shared" si="134"/>
        <v>16065.198098869019</v>
      </c>
      <c r="AA223" s="130">
        <f t="shared" si="134"/>
        <v>16698.708494095663</v>
      </c>
      <c r="AB223" s="130">
        <f t="shared" si="134"/>
        <v>17249.155372164358</v>
      </c>
      <c r="AC223" s="130">
        <f t="shared" si="134"/>
        <v>17723.976722001345</v>
      </c>
      <c r="AD223" s="130">
        <f t="shared" si="134"/>
        <v>18247.016043801854</v>
      </c>
      <c r="AE223" s="130">
        <f t="shared" si="134"/>
        <v>18707.712589158014</v>
      </c>
      <c r="AF223" s="130">
        <f t="shared" si="134"/>
        <v>19103.931908551946</v>
      </c>
      <c r="AG223" s="130">
        <f t="shared" si="134"/>
        <v>19355.850524139572</v>
      </c>
      <c r="AH223" s="190">
        <f t="shared" si="134"/>
        <v>19690.653636713454</v>
      </c>
    </row>
    <row r="224" spans="1:34">
      <c r="A224" t="s">
        <v>446</v>
      </c>
      <c r="D224" s="331">
        <f>D210+D213+D216</f>
        <v>9736.2575244808413</v>
      </c>
      <c r="E224" s="331">
        <f t="shared" ref="E224:AH224" si="135">E210+E213+E216</f>
        <v>9417.865263921527</v>
      </c>
      <c r="F224" s="331">
        <f t="shared" si="135"/>
        <v>10582.295398278418</v>
      </c>
      <c r="G224" s="331">
        <f t="shared" si="135"/>
        <v>9494.3231101294587</v>
      </c>
      <c r="H224" s="402">
        <f t="shared" si="135"/>
        <v>10463.898912104018</v>
      </c>
      <c r="I224" s="14">
        <f t="shared" si="135"/>
        <v>11557.978811923225</v>
      </c>
      <c r="J224" s="14">
        <f t="shared" si="135"/>
        <v>13106.434279989353</v>
      </c>
      <c r="K224" s="14">
        <f t="shared" si="135"/>
        <v>14238.147751833279</v>
      </c>
      <c r="L224" s="14">
        <f t="shared" si="135"/>
        <v>15619.440623019331</v>
      </c>
      <c r="M224" s="14">
        <f t="shared" si="135"/>
        <v>17386.336674828366</v>
      </c>
      <c r="N224" s="187">
        <f t="shared" si="135"/>
        <v>19746.531459525559</v>
      </c>
      <c r="O224" s="14">
        <f t="shared" si="135"/>
        <v>19700.559269344762</v>
      </c>
      <c r="P224" s="14">
        <f t="shared" si="135"/>
        <v>19962.044349018688</v>
      </c>
      <c r="Q224" s="14">
        <f t="shared" si="135"/>
        <v>20470.911485432902</v>
      </c>
      <c r="R224" s="14">
        <f t="shared" si="135"/>
        <v>20571.40051929298</v>
      </c>
      <c r="S224" s="14">
        <f t="shared" si="135"/>
        <v>20720.068749740236</v>
      </c>
      <c r="T224" s="14">
        <f t="shared" si="135"/>
        <v>21419.736876342795</v>
      </c>
      <c r="U224" s="14">
        <f t="shared" si="135"/>
        <v>21761.108006287515</v>
      </c>
      <c r="V224" s="14">
        <f t="shared" si="135"/>
        <v>21847.054089972396</v>
      </c>
      <c r="W224" s="14">
        <f t="shared" si="135"/>
        <v>22153.572691984275</v>
      </c>
      <c r="X224" s="187">
        <f t="shared" si="135"/>
        <v>22213.216553286406</v>
      </c>
      <c r="Y224" s="158">
        <f t="shared" si="135"/>
        <v>22918.148916090053</v>
      </c>
      <c r="Z224" s="158">
        <f t="shared" si="135"/>
        <v>23570.680554711347</v>
      </c>
      <c r="AA224" s="158">
        <f t="shared" si="135"/>
        <v>24290.528696135425</v>
      </c>
      <c r="AB224" s="158">
        <f t="shared" si="135"/>
        <v>24878.34045327159</v>
      </c>
      <c r="AC224" s="158">
        <f t="shared" si="135"/>
        <v>25348.124393241989</v>
      </c>
      <c r="AD224" s="158">
        <f t="shared" si="135"/>
        <v>25878.51478592027</v>
      </c>
      <c r="AE224" s="158">
        <f t="shared" si="135"/>
        <v>26312.548462430605</v>
      </c>
      <c r="AF224" s="158">
        <f t="shared" si="135"/>
        <v>26649.664807503126</v>
      </c>
      <c r="AG224" s="158">
        <f t="shared" si="135"/>
        <v>26781.826049821655</v>
      </c>
      <c r="AH224" s="187">
        <f t="shared" si="135"/>
        <v>27025.845758795163</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453</v>
      </c>
      <c r="D226" s="331">
        <f>D210+D213</f>
        <v>333.57649203971641</v>
      </c>
      <c r="E226" s="331">
        <f>D226+E210+E213</f>
        <v>773.17207038648678</v>
      </c>
      <c r="F226" s="331">
        <f>E226+F210+F213</f>
        <v>1351.1388903506379</v>
      </c>
      <c r="G226" s="331">
        <f>F226+G210+G213</f>
        <v>1974.3664716365638</v>
      </c>
      <c r="H226" s="402">
        <f t="shared" ref="H226:X226" si="136">G226+H210+H213</f>
        <v>4614.888297802976</v>
      </c>
      <c r="I226" s="14">
        <f t="shared" si="136"/>
        <v>8139.9451425607131</v>
      </c>
      <c r="J226" s="14">
        <f t="shared" si="136"/>
        <v>12908.986004765933</v>
      </c>
      <c r="K226" s="14">
        <f t="shared" si="136"/>
        <v>18999.302956577012</v>
      </c>
      <c r="L226" s="14">
        <f t="shared" si="136"/>
        <v>26726.895527030574</v>
      </c>
      <c r="M226" s="14">
        <f t="shared" si="136"/>
        <v>36507.152080427346</v>
      </c>
      <c r="N226" s="187">
        <f t="shared" si="136"/>
        <v>48920.11578924577</v>
      </c>
      <c r="O226" s="14">
        <f t="shared" si="136"/>
        <v>61386.456658570925</v>
      </c>
      <c r="P226" s="14">
        <f t="shared" si="136"/>
        <v>74101.41075999981</v>
      </c>
      <c r="Q226" s="14">
        <f t="shared" si="136"/>
        <v>87225.5214405757</v>
      </c>
      <c r="R226" s="14">
        <f t="shared" si="136"/>
        <v>100499.25513263789</v>
      </c>
      <c r="S226" s="14">
        <f t="shared" si="136"/>
        <v>113954.46928614769</v>
      </c>
      <c r="T226" s="14">
        <f t="shared" si="136"/>
        <v>127952.19299116117</v>
      </c>
      <c r="U226" s="14">
        <f t="shared" si="136"/>
        <v>142262.26677870861</v>
      </c>
      <c r="V226" s="14">
        <f t="shared" si="136"/>
        <v>156718.16557113355</v>
      </c>
      <c r="W226" s="14">
        <f t="shared" si="136"/>
        <v>171467.1170045363</v>
      </c>
      <c r="X226" s="187">
        <f t="shared" si="136"/>
        <v>186345.91462481787</v>
      </c>
      <c r="Y226" s="158">
        <f t="shared" ref="Y226:AH226" si="137">X226+Y210+Y213</f>
        <v>201831.5941730362</v>
      </c>
      <c r="Z226" s="158">
        <f t="shared" si="137"/>
        <v>217896.79227190523</v>
      </c>
      <c r="AA226" s="158">
        <f t="shared" si="137"/>
        <v>234595.50076600089</v>
      </c>
      <c r="AB226" s="158">
        <f t="shared" si="137"/>
        <v>251844.65613816524</v>
      </c>
      <c r="AC226" s="158">
        <f t="shared" si="137"/>
        <v>269568.6328601666</v>
      </c>
      <c r="AD226" s="158">
        <f t="shared" si="137"/>
        <v>287815.64890396845</v>
      </c>
      <c r="AE226" s="158">
        <f t="shared" si="137"/>
        <v>306523.36149312649</v>
      </c>
      <c r="AF226" s="158">
        <f t="shared" si="137"/>
        <v>325627.29340167844</v>
      </c>
      <c r="AG226" s="158">
        <f t="shared" si="137"/>
        <v>344983.14392581803</v>
      </c>
      <c r="AH226" s="187">
        <f t="shared" si="137"/>
        <v>364673.79756253149</v>
      </c>
    </row>
    <row r="227" spans="1:34">
      <c r="A227" s="1" t="s">
        <v>454</v>
      </c>
      <c r="D227" s="331">
        <f>D219</f>
        <v>5945.2310016705596</v>
      </c>
      <c r="E227" s="331">
        <f>D227+E219</f>
        <v>12029.474938503648</v>
      </c>
      <c r="F227" s="331">
        <f>E227+F219</f>
        <v>19322.463761096289</v>
      </c>
      <c r="G227" s="331">
        <f t="shared" ref="G227:X227" si="138">F227+G219</f>
        <v>26231.839412915237</v>
      </c>
      <c r="H227" s="402">
        <f t="shared" si="138"/>
        <v>33593.559657560349</v>
      </c>
      <c r="I227" s="14">
        <f t="shared" si="138"/>
        <v>41415.365575093965</v>
      </c>
      <c r="J227" s="14">
        <f t="shared" si="138"/>
        <v>49785.710727453901</v>
      </c>
      <c r="K227" s="14">
        <f t="shared" si="138"/>
        <v>58170.26841869083</v>
      </c>
      <c r="L227" s="14">
        <f t="shared" si="138"/>
        <v>66439.866572621817</v>
      </c>
      <c r="M227" s="14">
        <f t="shared" si="138"/>
        <v>74485.269957989221</v>
      </c>
      <c r="N227" s="187">
        <f t="shared" si="138"/>
        <v>82223.129535626955</v>
      </c>
      <c r="O227" s="14">
        <f t="shared" si="138"/>
        <v>89906.52063975975</v>
      </c>
      <c r="P227" s="14">
        <f t="shared" si="138"/>
        <v>97656.0584959728</v>
      </c>
      <c r="Q227" s="14">
        <f t="shared" si="138"/>
        <v>105567.19123766218</v>
      </c>
      <c r="R227" s="14">
        <f t="shared" si="138"/>
        <v>113478.36140600202</v>
      </c>
      <c r="S227" s="14">
        <f t="shared" si="138"/>
        <v>121407.08898247946</v>
      </c>
      <c r="T227" s="14">
        <f t="shared" si="138"/>
        <v>129564.80837144578</v>
      </c>
      <c r="U227" s="14">
        <f t="shared" si="138"/>
        <v>137810.44850040431</v>
      </c>
      <c r="V227" s="14">
        <f t="shared" si="138"/>
        <v>146044.38846072156</v>
      </c>
      <c r="W227" s="14">
        <f t="shared" si="138"/>
        <v>154349.24846866381</v>
      </c>
      <c r="X227" s="187">
        <f t="shared" si="138"/>
        <v>162629.67839568821</v>
      </c>
      <c r="Y227" s="158">
        <f t="shared" ref="Y227:AH227" si="139">X227+Y219</f>
        <v>171222.05482190842</v>
      </c>
      <c r="Z227" s="158">
        <f t="shared" si="139"/>
        <v>180107.83637963212</v>
      </c>
      <c r="AA227" s="158">
        <f t="shared" si="139"/>
        <v>189314.03859152063</v>
      </c>
      <c r="AB227" s="158">
        <f t="shared" si="139"/>
        <v>198791.11291045265</v>
      </c>
      <c r="AC227" s="158">
        <f t="shared" si="139"/>
        <v>208494.26981697156</v>
      </c>
      <c r="AD227" s="158">
        <f t="shared" si="139"/>
        <v>218447.3681220017</v>
      </c>
      <c r="AE227" s="158">
        <f t="shared" si="139"/>
        <v>228613.13726881371</v>
      </c>
      <c r="AF227" s="158">
        <f t="shared" si="139"/>
        <v>238953.59295393623</v>
      </c>
      <c r="AG227" s="158">
        <f t="shared" si="139"/>
        <v>249387.58926976842</v>
      </c>
      <c r="AH227" s="187">
        <f t="shared" si="139"/>
        <v>259958.28153523605</v>
      </c>
    </row>
    <row r="228" spans="1:34">
      <c r="A228" s="1" t="s">
        <v>456</v>
      </c>
      <c r="D228" s="331">
        <f t="shared" ref="D228:AH228" si="140">D227-D207</f>
        <v>-600.64899832943956</v>
      </c>
      <c r="E228" s="331">
        <f t="shared" si="140"/>
        <v>-1303.3886659372511</v>
      </c>
      <c r="F228" s="331">
        <f t="shared" si="140"/>
        <v>-2717.1360856320607</v>
      </c>
      <c r="G228" s="331">
        <f t="shared" si="140"/>
        <v>-3355.4813613759579</v>
      </c>
      <c r="H228" s="402">
        <f>H227-H207</f>
        <v>-3312.0940367998846</v>
      </c>
      <c r="I228" s="14">
        <f t="shared" si="140"/>
        <v>-3375.5332337916261</v>
      </c>
      <c r="J228" s="14">
        <f t="shared" si="140"/>
        <v>-3808.2511499174288</v>
      </c>
      <c r="K228" s="14">
        <f t="shared" si="140"/>
        <v>-4452.9192902816867</v>
      </c>
      <c r="L228" s="14">
        <f t="shared" si="140"/>
        <v>-5410.6527810858679</v>
      </c>
      <c r="M228" s="14">
        <f t="shared" si="140"/>
        <v>-6726.4898224333883</v>
      </c>
      <c r="N228" s="187">
        <f t="shared" si="140"/>
        <v>-8422.2360888100229</v>
      </c>
      <c r="O228" s="14">
        <f t="shared" si="140"/>
        <v>-10036.408244797203</v>
      </c>
      <c r="P228" s="14">
        <f t="shared" si="140"/>
        <v>-11696.851617066452</v>
      </c>
      <c r="Q228" s="14">
        <f t="shared" si="140"/>
        <v>-13503.1907067664</v>
      </c>
      <c r="R228" s="14">
        <f t="shared" si="140"/>
        <v>-15279.415169811924</v>
      </c>
      <c r="S228" s="14">
        <f t="shared" si="140"/>
        <v>-17045.288756378242</v>
      </c>
      <c r="T228" s="14">
        <f t="shared" si="140"/>
        <v>-19024.586539389129</v>
      </c>
      <c r="U228" s="14">
        <f t="shared" si="140"/>
        <v>-21066.933004437393</v>
      </c>
      <c r="V228" s="14">
        <f t="shared" si="140"/>
        <v>-23066.58805594343</v>
      </c>
      <c r="W228" s="14">
        <f t="shared" si="140"/>
        <v>-25110.796548218612</v>
      </c>
      <c r="X228" s="187">
        <f t="shared" si="140"/>
        <v>-27097.175576288282</v>
      </c>
      <c r="Y228" s="158">
        <f t="shared" si="140"/>
        <v>-29256.828441748192</v>
      </c>
      <c r="Z228" s="158">
        <f t="shared" si="140"/>
        <v>-31564.441249313095</v>
      </c>
      <c r="AA228" s="158">
        <f t="shared" si="140"/>
        <v>-34041.276818052575</v>
      </c>
      <c r="AB228" s="158">
        <f t="shared" si="140"/>
        <v>-36621.316163525567</v>
      </c>
      <c r="AC228" s="158">
        <f t="shared" si="140"/>
        <v>-39261.345781117969</v>
      </c>
      <c r="AD228" s="158">
        <f t="shared" si="140"/>
        <v>-41980.222274651343</v>
      </c>
      <c r="AE228" s="158">
        <f t="shared" si="140"/>
        <v>-44737.111169421551</v>
      </c>
      <c r="AF228" s="158">
        <f t="shared" si="140"/>
        <v>-47492.477567646856</v>
      </c>
      <c r="AG228" s="158">
        <f t="shared" si="140"/>
        <v>-50167.422915228963</v>
      </c>
      <c r="AH228" s="187">
        <f t="shared" si="140"/>
        <v>-52800.33938195568</v>
      </c>
    </row>
    <row r="229" spans="1:34">
      <c r="I229" s="129"/>
      <c r="J229" s="129"/>
      <c r="K229" s="129"/>
      <c r="L229" s="129"/>
      <c r="M229" s="129"/>
      <c r="O229" s="129"/>
      <c r="P229" s="129"/>
      <c r="Q229" s="129"/>
      <c r="R229" s="129"/>
      <c r="S229" s="129"/>
      <c r="T229" s="129"/>
      <c r="U229" s="129"/>
      <c r="V229" s="129"/>
      <c r="W229" s="129"/>
    </row>
    <row r="230" spans="1:34">
      <c r="A230" s="1" t="s">
        <v>412</v>
      </c>
    </row>
    <row r="231" spans="1:34">
      <c r="A231" t="s">
        <v>413</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414</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415</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416</v>
      </c>
      <c r="C234" s="331">
        <f t="shared" ref="C234:AH234" si="145">C213-C194</f>
        <v>-2.7000000000043656E-4</v>
      </c>
      <c r="D234" s="331">
        <f t="shared" si="145"/>
        <v>96.812362039716419</v>
      </c>
      <c r="E234" s="331">
        <f t="shared" si="145"/>
        <v>42.459212303229265</v>
      </c>
      <c r="F234" s="331">
        <f t="shared" si="145"/>
        <v>135.1272769297384</v>
      </c>
      <c r="G234" s="331">
        <f t="shared" si="145"/>
        <v>88.870928770659248</v>
      </c>
      <c r="H234" s="402">
        <f>H213-H194</f>
        <v>-2.7000000000043656E-4</v>
      </c>
      <c r="I234" s="14">
        <f t="shared" si="145"/>
        <v>332.03699261494603</v>
      </c>
      <c r="J234" s="14">
        <f t="shared" si="145"/>
        <v>1041.7046636219929</v>
      </c>
      <c r="K234" s="14">
        <f t="shared" si="145"/>
        <v>2043.6170617982871</v>
      </c>
      <c r="L234" s="14">
        <f t="shared" si="145"/>
        <v>3444.9851213614393</v>
      </c>
      <c r="M234" s="14">
        <f t="shared" si="145"/>
        <v>5406.7688518686273</v>
      </c>
      <c r="N234" s="187">
        <f t="shared" si="145"/>
        <v>7943.0294111051498</v>
      </c>
      <c r="O234" s="14">
        <f t="shared" si="145"/>
        <v>7921.6658521204881</v>
      </c>
      <c r="P234" s="14">
        <f t="shared" si="145"/>
        <v>8033.1968844447256</v>
      </c>
      <c r="Q234" s="14">
        <f t="shared" si="145"/>
        <v>8251.2947380357909</v>
      </c>
      <c r="R234" s="14">
        <f t="shared" si="145"/>
        <v>8291.0068905954013</v>
      </c>
      <c r="S234" s="14">
        <f t="shared" si="145"/>
        <v>8356.8667641963493</v>
      </c>
      <c r="T234" s="14">
        <f t="shared" si="145"/>
        <v>8661.0340670206133</v>
      </c>
      <c r="U234" s="14">
        <f t="shared" si="145"/>
        <v>8812.5494754676401</v>
      </c>
      <c r="V234" s="14">
        <f t="shared" si="145"/>
        <v>8855.27546915731</v>
      </c>
      <c r="W234" s="14">
        <f t="shared" si="145"/>
        <v>8768.6154547130864</v>
      </c>
      <c r="X234" s="187">
        <f t="shared" si="145"/>
        <v>8757.2482617584737</v>
      </c>
      <c r="Y234" s="158">
        <f t="shared" si="145"/>
        <v>9035.603997019045</v>
      </c>
      <c r="Z234" s="158">
        <f t="shared" si="145"/>
        <v>9292.4937433802206</v>
      </c>
      <c r="AA234" s="158">
        <f t="shared" si="145"/>
        <v>9577.7216780814106</v>
      </c>
      <c r="AB234" s="158">
        <f t="shared" si="145"/>
        <v>9798.437889631401</v>
      </c>
      <c r="AC234" s="158">
        <f t="shared" si="145"/>
        <v>9980.4014853445478</v>
      </c>
      <c r="AD234" s="158">
        <f t="shared" si="145"/>
        <v>10188.41201860046</v>
      </c>
      <c r="AE234" s="158">
        <f t="shared" si="145"/>
        <v>10356.774778344765</v>
      </c>
      <c r="AF234" s="158">
        <f t="shared" si="145"/>
        <v>10486.010171056225</v>
      </c>
      <c r="AG234" s="158">
        <f t="shared" si="145"/>
        <v>10531.049872777061</v>
      </c>
      <c r="AH234" s="187">
        <f t="shared" si="145"/>
        <v>10623.241221771899</v>
      </c>
    </row>
    <row r="235" spans="1:34">
      <c r="A235" t="s">
        <v>417</v>
      </c>
      <c r="C235" s="331">
        <f t="shared" ref="C235:AH235" si="146">C214-C195</f>
        <v>0</v>
      </c>
      <c r="D235" s="331">
        <f t="shared" si="146"/>
        <v>50.954050228365247</v>
      </c>
      <c r="E235" s="331">
        <f t="shared" si="146"/>
        <v>22.347155192259493</v>
      </c>
      <c r="F235" s="331">
        <f t="shared" si="146"/>
        <v>71.119889383897942</v>
      </c>
      <c r="G235" s="331">
        <f t="shared" si="146"/>
        <v>46.774461423699279</v>
      </c>
      <c r="H235" s="402">
        <f t="shared" si="146"/>
        <v>0</v>
      </c>
      <c r="I235" s="14">
        <f t="shared" si="146"/>
        <v>174.75648634660547</v>
      </c>
      <c r="J235" s="14">
        <f t="shared" si="146"/>
        <v>548.26582908436285</v>
      </c>
      <c r="K235" s="14">
        <f t="shared" si="146"/>
        <v>1075.5881808509189</v>
      </c>
      <c r="L235" s="14">
        <f t="shared" si="146"/>
        <v>1813.1503583540002</v>
      </c>
      <c r="M235" s="14">
        <f t="shared" si="146"/>
        <v>2845.6681574063859</v>
      </c>
      <c r="N235" s="187">
        <f t="shared" si="146"/>
        <v>4180.5421899434459</v>
      </c>
      <c r="O235" s="14">
        <f t="shared" si="146"/>
        <v>4169.2982132273974</v>
      </c>
      <c r="P235" s="14">
        <f t="shared" si="146"/>
        <v>4227.9987644596968</v>
      </c>
      <c r="Q235" s="14">
        <f t="shared" si="146"/>
        <v>4342.7871214626366</v>
      </c>
      <c r="R235" s="14">
        <f t="shared" si="146"/>
        <v>4363.6882591454651</v>
      </c>
      <c r="S235" s="14">
        <f t="shared" si="146"/>
        <v>4398.3513562838962</v>
      </c>
      <c r="T235" s="14">
        <f t="shared" si="146"/>
        <v>4558.4394276490439</v>
      </c>
      <c r="U235" s="14">
        <f t="shared" si="146"/>
        <v>4638.1843893933001</v>
      </c>
      <c r="V235" s="14">
        <f t="shared" si="146"/>
        <v>4660.6717591291008</v>
      </c>
      <c r="W235" s="14">
        <f t="shared" si="146"/>
        <v>4615.0612345276277</v>
      </c>
      <c r="X235" s="187">
        <f t="shared" si="146"/>
        <v>4609.0785055216093</v>
      </c>
      <c r="Y235" s="158">
        <f t="shared" si="146"/>
        <v>4755.5815433734042</v>
      </c>
      <c r="Z235" s="158">
        <f t="shared" si="146"/>
        <v>4890.7866914608621</v>
      </c>
      <c r="AA235" s="158">
        <f t="shared" si="146"/>
        <v>5040.9066772332208</v>
      </c>
      <c r="AB235" s="158">
        <f t="shared" si="146"/>
        <v>5157.0731218642468</v>
      </c>
      <c r="AC235" s="158">
        <f t="shared" si="146"/>
        <v>5252.8434504926972</v>
      </c>
      <c r="AD235" s="158">
        <f t="shared" si="146"/>
        <v>5362.3226951502529</v>
      </c>
      <c r="AE235" s="158">
        <f t="shared" si="146"/>
        <v>5450.9346886092135</v>
      </c>
      <c r="AF235" s="158">
        <f t="shared" si="146"/>
        <v>5518.9533289484389</v>
      </c>
      <c r="AG235" s="158">
        <f t="shared" si="146"/>
        <v>5542.6584431261317</v>
      </c>
      <c r="AH235" s="187">
        <f t="shared" si="146"/>
        <v>5591.1802163988405</v>
      </c>
    </row>
    <row r="236" spans="1:34">
      <c r="A236" t="s">
        <v>418</v>
      </c>
      <c r="C236" s="331">
        <f t="shared" ref="C236:AH236" si="147">C215-C196</f>
        <v>-2.7000000000043656E-4</v>
      </c>
      <c r="D236" s="331">
        <f t="shared" si="147"/>
        <v>45.858311811351143</v>
      </c>
      <c r="E236" s="331">
        <f t="shared" si="147"/>
        <v>20.112057110969744</v>
      </c>
      <c r="F236" s="331">
        <f t="shared" si="147"/>
        <v>64.007387545840459</v>
      </c>
      <c r="G236" s="331">
        <f t="shared" si="147"/>
        <v>42.09646734695994</v>
      </c>
      <c r="H236" s="402">
        <f>H215-H196</f>
        <v>-2.7000000000043656E-4</v>
      </c>
      <c r="I236" s="14">
        <f t="shared" si="147"/>
        <v>157.28050626834033</v>
      </c>
      <c r="J236" s="14">
        <f t="shared" si="147"/>
        <v>493.43883453763033</v>
      </c>
      <c r="K236" s="14">
        <f t="shared" si="147"/>
        <v>968.02888094736841</v>
      </c>
      <c r="L236" s="14">
        <f t="shared" si="147"/>
        <v>1631.8347630074386</v>
      </c>
      <c r="M236" s="14">
        <f t="shared" si="147"/>
        <v>2561.1006944622413</v>
      </c>
      <c r="N236" s="187">
        <f t="shared" si="147"/>
        <v>3762.4872211617044</v>
      </c>
      <c r="O236" s="14">
        <f t="shared" si="147"/>
        <v>3752.3676388930899</v>
      </c>
      <c r="P236" s="14">
        <f t="shared" si="147"/>
        <v>3805.1981199850297</v>
      </c>
      <c r="Q236" s="14">
        <f t="shared" si="147"/>
        <v>3908.5076165731552</v>
      </c>
      <c r="R236" s="14">
        <f t="shared" si="147"/>
        <v>3927.3186314499358</v>
      </c>
      <c r="S236" s="14">
        <f t="shared" si="147"/>
        <v>3958.5154079124541</v>
      </c>
      <c r="T236" s="14">
        <f t="shared" si="147"/>
        <v>4102.5946393715712</v>
      </c>
      <c r="U236" s="14">
        <f t="shared" si="147"/>
        <v>4174.3650860743392</v>
      </c>
      <c r="V236" s="14">
        <f t="shared" si="147"/>
        <v>4194.6037100282083</v>
      </c>
      <c r="W236" s="14">
        <f t="shared" si="147"/>
        <v>4153.5542201854578</v>
      </c>
      <c r="X236" s="187">
        <f t="shared" si="147"/>
        <v>4148.1697562368645</v>
      </c>
      <c r="Y236" s="158">
        <f t="shared" si="147"/>
        <v>4280.0224536456408</v>
      </c>
      <c r="Z236" s="158">
        <f t="shared" si="147"/>
        <v>4401.7070519193585</v>
      </c>
      <c r="AA236" s="158">
        <f t="shared" si="147"/>
        <v>4536.8150008481889</v>
      </c>
      <c r="AB236" s="158">
        <f t="shared" si="147"/>
        <v>4641.3647677671543</v>
      </c>
      <c r="AC236" s="158">
        <f t="shared" si="147"/>
        <v>4727.5580348518497</v>
      </c>
      <c r="AD236" s="158">
        <f t="shared" si="147"/>
        <v>4826.0893234502073</v>
      </c>
      <c r="AE236" s="158">
        <f t="shared" si="147"/>
        <v>4905.8400897355514</v>
      </c>
      <c r="AF236" s="158">
        <f t="shared" si="147"/>
        <v>4967.0568421077878</v>
      </c>
      <c r="AG236" s="158">
        <f t="shared" si="147"/>
        <v>4988.3914296509301</v>
      </c>
      <c r="AH236" s="187">
        <f t="shared" si="147"/>
        <v>5032.0610053730616</v>
      </c>
    </row>
    <row r="237" spans="1:34">
      <c r="A237" t="s">
        <v>419</v>
      </c>
      <c r="C237" s="331">
        <f t="shared" ref="C237:AH237" si="148">C216-C197</f>
        <v>0</v>
      </c>
      <c r="D237" s="331">
        <f t="shared" si="148"/>
        <v>680.46788244112395</v>
      </c>
      <c r="E237" s="331">
        <f t="shared" si="148"/>
        <v>971.06221068078685</v>
      </c>
      <c r="F237" s="331">
        <f t="shared" si="148"/>
        <v>1904.7674045768672</v>
      </c>
      <c r="G237" s="331">
        <f t="shared" si="148"/>
        <v>1062.7333289980179</v>
      </c>
      <c r="H237" s="402">
        <f t="shared" si="148"/>
        <v>0</v>
      </c>
      <c r="I237" s="14">
        <f t="shared" si="148"/>
        <v>-16.997985774423796</v>
      </c>
      <c r="J237" s="14">
        <f t="shared" si="148"/>
        <v>206.75777131761606</v>
      </c>
      <c r="K237" s="14">
        <f t="shared" si="148"/>
        <v>143.65133133837026</v>
      </c>
      <c r="L237" s="14">
        <f t="shared" si="148"/>
        <v>144.76298900193797</v>
      </c>
      <c r="M237" s="14">
        <f t="shared" si="148"/>
        <v>117.94225938776253</v>
      </c>
      <c r="N237" s="187">
        <f t="shared" si="148"/>
        <v>0</v>
      </c>
      <c r="O237" s="14">
        <f t="shared" si="148"/>
        <v>-99.517472640443884</v>
      </c>
      <c r="P237" s="14">
        <f t="shared" si="148"/>
        <v>-86.645401630246852</v>
      </c>
      <c r="Q237" s="14">
        <f t="shared" si="148"/>
        <v>12.477050226862048</v>
      </c>
      <c r="R237" s="14">
        <f t="shared" si="148"/>
        <v>-36.657150839366295</v>
      </c>
      <c r="S237" s="14">
        <f t="shared" si="148"/>
        <v>-69.469158399730077</v>
      </c>
      <c r="T237" s="14">
        <f t="shared" si="148"/>
        <v>87.689193259171589</v>
      </c>
      <c r="U237" s="14">
        <f t="shared" si="148"/>
        <v>116.71046410990402</v>
      </c>
      <c r="V237" s="14">
        <f t="shared" si="148"/>
        <v>56.737270403864386</v>
      </c>
      <c r="W237" s="14">
        <f t="shared" si="148"/>
        <v>70.203007997932218</v>
      </c>
      <c r="X237" s="187">
        <f t="shared" si="148"/>
        <v>-6.0668191513286729E-2</v>
      </c>
      <c r="Y237" s="158">
        <f t="shared" si="148"/>
        <v>97.80822080138023</v>
      </c>
      <c r="Z237" s="158">
        <f t="shared" si="148"/>
        <v>170.66267190839062</v>
      </c>
      <c r="AA237" s="158">
        <f t="shared" si="148"/>
        <v>257.00064154582651</v>
      </c>
      <c r="AB237" s="158">
        <f t="shared" si="148"/>
        <v>294.14876731145614</v>
      </c>
      <c r="AC237" s="158">
        <f t="shared" si="148"/>
        <v>288.91872281584256</v>
      </c>
      <c r="AD237" s="158">
        <f t="shared" si="148"/>
        <v>296.19105157877311</v>
      </c>
      <c r="AE237" s="158">
        <f t="shared" si="148"/>
        <v>269.52818273294906</v>
      </c>
      <c r="AF237" s="158">
        <f t="shared" si="148"/>
        <v>210.42520841153964</v>
      </c>
      <c r="AG237" s="158">
        <f t="shared" si="148"/>
        <v>90.667835142439799</v>
      </c>
      <c r="AH237" s="187">
        <f t="shared" si="148"/>
        <v>-0.11579189793610567</v>
      </c>
    </row>
    <row r="238" spans="1:34">
      <c r="A238" t="s">
        <v>420</v>
      </c>
      <c r="C238" s="331">
        <f t="shared" ref="C238:AH238" si="149">C217-C198</f>
        <v>0</v>
      </c>
      <c r="D238" s="331">
        <f t="shared" si="149"/>
        <v>358.14099075848571</v>
      </c>
      <c r="E238" s="331">
        <f t="shared" si="149"/>
        <v>511.08537404251911</v>
      </c>
      <c r="F238" s="331">
        <f t="shared" si="149"/>
        <v>1002.5091603036144</v>
      </c>
      <c r="G238" s="331">
        <f t="shared" si="149"/>
        <v>559.33333105158908</v>
      </c>
      <c r="H238" s="402">
        <f t="shared" si="149"/>
        <v>0</v>
      </c>
      <c r="I238" s="14">
        <f t="shared" si="149"/>
        <v>-8.9463083023283616</v>
      </c>
      <c r="J238" s="14">
        <f t="shared" si="149"/>
        <v>108.81987964085056</v>
      </c>
      <c r="K238" s="14">
        <f t="shared" si="149"/>
        <v>75.605963862300086</v>
      </c>
      <c r="L238" s="14">
        <f t="shared" si="149"/>
        <v>76.19104684312515</v>
      </c>
      <c r="M238" s="14">
        <f t="shared" si="149"/>
        <v>62.074873361980281</v>
      </c>
      <c r="N238" s="187">
        <f t="shared" si="149"/>
        <v>0</v>
      </c>
      <c r="O238" s="14">
        <f t="shared" si="149"/>
        <v>-52.37761717918147</v>
      </c>
      <c r="P238" s="14">
        <f t="shared" si="149"/>
        <v>-45.602842963287912</v>
      </c>
      <c r="Q238" s="14">
        <f t="shared" si="149"/>
        <v>6.5668685404534699</v>
      </c>
      <c r="R238" s="14">
        <f t="shared" si="149"/>
        <v>-19.293237283876806</v>
      </c>
      <c r="S238" s="14">
        <f t="shared" si="149"/>
        <v>-36.562714947226141</v>
      </c>
      <c r="T238" s="14">
        <f t="shared" si="149"/>
        <v>46.152206978511458</v>
      </c>
      <c r="U238" s="14">
        <f t="shared" si="149"/>
        <v>61.426560057844199</v>
      </c>
      <c r="V238" s="14">
        <f t="shared" si="149"/>
        <v>29.861721265191591</v>
      </c>
      <c r="W238" s="14">
        <f t="shared" si="149"/>
        <v>36.948951577858679</v>
      </c>
      <c r="X238" s="187">
        <f t="shared" si="149"/>
        <v>-3.1930627112615184E-2</v>
      </c>
      <c r="Y238" s="158">
        <f t="shared" si="149"/>
        <v>51.478010948094379</v>
      </c>
      <c r="Z238" s="158">
        <f t="shared" si="149"/>
        <v>89.82245889915248</v>
      </c>
      <c r="AA238" s="158">
        <f t="shared" si="149"/>
        <v>135.26349555043498</v>
      </c>
      <c r="AB238" s="158">
        <f t="shared" si="149"/>
        <v>154.81514069023979</v>
      </c>
      <c r="AC238" s="158">
        <f t="shared" si="149"/>
        <v>152.06248569254922</v>
      </c>
      <c r="AD238" s="158">
        <f t="shared" si="149"/>
        <v>155.89002714672324</v>
      </c>
      <c r="AE238" s="158">
        <f t="shared" si="149"/>
        <v>141.85693828049989</v>
      </c>
      <c r="AF238" s="158">
        <f t="shared" si="149"/>
        <v>110.75010969028426</v>
      </c>
      <c r="AG238" s="158">
        <f t="shared" si="149"/>
        <v>47.719913232863291</v>
      </c>
      <c r="AH238" s="187">
        <f t="shared" si="149"/>
        <v>-6.094310417665838E-2</v>
      </c>
    </row>
    <row r="239" spans="1:34">
      <c r="A239" t="s">
        <v>421</v>
      </c>
      <c r="C239" s="331">
        <f t="shared" ref="C239:AH239" si="150">C218-C199</f>
        <v>0</v>
      </c>
      <c r="D239" s="331">
        <f t="shared" si="150"/>
        <v>322.32689168263823</v>
      </c>
      <c r="E239" s="331">
        <f t="shared" si="150"/>
        <v>459.97683663826774</v>
      </c>
      <c r="F239" s="331">
        <f t="shared" si="150"/>
        <v>902.25824427325324</v>
      </c>
      <c r="G239" s="331">
        <f t="shared" si="150"/>
        <v>503.39999794643018</v>
      </c>
      <c r="H239" s="402">
        <f t="shared" si="150"/>
        <v>0</v>
      </c>
      <c r="I239" s="14">
        <f t="shared" si="150"/>
        <v>-8.051677472096344</v>
      </c>
      <c r="J239" s="14">
        <f t="shared" si="150"/>
        <v>97.937891676765048</v>
      </c>
      <c r="K239" s="14">
        <f t="shared" si="150"/>
        <v>68.045367476070169</v>
      </c>
      <c r="L239" s="14">
        <f t="shared" si="150"/>
        <v>68.571942158812362</v>
      </c>
      <c r="M239" s="14">
        <f t="shared" si="150"/>
        <v>55.867386025782253</v>
      </c>
      <c r="N239" s="187">
        <f t="shared" si="150"/>
        <v>0</v>
      </c>
      <c r="O239" s="14">
        <f t="shared" si="150"/>
        <v>-47.139855461263323</v>
      </c>
      <c r="P239" s="14">
        <f t="shared" si="150"/>
        <v>-41.042558666959394</v>
      </c>
      <c r="Q239" s="14">
        <f t="shared" si="150"/>
        <v>5.9101816864085777</v>
      </c>
      <c r="R239" s="14">
        <f t="shared" si="150"/>
        <v>-17.363913555489489</v>
      </c>
      <c r="S239" s="14">
        <f t="shared" si="150"/>
        <v>-32.906443452503936</v>
      </c>
      <c r="T239" s="14">
        <f t="shared" si="150"/>
        <v>41.53698628066013</v>
      </c>
      <c r="U239" s="14">
        <f t="shared" si="150"/>
        <v>55.28390405205937</v>
      </c>
      <c r="V239" s="14">
        <f t="shared" si="150"/>
        <v>26.875549138672341</v>
      </c>
      <c r="W239" s="14">
        <f t="shared" si="150"/>
        <v>33.254056420073084</v>
      </c>
      <c r="X239" s="187">
        <f t="shared" si="150"/>
        <v>-2.8737564401126292E-2</v>
      </c>
      <c r="Y239" s="158">
        <f t="shared" si="150"/>
        <v>46.330209853284941</v>
      </c>
      <c r="Z239" s="158">
        <f t="shared" si="150"/>
        <v>80.840213009237686</v>
      </c>
      <c r="AA239" s="158">
        <f t="shared" si="150"/>
        <v>121.73714599539153</v>
      </c>
      <c r="AB239" s="158">
        <f t="shared" si="150"/>
        <v>139.3336266212159</v>
      </c>
      <c r="AC239" s="158">
        <f t="shared" si="150"/>
        <v>136.85623712329379</v>
      </c>
      <c r="AD239" s="158">
        <f t="shared" si="150"/>
        <v>140.30102443205078</v>
      </c>
      <c r="AE239" s="158">
        <f t="shared" si="150"/>
        <v>127.67124445245008</v>
      </c>
      <c r="AF239" s="158">
        <f t="shared" si="150"/>
        <v>99.675098721255381</v>
      </c>
      <c r="AG239" s="158">
        <f t="shared" si="150"/>
        <v>42.947921909576507</v>
      </c>
      <c r="AH239" s="187">
        <f t="shared" si="150"/>
        <v>-5.4848793758992542E-2</v>
      </c>
    </row>
    <row r="240" spans="1:34">
      <c r="A240" t="s">
        <v>393</v>
      </c>
      <c r="C240" s="331">
        <f>C219-C200</f>
        <v>2.9260000000003856</v>
      </c>
      <c r="D240" s="331">
        <f t="shared" ref="D240:AH240" si="151">D219-D200+D249+D252</f>
        <v>-600.64899832943956</v>
      </c>
      <c r="E240" s="331">
        <f t="shared" si="151"/>
        <v>-702.73966760781241</v>
      </c>
      <c r="F240" s="331">
        <f t="shared" si="151"/>
        <v>-1413.747419694806</v>
      </c>
      <c r="G240" s="331">
        <f t="shared" si="151"/>
        <v>-638.34527574389722</v>
      </c>
      <c r="H240" s="402">
        <f t="shared" si="151"/>
        <v>43.387324576073297</v>
      </c>
      <c r="I240" s="14">
        <f t="shared" si="151"/>
        <v>-63.439196991743302</v>
      </c>
      <c r="J240" s="14">
        <f t="shared" si="151"/>
        <v>-432.71791612580455</v>
      </c>
      <c r="K240" s="14">
        <f t="shared" si="151"/>
        <v>-644.66814036425967</v>
      </c>
      <c r="L240" s="14">
        <f t="shared" si="151"/>
        <v>-957.7334908041812</v>
      </c>
      <c r="M240" s="14">
        <f t="shared" si="151"/>
        <v>-1315.837041347525</v>
      </c>
      <c r="N240" s="187">
        <f t="shared" si="151"/>
        <v>-1695.7462663766328</v>
      </c>
      <c r="O240" s="14">
        <f t="shared" si="151"/>
        <v>-1614.1721559871712</v>
      </c>
      <c r="P240" s="14">
        <f t="shared" si="151"/>
        <v>-1660.4433722692538</v>
      </c>
      <c r="Q240" s="14">
        <f t="shared" si="151"/>
        <v>-1806.339089699959</v>
      </c>
      <c r="R240" s="14">
        <f t="shared" si="151"/>
        <v>-1776.224463045517</v>
      </c>
      <c r="S240" s="14">
        <f t="shared" si="151"/>
        <v>-1765.873586566323</v>
      </c>
      <c r="T240" s="14">
        <f t="shared" si="151"/>
        <v>-1979.2977830108994</v>
      </c>
      <c r="U240" s="14">
        <f t="shared" si="151"/>
        <v>-2042.3464650482601</v>
      </c>
      <c r="V240" s="14">
        <f t="shared" si="151"/>
        <v>-1999.655051506028</v>
      </c>
      <c r="W240" s="14">
        <f t="shared" si="151"/>
        <v>-2044.2084922751692</v>
      </c>
      <c r="X240" s="187">
        <f t="shared" si="151"/>
        <v>-1986.379028069674</v>
      </c>
      <c r="Y240" s="158">
        <f t="shared" si="151"/>
        <v>-2159.652865459906</v>
      </c>
      <c r="Z240" s="158">
        <f t="shared" si="151"/>
        <v>-2307.6128075648812</v>
      </c>
      <c r="AA240" s="158">
        <f t="shared" si="151"/>
        <v>-2476.8355687394906</v>
      </c>
      <c r="AB240" s="158">
        <f t="shared" si="151"/>
        <v>-2580.0393454729874</v>
      </c>
      <c r="AC240" s="158">
        <f t="shared" si="151"/>
        <v>-2640.0296175924268</v>
      </c>
      <c r="AD240" s="158">
        <f t="shared" si="151"/>
        <v>-2718.8764935333893</v>
      </c>
      <c r="AE240" s="158">
        <f t="shared" si="151"/>
        <v>-2756.8888947702162</v>
      </c>
      <c r="AF240" s="158">
        <f t="shared" si="151"/>
        <v>-2755.3663982253292</v>
      </c>
      <c r="AG240" s="158">
        <f t="shared" si="151"/>
        <v>-2674.945347582121</v>
      </c>
      <c r="AH240" s="187">
        <f t="shared" si="151"/>
        <v>-2632.9164667266941</v>
      </c>
    </row>
    <row r="241" spans="1:34">
      <c r="A241" t="s">
        <v>422</v>
      </c>
      <c r="C241" s="331">
        <f>C220-C201</f>
        <v>1.5399999999999636</v>
      </c>
      <c r="D241" s="331">
        <f t="shared" ref="D241:AH241" si="152">D220-D201+D250+D253</f>
        <v>-316.13105175233704</v>
      </c>
      <c r="E241" s="331">
        <f t="shared" si="152"/>
        <v>-369.86298295148026</v>
      </c>
      <c r="F241" s="331">
        <f t="shared" si="152"/>
        <v>-744.07758931305625</v>
      </c>
      <c r="G241" s="331">
        <f t="shared" si="152"/>
        <v>-335.97119775994543</v>
      </c>
      <c r="H241" s="402">
        <f t="shared" si="152"/>
        <v>22.835433987406759</v>
      </c>
      <c r="I241" s="14">
        <f t="shared" si="152"/>
        <v>-33.389051048286092</v>
      </c>
      <c r="J241" s="14">
        <f t="shared" si="152"/>
        <v>-227.74627164516005</v>
      </c>
      <c r="K241" s="14">
        <f t="shared" si="152"/>
        <v>-339.29902124434648</v>
      </c>
      <c r="L241" s="14">
        <f t="shared" si="152"/>
        <v>-504.07025831799001</v>
      </c>
      <c r="M241" s="14">
        <f t="shared" si="152"/>
        <v>-692.54581123553908</v>
      </c>
      <c r="N241" s="187">
        <f t="shared" si="152"/>
        <v>-892.49803493506943</v>
      </c>
      <c r="O241" s="14">
        <f t="shared" si="152"/>
        <v>-849.56429262482652</v>
      </c>
      <c r="P241" s="14">
        <f t="shared" si="152"/>
        <v>-873.91756435223988</v>
      </c>
      <c r="Q241" s="14">
        <f t="shared" si="152"/>
        <v>-950.70478405261019</v>
      </c>
      <c r="R241" s="14">
        <f t="shared" si="152"/>
        <v>-934.85498055027165</v>
      </c>
      <c r="S241" s="14">
        <f t="shared" si="152"/>
        <v>-929.40715082438055</v>
      </c>
      <c r="T241" s="14">
        <f t="shared" si="152"/>
        <v>-1041.7356752688938</v>
      </c>
      <c r="U241" s="14">
        <f t="shared" si="152"/>
        <v>-1074.9191921306638</v>
      </c>
      <c r="V241" s="14">
        <f t="shared" si="152"/>
        <v>-1052.4500271084362</v>
      </c>
      <c r="W241" s="14">
        <f t="shared" si="152"/>
        <v>-1075.8992064606164</v>
      </c>
      <c r="X241" s="187">
        <f t="shared" si="152"/>
        <v>-1045.462646352461</v>
      </c>
      <c r="Y241" s="158">
        <f t="shared" si="152"/>
        <v>-1136.6594028736345</v>
      </c>
      <c r="Z241" s="158">
        <f t="shared" si="152"/>
        <v>-1214.5330566130951</v>
      </c>
      <c r="AA241" s="158">
        <f t="shared" si="152"/>
        <v>-1303.5976677576273</v>
      </c>
      <c r="AB241" s="158">
        <f t="shared" si="152"/>
        <v>-1357.9154449857824</v>
      </c>
      <c r="AC241" s="158">
        <f t="shared" si="152"/>
        <v>-1389.4892724170677</v>
      </c>
      <c r="AD241" s="158">
        <f t="shared" si="152"/>
        <v>-1430.9876281754687</v>
      </c>
      <c r="AE241" s="158">
        <f t="shared" si="152"/>
        <v>-1450.9941551422189</v>
      </c>
      <c r="AF241" s="158">
        <f t="shared" si="152"/>
        <v>-1450.1928411712261</v>
      </c>
      <c r="AG241" s="158">
        <f t="shared" si="152"/>
        <v>-1407.8659724116424</v>
      </c>
      <c r="AH241" s="187">
        <f t="shared" si="152"/>
        <v>-1385.7455088035222</v>
      </c>
    </row>
    <row r="242" spans="1:34">
      <c r="A242" t="s">
        <v>423</v>
      </c>
      <c r="C242" s="331">
        <f>C221-C202</f>
        <v>1.3859999999999673</v>
      </c>
      <c r="D242" s="331">
        <f t="shared" ref="D242:AH242" si="153">D221-D202+D251+D254</f>
        <v>-284.51794657710343</v>
      </c>
      <c r="E242" s="331">
        <f t="shared" si="153"/>
        <v>-332.8766846563326</v>
      </c>
      <c r="F242" s="331">
        <f t="shared" si="153"/>
        <v>-669.66983038175022</v>
      </c>
      <c r="G242" s="331">
        <f t="shared" si="153"/>
        <v>-302.37407798395179</v>
      </c>
      <c r="H242" s="402">
        <f t="shared" si="153"/>
        <v>20.551890588666083</v>
      </c>
      <c r="I242" s="14">
        <f t="shared" si="153"/>
        <v>-30.05014594345721</v>
      </c>
      <c r="J242" s="14">
        <f t="shared" si="153"/>
        <v>-204.9716444806445</v>
      </c>
      <c r="K242" s="14">
        <f t="shared" si="153"/>
        <v>-305.36911911991228</v>
      </c>
      <c r="L242" s="14">
        <f t="shared" si="153"/>
        <v>-453.66323248619119</v>
      </c>
      <c r="M242" s="14">
        <f t="shared" si="153"/>
        <v>-623.2912301119859</v>
      </c>
      <c r="N242" s="187">
        <f t="shared" si="153"/>
        <v>-803.24823144156289</v>
      </c>
      <c r="O242" s="14">
        <f t="shared" si="153"/>
        <v>-764.60786336234469</v>
      </c>
      <c r="P242" s="14">
        <f t="shared" si="153"/>
        <v>-786.5258079170153</v>
      </c>
      <c r="Q242" s="14">
        <f t="shared" si="153"/>
        <v>-855.63430564734881</v>
      </c>
      <c r="R242" s="14">
        <f t="shared" si="153"/>
        <v>-841.36948249524494</v>
      </c>
      <c r="S242" s="14">
        <f t="shared" si="153"/>
        <v>-836.46643574194241</v>
      </c>
      <c r="T242" s="14">
        <f t="shared" si="153"/>
        <v>-937.56210774200463</v>
      </c>
      <c r="U242" s="14">
        <f t="shared" si="153"/>
        <v>-967.4272729175982</v>
      </c>
      <c r="V242" s="14">
        <f t="shared" si="153"/>
        <v>-947.20502439759275</v>
      </c>
      <c r="W242" s="14">
        <f t="shared" si="153"/>
        <v>-968.30928581455373</v>
      </c>
      <c r="X242" s="187">
        <f t="shared" si="153"/>
        <v>-940.91638171721479</v>
      </c>
      <c r="Y242" s="158">
        <f t="shared" si="153"/>
        <v>-1022.9934625862707</v>
      </c>
      <c r="Z242" s="158">
        <f t="shared" si="153"/>
        <v>-1093.0797509517852</v>
      </c>
      <c r="AA242" s="158">
        <f t="shared" si="153"/>
        <v>-1173.2379009818642</v>
      </c>
      <c r="AB242" s="158">
        <f t="shared" si="153"/>
        <v>-1222.1239004872041</v>
      </c>
      <c r="AC242" s="158">
        <f t="shared" si="153"/>
        <v>-1250.5403451753609</v>
      </c>
      <c r="AD242" s="158">
        <f t="shared" si="153"/>
        <v>-1287.8888653579215</v>
      </c>
      <c r="AE242" s="158">
        <f t="shared" si="153"/>
        <v>-1305.8947396279964</v>
      </c>
      <c r="AF242" s="158">
        <f t="shared" si="153"/>
        <v>-1305.1735570541041</v>
      </c>
      <c r="AG242" s="158">
        <f t="shared" si="153"/>
        <v>-1267.0793751704787</v>
      </c>
      <c r="AH242" s="187">
        <f t="shared" si="153"/>
        <v>-1247.170957923171</v>
      </c>
    </row>
    <row r="243" spans="1:34" s="1" customFormat="1">
      <c r="A243" s="1" t="s">
        <v>404</v>
      </c>
      <c r="B243" s="13"/>
      <c r="C243" s="341">
        <f>C222-C203</f>
        <v>2.9257300000008399</v>
      </c>
      <c r="D243" s="341">
        <f t="shared" ref="D243:AH243" si="154">D222-D203+D249+D252</f>
        <v>176.63124615140077</v>
      </c>
      <c r="E243" s="341">
        <f t="shared" si="154"/>
        <v>310.78175537620518</v>
      </c>
      <c r="F243" s="341">
        <f t="shared" si="154"/>
        <v>626.14726181179867</v>
      </c>
      <c r="G243" s="341">
        <f t="shared" si="154"/>
        <v>513.25898202478129</v>
      </c>
      <c r="H243" s="405">
        <f t="shared" si="154"/>
        <v>43.387054576072842</v>
      </c>
      <c r="I243" s="15">
        <f t="shared" si="154"/>
        <v>251.5998098487762</v>
      </c>
      <c r="J243" s="15">
        <f t="shared" si="154"/>
        <v>815.74451881380446</v>
      </c>
      <c r="K243" s="15">
        <f t="shared" si="154"/>
        <v>1542.6002527723977</v>
      </c>
      <c r="L243" s="15">
        <f t="shared" si="154"/>
        <v>2632.0146195591951</v>
      </c>
      <c r="M243" s="15">
        <f t="shared" si="154"/>
        <v>4208.8740699088667</v>
      </c>
      <c r="N243" s="190">
        <f t="shared" si="154"/>
        <v>6247.2831447285171</v>
      </c>
      <c r="O243" s="15">
        <f t="shared" si="154"/>
        <v>6207.9762234928749</v>
      </c>
      <c r="P243" s="15">
        <f t="shared" si="154"/>
        <v>6286.1081105452249</v>
      </c>
      <c r="Q243" s="15">
        <f t="shared" si="154"/>
        <v>6457.4326985626903</v>
      </c>
      <c r="R243" s="15">
        <f t="shared" si="154"/>
        <v>6478.1252767105179</v>
      </c>
      <c r="S243" s="15">
        <f t="shared" si="154"/>
        <v>6521.524019230299</v>
      </c>
      <c r="T243" s="15">
        <f t="shared" si="154"/>
        <v>6769.4254772688837</v>
      </c>
      <c r="U243" s="15">
        <f t="shared" si="154"/>
        <v>6886.9134745292831</v>
      </c>
      <c r="V243" s="15">
        <f t="shared" si="154"/>
        <v>6912.3576880551482</v>
      </c>
      <c r="W243" s="15">
        <f t="shared" si="154"/>
        <v>6794.6099704358494</v>
      </c>
      <c r="X243" s="190">
        <f t="shared" si="154"/>
        <v>6770.8085654972856</v>
      </c>
      <c r="Y243" s="130">
        <f t="shared" si="154"/>
        <v>6973.759352360521</v>
      </c>
      <c r="Z243" s="130">
        <f t="shared" si="154"/>
        <v>7155.5436077237318</v>
      </c>
      <c r="AA243" s="130">
        <f t="shared" si="154"/>
        <v>7357.8867508877447</v>
      </c>
      <c r="AB243" s="130">
        <f t="shared" si="154"/>
        <v>7512.5473114698689</v>
      </c>
      <c r="AC243" s="130">
        <f t="shared" si="154"/>
        <v>7629.2905905679618</v>
      </c>
      <c r="AD243" s="130">
        <f t="shared" si="154"/>
        <v>7765.7265766458404</v>
      </c>
      <c r="AE243" s="130">
        <f t="shared" si="154"/>
        <v>7869.4140663075013</v>
      </c>
      <c r="AF243" s="130">
        <f t="shared" si="154"/>
        <v>7941.0689812424316</v>
      </c>
      <c r="AG243" s="130">
        <f t="shared" si="154"/>
        <v>7946.7723603373743</v>
      </c>
      <c r="AH243" s="190">
        <f t="shared" si="154"/>
        <v>7990.20896314727</v>
      </c>
    </row>
    <row r="244" spans="1:34">
      <c r="A244" t="s">
        <v>444</v>
      </c>
      <c r="C244" s="331"/>
      <c r="D244" s="331">
        <f>D231+D234</f>
        <v>96.812362039716419</v>
      </c>
      <c r="E244" s="331">
        <f t="shared" ref="E244:N244" si="155">E231+E234</f>
        <v>42.459212303229265</v>
      </c>
      <c r="F244" s="331">
        <f t="shared" si="155"/>
        <v>135.1272769297384</v>
      </c>
      <c r="G244" s="331">
        <f t="shared" si="155"/>
        <v>88.870928770659248</v>
      </c>
      <c r="H244" s="402">
        <f t="shared" si="155"/>
        <v>-2.7000000000043656E-4</v>
      </c>
      <c r="I244" s="14">
        <f t="shared" si="155"/>
        <v>332.03699261494603</v>
      </c>
      <c r="J244" s="14">
        <f t="shared" si="155"/>
        <v>1041.7046636219929</v>
      </c>
      <c r="K244" s="14">
        <f t="shared" si="155"/>
        <v>2043.6170617982871</v>
      </c>
      <c r="L244" s="14">
        <f t="shared" si="155"/>
        <v>3444.9851213614393</v>
      </c>
      <c r="M244" s="14">
        <f t="shared" si="155"/>
        <v>5406.7688518686273</v>
      </c>
      <c r="N244" s="187">
        <f t="shared" si="155"/>
        <v>7943.0294111051498</v>
      </c>
      <c r="O244" s="14">
        <f>O231+O234</f>
        <v>7921.6658521204881</v>
      </c>
      <c r="P244" s="14">
        <f t="shared" ref="P244:AH244" si="156">P231+P234</f>
        <v>8033.1968844447256</v>
      </c>
      <c r="Q244" s="14">
        <f t="shared" si="156"/>
        <v>8251.2947380357909</v>
      </c>
      <c r="R244" s="14">
        <f t="shared" si="156"/>
        <v>8291.0068905954013</v>
      </c>
      <c r="S244" s="14">
        <f t="shared" si="156"/>
        <v>8356.8667641963493</v>
      </c>
      <c r="T244" s="14">
        <f t="shared" si="156"/>
        <v>8661.0340670206133</v>
      </c>
      <c r="U244" s="14">
        <f t="shared" si="156"/>
        <v>8812.5494754676401</v>
      </c>
      <c r="V244" s="14">
        <f t="shared" si="156"/>
        <v>8855.27546915731</v>
      </c>
      <c r="W244" s="14">
        <f t="shared" si="156"/>
        <v>8768.6154547130864</v>
      </c>
      <c r="X244" s="187">
        <f t="shared" si="156"/>
        <v>8757.2482617584737</v>
      </c>
      <c r="Y244" s="158">
        <f t="shared" si="156"/>
        <v>9035.603997019045</v>
      </c>
      <c r="Z244" s="158">
        <f t="shared" si="156"/>
        <v>9292.4937433802206</v>
      </c>
      <c r="AA244" s="158">
        <f t="shared" si="156"/>
        <v>9577.7216780814106</v>
      </c>
      <c r="AB244" s="158">
        <f t="shared" si="156"/>
        <v>9798.437889631401</v>
      </c>
      <c r="AC244" s="158">
        <f t="shared" si="156"/>
        <v>9980.4014853445478</v>
      </c>
      <c r="AD244" s="158">
        <f t="shared" si="156"/>
        <v>10188.41201860046</v>
      </c>
      <c r="AE244" s="158">
        <f t="shared" si="156"/>
        <v>10356.774778344765</v>
      </c>
      <c r="AF244" s="158">
        <f t="shared" si="156"/>
        <v>10486.010171056225</v>
      </c>
      <c r="AG244" s="158">
        <f t="shared" si="156"/>
        <v>10531.049872777061</v>
      </c>
      <c r="AH244" s="187">
        <f t="shared" si="156"/>
        <v>10623.241221771899</v>
      </c>
    </row>
    <row r="245" spans="1:34">
      <c r="A245" t="s">
        <v>445</v>
      </c>
      <c r="D245" s="331">
        <f>D231+D234+D237</f>
        <v>777.28024448084034</v>
      </c>
      <c r="E245" s="331">
        <f t="shared" ref="E245:N245" si="157">E231+E234+E237</f>
        <v>1013.5214229840161</v>
      </c>
      <c r="F245" s="331">
        <f t="shared" si="157"/>
        <v>2039.8946815066056</v>
      </c>
      <c r="G245" s="331">
        <f t="shared" si="157"/>
        <v>1151.6042577686771</v>
      </c>
      <c r="H245" s="402">
        <f t="shared" si="157"/>
        <v>-2.7000000000043656E-4</v>
      </c>
      <c r="I245" s="14">
        <f t="shared" si="157"/>
        <v>315.03900684052223</v>
      </c>
      <c r="J245" s="14">
        <f t="shared" si="157"/>
        <v>1248.462434939609</v>
      </c>
      <c r="K245" s="14">
        <f t="shared" si="157"/>
        <v>2187.2683931366573</v>
      </c>
      <c r="L245" s="14">
        <f t="shared" si="157"/>
        <v>3589.7481103633772</v>
      </c>
      <c r="M245" s="14">
        <f t="shared" si="157"/>
        <v>5524.7111112563898</v>
      </c>
      <c r="N245" s="187">
        <f t="shared" si="157"/>
        <v>7943.0294111051498</v>
      </c>
      <c r="O245" s="14">
        <f>O231+O234+O237</f>
        <v>7822.1483794800442</v>
      </c>
      <c r="P245" s="14">
        <f t="shared" ref="P245:AH245" si="158">P231+P234+P237</f>
        <v>7946.5514828144787</v>
      </c>
      <c r="Q245" s="14">
        <f t="shared" si="158"/>
        <v>8263.771788262653</v>
      </c>
      <c r="R245" s="14">
        <f t="shared" si="158"/>
        <v>8254.349739756035</v>
      </c>
      <c r="S245" s="14">
        <f t="shared" si="158"/>
        <v>8287.3976057966192</v>
      </c>
      <c r="T245" s="14">
        <f t="shared" si="158"/>
        <v>8748.7232602797849</v>
      </c>
      <c r="U245" s="14">
        <f t="shared" si="158"/>
        <v>8929.2599395775433</v>
      </c>
      <c r="V245" s="14">
        <f t="shared" si="158"/>
        <v>8912.0127395611744</v>
      </c>
      <c r="W245" s="14">
        <f t="shared" si="158"/>
        <v>8838.8184627110186</v>
      </c>
      <c r="X245" s="187">
        <f t="shared" si="158"/>
        <v>8757.1875935669595</v>
      </c>
      <c r="Y245" s="158">
        <f t="shared" si="158"/>
        <v>9133.4122178204252</v>
      </c>
      <c r="Z245" s="158">
        <f t="shared" si="158"/>
        <v>9463.1564152886112</v>
      </c>
      <c r="AA245" s="158">
        <f t="shared" si="158"/>
        <v>9834.7223196272371</v>
      </c>
      <c r="AB245" s="158">
        <f t="shared" si="158"/>
        <v>10092.586656942858</v>
      </c>
      <c r="AC245" s="158">
        <f t="shared" si="158"/>
        <v>10269.32020816039</v>
      </c>
      <c r="AD245" s="158">
        <f t="shared" si="158"/>
        <v>10484.603070179233</v>
      </c>
      <c r="AE245" s="158">
        <f t="shared" si="158"/>
        <v>10626.302961077714</v>
      </c>
      <c r="AF245" s="158">
        <f t="shared" si="158"/>
        <v>10696.435379467765</v>
      </c>
      <c r="AG245" s="158">
        <f t="shared" si="158"/>
        <v>10621.717707919501</v>
      </c>
      <c r="AH245" s="187">
        <f t="shared" si="158"/>
        <v>10623.125429873962</v>
      </c>
    </row>
    <row r="246" spans="1:34" s="1" customFormat="1">
      <c r="A246" s="1" t="s">
        <v>448</v>
      </c>
      <c r="B246" s="13"/>
      <c r="C246" s="328"/>
      <c r="D246" s="341">
        <f>D243</f>
        <v>176.63124615140077</v>
      </c>
      <c r="E246" s="341">
        <f>D246+E243</f>
        <v>487.41300152760596</v>
      </c>
      <c r="F246" s="341">
        <f>E246+F243</f>
        <v>1113.5602633394046</v>
      </c>
      <c r="G246" s="341">
        <f>F246+G243</f>
        <v>1626.8192453641859</v>
      </c>
      <c r="H246" s="405"/>
      <c r="I246" s="15">
        <f t="shared" ref="I246:X246" si="159">H246+I243</f>
        <v>251.5998098487762</v>
      </c>
      <c r="J246" s="15">
        <f t="shared" si="159"/>
        <v>1067.3443286625807</v>
      </c>
      <c r="K246" s="15">
        <f t="shared" si="159"/>
        <v>2609.9445814349783</v>
      </c>
      <c r="L246" s="15">
        <f t="shared" si="159"/>
        <v>5241.9592009941734</v>
      </c>
      <c r="M246" s="15">
        <f t="shared" si="159"/>
        <v>9450.8332709030401</v>
      </c>
      <c r="N246" s="190">
        <f t="shared" si="159"/>
        <v>15698.116415631557</v>
      </c>
      <c r="O246" s="15">
        <f t="shared" si="159"/>
        <v>21906.092639124432</v>
      </c>
      <c r="P246" s="15">
        <f t="shared" si="159"/>
        <v>28192.200749669657</v>
      </c>
      <c r="Q246" s="15">
        <f t="shared" si="159"/>
        <v>34649.633448232344</v>
      </c>
      <c r="R246" s="15">
        <f t="shared" si="159"/>
        <v>41127.758724942862</v>
      </c>
      <c r="S246" s="15">
        <f t="shared" si="159"/>
        <v>47649.282744173164</v>
      </c>
      <c r="T246" s="15">
        <f t="shared" si="159"/>
        <v>54418.708221442052</v>
      </c>
      <c r="U246" s="15">
        <f t="shared" si="159"/>
        <v>61305.621695971335</v>
      </c>
      <c r="V246" s="15">
        <f t="shared" si="159"/>
        <v>68217.97938402649</v>
      </c>
      <c r="W246" s="15">
        <f t="shared" si="159"/>
        <v>75012.58935446234</v>
      </c>
      <c r="X246" s="190">
        <f t="shared" si="159"/>
        <v>81783.397919959622</v>
      </c>
      <c r="Y246" s="130">
        <f t="shared" ref="Y246:AH246" si="160">X246+Y243</f>
        <v>88757.157272320139</v>
      </c>
      <c r="Z246" s="130">
        <f t="shared" si="160"/>
        <v>95912.700880043878</v>
      </c>
      <c r="AA246" s="130">
        <f t="shared" si="160"/>
        <v>103270.58763093162</v>
      </c>
      <c r="AB246" s="130">
        <f t="shared" si="160"/>
        <v>110783.13494240149</v>
      </c>
      <c r="AC246" s="130">
        <f t="shared" si="160"/>
        <v>118412.42553296946</v>
      </c>
      <c r="AD246" s="130">
        <f t="shared" si="160"/>
        <v>126178.1521096153</v>
      </c>
      <c r="AE246" s="130">
        <f t="shared" si="160"/>
        <v>134047.56617592281</v>
      </c>
      <c r="AF246" s="130">
        <f t="shared" si="160"/>
        <v>141988.63515716523</v>
      </c>
      <c r="AG246" s="130">
        <f t="shared" si="160"/>
        <v>149935.40751750261</v>
      </c>
      <c r="AH246" s="190">
        <f t="shared" si="160"/>
        <v>157925.61648064989</v>
      </c>
    </row>
    <row r="247" spans="1:34">
      <c r="A247" t="s">
        <v>457</v>
      </c>
      <c r="D247" s="343" t="b">
        <f t="shared" ref="D247:AH247" si="161">IF(D185-D246&lt;1,TRUE,FALSE)</f>
        <v>1</v>
      </c>
      <c r="E247" s="343" t="b">
        <f t="shared" si="161"/>
        <v>1</v>
      </c>
      <c r="F247" s="343" t="b">
        <f t="shared" si="161"/>
        <v>1</v>
      </c>
      <c r="G247" s="343" t="b">
        <f t="shared" si="161"/>
        <v>1</v>
      </c>
      <c r="H247" s="408"/>
      <c r="I247" s="133" t="b">
        <f t="shared" si="161"/>
        <v>0</v>
      </c>
      <c r="J247" s="133" t="b">
        <f t="shared" si="161"/>
        <v>0</v>
      </c>
      <c r="K247" s="133" t="b">
        <f t="shared" si="161"/>
        <v>0</v>
      </c>
      <c r="L247" s="133" t="b">
        <f t="shared" si="161"/>
        <v>0</v>
      </c>
      <c r="M247" s="133" t="b">
        <f t="shared" si="161"/>
        <v>0</v>
      </c>
      <c r="N247" s="194" t="b">
        <f t="shared" si="161"/>
        <v>0</v>
      </c>
      <c r="O247" s="133" t="b">
        <f t="shared" si="161"/>
        <v>0</v>
      </c>
      <c r="P247" s="133" t="b">
        <f t="shared" si="161"/>
        <v>0</v>
      </c>
      <c r="Q247" s="133" t="b">
        <f t="shared" si="161"/>
        <v>0</v>
      </c>
      <c r="R247" s="133" t="b">
        <f t="shared" si="161"/>
        <v>0</v>
      </c>
      <c r="S247" s="133" t="b">
        <f t="shared" si="161"/>
        <v>0</v>
      </c>
      <c r="T247" s="133" t="b">
        <f t="shared" si="161"/>
        <v>0</v>
      </c>
      <c r="U247" s="133" t="b">
        <f t="shared" si="161"/>
        <v>0</v>
      </c>
      <c r="V247" s="133" t="b">
        <f t="shared" si="161"/>
        <v>0</v>
      </c>
      <c r="W247" s="133" t="b">
        <f t="shared" si="161"/>
        <v>0</v>
      </c>
      <c r="X247" s="194" t="b">
        <f t="shared" si="161"/>
        <v>0</v>
      </c>
      <c r="Y247" s="290" t="b">
        <f t="shared" si="161"/>
        <v>0</v>
      </c>
      <c r="Z247" s="290" t="b">
        <f t="shared" si="161"/>
        <v>0</v>
      </c>
      <c r="AA247" s="290" t="b">
        <f t="shared" si="161"/>
        <v>0</v>
      </c>
      <c r="AB247" s="290" t="b">
        <f t="shared" si="161"/>
        <v>0</v>
      </c>
      <c r="AC247" s="290" t="b">
        <f t="shared" si="161"/>
        <v>0</v>
      </c>
      <c r="AD247" s="290" t="b">
        <f t="shared" si="161"/>
        <v>0</v>
      </c>
      <c r="AE247" s="290" t="b">
        <f t="shared" si="161"/>
        <v>0</v>
      </c>
      <c r="AF247" s="290" t="b">
        <f t="shared" si="161"/>
        <v>0</v>
      </c>
      <c r="AG247" s="290" t="b">
        <f t="shared" si="161"/>
        <v>0</v>
      </c>
      <c r="AH247" s="194" t="b">
        <f t="shared" si="161"/>
        <v>0</v>
      </c>
    </row>
    <row r="248" spans="1:34">
      <c r="A248" t="s">
        <v>438</v>
      </c>
    </row>
    <row r="249" spans="1:34" s="1" customFormat="1">
      <c r="A249" s="1" t="s">
        <v>439</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441</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442</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440</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441</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442</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125" zoomScaleNormal="125" zoomScalePageLayoutView="125" workbookViewId="0">
      <pane xSplit="2" ySplit="2" topLeftCell="AC3" activePane="bottomRight" state="frozen"/>
      <selection pane="topRight" activeCell="C1" sqref="C1"/>
      <selection pane="bottomLeft" activeCell="A3" sqref="A3"/>
      <selection pane="bottomRight" activeCell="AG13" sqref="AG13:AH13"/>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61843</v>
      </c>
      <c r="D4" s="329">
        <f>EIA_electricity_aeo2014!F58 * 1000</f>
        <v>65768.999999999985</v>
      </c>
      <c r="E4" s="329">
        <f>EIA_electricity_aeo2014!G58 * 1000</f>
        <v>64998.236234841701</v>
      </c>
      <c r="F4" s="329">
        <f>EIA_electricity_aeo2014!H58 * 1000</f>
        <v>75053.081955556612</v>
      </c>
      <c r="G4" s="329">
        <f>EIA_electricity_aeo2014!I58 * 1000</f>
        <v>69055.949062592452</v>
      </c>
      <c r="H4" s="21">
        <f>EIA_electricity_aeo2014!J58 * 1000</f>
        <v>68379.763198489367</v>
      </c>
      <c r="I4" s="21">
        <f>EIA_electricity_aeo2014!K58 * 1000</f>
        <v>72295.275144932908</v>
      </c>
      <c r="J4" s="21">
        <f>EIA_electricity_aeo2014!L58 * 1000</f>
        <v>77330.796956587772</v>
      </c>
      <c r="K4" s="21">
        <f>EIA_electricity_aeo2014!M58 * 1000</f>
        <v>77957.264408972682</v>
      </c>
      <c r="L4" s="21">
        <f>EIA_electricity_aeo2014!N58 * 1000</f>
        <v>77968.351741421691</v>
      </c>
      <c r="M4" s="21">
        <f>EIA_electricity_aeo2014!O58 * 1000</f>
        <v>77676.008987662412</v>
      </c>
      <c r="N4" s="388">
        <f>EIA_electricity_aeo2014!P58 * 1000</f>
        <v>77503.376092340826</v>
      </c>
      <c r="O4" s="21">
        <f>EIA_electricity_aeo2014!Q58 * 1000</f>
        <v>76925.243711586518</v>
      </c>
      <c r="P4" s="21">
        <f>EIA_electricity_aeo2014!R58 * 1000</f>
        <v>77540.648291556834</v>
      </c>
      <c r="Q4" s="21">
        <f>EIA_electricity_aeo2014!S58 * 1000</f>
        <v>79098.684898045947</v>
      </c>
      <c r="R4" s="21">
        <f>EIA_electricity_aeo2014!T58 * 1000</f>
        <v>79063.71677894835</v>
      </c>
      <c r="S4" s="21">
        <f>EIA_electricity_aeo2014!U58 * 1000</f>
        <v>79206.256626302464</v>
      </c>
      <c r="T4" s="21">
        <f>EIA_electricity_aeo2014!V58 * 1000</f>
        <v>81434.988394138607</v>
      </c>
      <c r="U4" s="21">
        <f>EIA_electricity_aeo2014!W58 * 1000</f>
        <v>82277.340027621045</v>
      </c>
      <c r="V4" s="21">
        <f>EIA_electricity_aeo2014!X58 * 1000</f>
        <v>82142.556740957676</v>
      </c>
      <c r="W4" s="21">
        <f>EIA_electricity_aeo2014!Y58 * 1000</f>
        <v>82826.442967123017</v>
      </c>
      <c r="X4" s="388">
        <f>EIA_electricity_aeo2014!Z58 * 1000</f>
        <v>82577.25640294599</v>
      </c>
      <c r="Y4" s="21">
        <f>EIA_electricity_aeo2014!AA58 * 1000</f>
        <v>85044.676180647279</v>
      </c>
      <c r="Z4" s="21">
        <f>EIA_electricity_aeo2014!AB58 * 1000</f>
        <v>87302.604455246081</v>
      </c>
      <c r="AA4" s="21">
        <f>EIA_electricity_aeo2014!AC58 * 1000</f>
        <v>89794.192470970753</v>
      </c>
      <c r="AB4" s="21">
        <f>EIA_electricity_aeo2014!AD58 * 1000</f>
        <v>91781.985999872515</v>
      </c>
      <c r="AC4" s="21">
        <f>EIA_electricity_aeo2014!AE58 * 1000</f>
        <v>93320.066289266018</v>
      </c>
      <c r="AD4" s="21">
        <f>EIA_electricity_aeo2014!AF58 * 1000</f>
        <v>95067.040117189114</v>
      </c>
      <c r="AE4" s="21">
        <f>EIA_electricity_aeo2014!AG58 * 1000</f>
        <v>96445.741999285674</v>
      </c>
      <c r="AF4" s="21">
        <f>EIA_electricity_aeo2014!AH58 * 1000</f>
        <v>97456.179483133266</v>
      </c>
      <c r="AG4" s="21">
        <f>EIA_electricity_aeo2014!AI58 * 1000</f>
        <v>97706.426785849282</v>
      </c>
      <c r="AH4" s="21">
        <f>EIA_electricity_aeo2014!AJ58 * 1000</f>
        <v>98354.731076901735</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31.99</v>
      </c>
      <c r="D7" s="330">
        <f>EIA_RE_aeo2014!F73*1000-D15</f>
        <v>17.989999999999998</v>
      </c>
      <c r="E7" s="330">
        <f>EIA_RE_aeo2014!G73*1000-E15</f>
        <v>37.784040189361058</v>
      </c>
      <c r="F7" s="330">
        <f>EIA_RE_aeo2014!H73*1000-F15</f>
        <v>29.641450306667441</v>
      </c>
      <c r="G7" s="330">
        <f>EIA_RE_aeo2014!I73*1000-G15</f>
        <v>38.059608721096154</v>
      </c>
      <c r="H7" s="174">
        <f>EIA_RE_aeo2014!J73*1000-H15</f>
        <v>40.755579570544249</v>
      </c>
      <c r="I7" s="174">
        <f>EIA_RE_aeo2014!K73*1000-I15</f>
        <v>43.259408210214687</v>
      </c>
      <c r="J7" s="174">
        <f>EIA_RE_aeo2014!L73*1000-J15</f>
        <v>44.02516795269112</v>
      </c>
      <c r="K7" s="174">
        <f>EIA_RE_aeo2014!M73*1000-K15</f>
        <v>48.495344995896993</v>
      </c>
      <c r="L7" s="174">
        <f>EIA_RE_aeo2014!N73*1000-L15</f>
        <v>48.495344995896993</v>
      </c>
      <c r="M7" s="174">
        <f>EIA_RE_aeo2014!O73*1000-M15</f>
        <v>48.495344995896993</v>
      </c>
      <c r="N7" s="184">
        <f>EIA_RE_aeo2014!P73*1000-N15</f>
        <v>48.495341147819417</v>
      </c>
      <c r="O7" s="174">
        <f>EIA_RE_aeo2014!Q73*1000-O15</f>
        <v>49.084458737014714</v>
      </c>
      <c r="P7" s="174">
        <f>EIA_RE_aeo2014!R73*1000-P15</f>
        <v>49.084458737014714</v>
      </c>
      <c r="Q7" s="174">
        <f>EIA_RE_aeo2014!S73*1000-Q15</f>
        <v>51.147986491782312</v>
      </c>
      <c r="R7" s="174">
        <f>EIA_RE_aeo2014!T73*1000-R15</f>
        <v>51.147986491782312</v>
      </c>
      <c r="S7" s="83">
        <f>EIA_RE_aeo2014!U73*1000-S15</f>
        <v>51.147986491782312</v>
      </c>
      <c r="T7" s="83">
        <f>EIA_RE_aeo2014!V73*1000-T15</f>
        <v>51.147986491782312</v>
      </c>
      <c r="U7" s="83">
        <f>EIA_RE_aeo2014!W73*1000-U15</f>
        <v>51.147986491782312</v>
      </c>
      <c r="V7" s="83">
        <f>EIA_RE_aeo2014!X73*1000-V15</f>
        <v>51.478767240650512</v>
      </c>
      <c r="W7" s="83">
        <f>EIA_RE_aeo2014!Y73*1000-W15</f>
        <v>51.478767240650512</v>
      </c>
      <c r="X7" s="184">
        <f>EIA_RE_aeo2014!Z73*1000-X15</f>
        <v>51.694032548612775</v>
      </c>
      <c r="Y7" s="174">
        <f>EIA_RE_aeo2014!AA73*1000-Y15</f>
        <v>52.331035615226831</v>
      </c>
      <c r="Z7" s="174">
        <f>EIA_RE_aeo2014!AB73*1000-Z15</f>
        <v>52.887656189250045</v>
      </c>
      <c r="AA7" s="174">
        <f>EIA_RE_aeo2014!AC73*1000-AA15</f>
        <v>52.887656189250045</v>
      </c>
      <c r="AB7" s="174">
        <f>EIA_RE_aeo2014!AD73*1000-AB15</f>
        <v>53.648194090448975</v>
      </c>
      <c r="AC7" s="174">
        <f>EIA_RE_aeo2014!AE73*1000-AC15</f>
        <v>54.324105069485157</v>
      </c>
      <c r="AD7" s="174">
        <f>EIA_RE_aeo2014!AF73*1000-AD15</f>
        <v>54.600393191727925</v>
      </c>
      <c r="AE7" s="174">
        <f>EIA_RE_aeo2014!AG73*1000-AE15</f>
        <v>54.600393191727925</v>
      </c>
      <c r="AF7" s="174">
        <f>EIA_RE_aeo2014!AH73*1000-AF15</f>
        <v>54.600393191727925</v>
      </c>
      <c r="AG7" s="174">
        <f>EIA_RE_aeo2014!AI73*1000-AG15</f>
        <v>54.600393191727925</v>
      </c>
      <c r="AH7" s="174">
        <f>EIA_RE_aeo2014!AJ73*1000-AH15</f>
        <v>54.600393191727925</v>
      </c>
    </row>
    <row r="8" spans="1:34">
      <c r="A8" s="9" t="s">
        <v>59</v>
      </c>
      <c r="B8" s="34">
        <v>0</v>
      </c>
      <c r="C8" s="330">
        <f>EIA_electricity_aeo2014!E52*1000</f>
        <v>34328</v>
      </c>
      <c r="D8" s="330">
        <f>EIA_electricity_aeo2014!F52*1000</f>
        <v>32771</v>
      </c>
      <c r="E8" s="330">
        <f>EIA_electricity_aeo2014!G52*1000</f>
        <v>30061.80084</v>
      </c>
      <c r="F8" s="330">
        <f>EIA_electricity_aeo2014!H52*1000</f>
        <v>30417.719399999998</v>
      </c>
      <c r="G8" s="330">
        <f>EIA_electricity_aeo2014!I52*1000</f>
        <v>29313.966959999998</v>
      </c>
      <c r="H8" s="3">
        <f>EIA_electricity_aeo2014!J52*1000</f>
        <v>29367.52536</v>
      </c>
      <c r="I8" s="3">
        <f>EIA_electricity_aeo2014!K52*1000</f>
        <v>30216.507600000001</v>
      </c>
      <c r="J8" s="3">
        <f>EIA_electricity_aeo2014!L52*1000</f>
        <v>30519.1296</v>
      </c>
      <c r="K8" s="3">
        <f>EIA_electricity_aeo2014!M52*1000</f>
        <v>30038.940959999996</v>
      </c>
      <c r="L8" s="3">
        <f>EIA_electricity_aeo2014!N52*1000</f>
        <v>29072.42064</v>
      </c>
      <c r="M8" s="3">
        <f>EIA_electricity_aeo2014!O52*1000</f>
        <v>28098.934919999996</v>
      </c>
      <c r="N8" s="388">
        <f>EIA_electricity_aeo2014!P52*1000</f>
        <v>27517.844279999998</v>
      </c>
      <c r="O8" s="3">
        <f>EIA_electricity_aeo2014!Q52*1000</f>
        <v>27517.845120000002</v>
      </c>
      <c r="P8" s="3">
        <f>EIA_electricity_aeo2014!R52*1000</f>
        <v>27517.844279999998</v>
      </c>
      <c r="Q8" s="3">
        <f>EIA_electricity_aeo2014!S52*1000</f>
        <v>27517.844279999998</v>
      </c>
      <c r="R8" s="3">
        <f>EIA_electricity_aeo2014!T52*1000</f>
        <v>27517.845120000002</v>
      </c>
      <c r="S8" s="3">
        <f>EIA_electricity_aeo2014!U52*1000</f>
        <v>27517.844279999998</v>
      </c>
      <c r="T8" s="3">
        <f>EIA_electricity_aeo2014!V52*1000</f>
        <v>27517.845120000002</v>
      </c>
      <c r="U8" s="3">
        <f>EIA_electricity_aeo2014!W52*1000</f>
        <v>27517.844279999998</v>
      </c>
      <c r="V8" s="3">
        <f>EIA_electricity_aeo2014!X52*1000</f>
        <v>27517.844279999998</v>
      </c>
      <c r="W8" s="3">
        <f>EIA_electricity_aeo2014!Y52*1000</f>
        <v>27517.845120000002</v>
      </c>
      <c r="X8" s="184">
        <f>EIA_electricity_aeo2014!Z52*1000</f>
        <v>27517.845120000002</v>
      </c>
      <c r="Y8" s="174">
        <f>EIA_electricity_aeo2014!AA52*1000</f>
        <v>27517.845120000002</v>
      </c>
      <c r="Z8" s="174">
        <f>EIA_electricity_aeo2014!AB52*1000</f>
        <v>27517.845120000002</v>
      </c>
      <c r="AA8" s="174">
        <f>EIA_electricity_aeo2014!AC52*1000</f>
        <v>27517.844279999998</v>
      </c>
      <c r="AB8" s="174">
        <f>EIA_electricity_aeo2014!AD52*1000</f>
        <v>27517.844279999998</v>
      </c>
      <c r="AC8" s="174">
        <f>EIA_electricity_aeo2014!AE52*1000</f>
        <v>27517.844279999998</v>
      </c>
      <c r="AD8" s="174">
        <f>EIA_electricity_aeo2014!AF52*1000</f>
        <v>27517.844279999998</v>
      </c>
      <c r="AE8" s="174">
        <f>EIA_electricity_aeo2014!AG52*1000</f>
        <v>27517.844279999998</v>
      </c>
      <c r="AF8" s="174">
        <f>EIA_electricity_aeo2014!AH52*1000</f>
        <v>27517.844279999998</v>
      </c>
      <c r="AG8" s="174">
        <f>EIA_electricity_aeo2014!AI52*1000</f>
        <v>27517.844279999998</v>
      </c>
      <c r="AH8" s="174">
        <f>EIA_electricity_aeo2014!AJ52*1000</f>
        <v>27517.845120000002</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0</v>
      </c>
      <c r="D10" s="330">
        <f>EIA_RE_aeo2014!F76*1000</f>
        <v>0</v>
      </c>
      <c r="E10" s="330">
        <f>EIA_RE_aeo2014!G76*1000</f>
        <v>1.399089</v>
      </c>
      <c r="F10" s="330">
        <f>EIA_RE_aeo2014!H76*1000</f>
        <v>1.3473730000000002</v>
      </c>
      <c r="G10" s="330">
        <f>EIA_RE_aeo2014!I76*1000</f>
        <v>1.4659610000000001</v>
      </c>
      <c r="H10" s="83">
        <f>EIA_RE_aeo2014!J76*1000</f>
        <v>1.6648689999999999</v>
      </c>
      <c r="I10" s="174">
        <f>EIA_RE_aeo2014!K76*1000</f>
        <v>1.966102</v>
      </c>
      <c r="J10" s="174">
        <f>EIA_RE_aeo2014!L76*1000</f>
        <v>2.7700170000000002</v>
      </c>
      <c r="K10" s="174">
        <f>EIA_RE_aeo2014!M76*1000</f>
        <v>5.180968</v>
      </c>
      <c r="L10" s="174">
        <f>EIA_RE_aeo2014!N76*1000</f>
        <v>8.601642</v>
      </c>
      <c r="M10" s="174">
        <f>EIA_RE_aeo2014!O76*1000</f>
        <v>8.6526069999999997</v>
      </c>
      <c r="N10" s="184">
        <f>EIA_RE_aeo2014!P76*1000</f>
        <v>9.4050900000000013</v>
      </c>
      <c r="O10" s="174">
        <f>EIA_RE_aeo2014!Q76*1000</f>
        <v>9.8504959999999997</v>
      </c>
      <c r="P10" s="174">
        <f>EIA_RE_aeo2014!R76*1000</f>
        <v>10.600919000000003</v>
      </c>
      <c r="Q10" s="174">
        <f>EIA_RE_aeo2014!S76*1000</f>
        <v>13.035772</v>
      </c>
      <c r="R10" s="174">
        <f>EIA_RE_aeo2014!T76*1000</f>
        <v>13.165647999999999</v>
      </c>
      <c r="S10" s="83">
        <f>EIA_RE_aeo2014!U76*1000</f>
        <v>14.561133000000002</v>
      </c>
      <c r="T10" s="83">
        <f>EIA_RE_aeo2014!V76*1000</f>
        <v>14.825056999999999</v>
      </c>
      <c r="U10" s="83">
        <f>EIA_RE_aeo2014!W76*1000</f>
        <v>14.852137000000001</v>
      </c>
      <c r="V10" s="83">
        <f>EIA_RE_aeo2014!X76*1000</f>
        <v>15.195461999999999</v>
      </c>
      <c r="W10" s="83">
        <f>EIA_RE_aeo2014!Y76*1000</f>
        <v>15.447913</v>
      </c>
      <c r="X10" s="184">
        <f>EIA_RE_aeo2014!Z76*1000</f>
        <v>17.377988999999999</v>
      </c>
      <c r="Y10" s="174">
        <f>EIA_RE_aeo2014!AA76*1000</f>
        <v>18.612911</v>
      </c>
      <c r="Z10" s="174">
        <f>EIA_RE_aeo2014!AB76*1000</f>
        <v>19.046157000000001</v>
      </c>
      <c r="AA10" s="174">
        <f>EIA_RE_aeo2014!AC76*1000</f>
        <v>19.126007999999999</v>
      </c>
      <c r="AB10" s="174">
        <f>EIA_RE_aeo2014!AD76*1000</f>
        <v>19.178376</v>
      </c>
      <c r="AC10" s="174">
        <f>EIA_RE_aeo2014!AE76*1000</f>
        <v>19.190023</v>
      </c>
      <c r="AD10" s="174">
        <f>EIA_RE_aeo2014!AF76*1000</f>
        <v>19.109304999999999</v>
      </c>
      <c r="AE10" s="174">
        <f>EIA_RE_aeo2014!AG76*1000</f>
        <v>19.221747000000001</v>
      </c>
      <c r="AF10" s="174">
        <f>EIA_RE_aeo2014!AH76*1000</f>
        <v>19.334365000000002</v>
      </c>
      <c r="AG10" s="174">
        <f>EIA_RE_aeo2014!AI76*1000</f>
        <v>19.320990000000002</v>
      </c>
      <c r="AH10" s="174">
        <f>EIA_RE_aeo2014!AJ76*1000</f>
        <v>19.370069999999998</v>
      </c>
    </row>
    <row r="11" spans="1:34" s="20" customFormat="1">
      <c r="A11" s="9" t="s">
        <v>50</v>
      </c>
      <c r="B11" s="35">
        <v>1</v>
      </c>
      <c r="C11" s="330">
        <f>EIA_RE_aeo2014!E74*1000</f>
        <v>0</v>
      </c>
      <c r="D11" s="330">
        <f>EIA_RE_aeo2014!F74*1000</f>
        <v>0</v>
      </c>
      <c r="E11" s="330">
        <f>EIA_RE_aeo2014!G74*1000</f>
        <v>1E-8</v>
      </c>
      <c r="F11" s="330">
        <f>EIA_RE_aeo2014!H74*1000</f>
        <v>1E-8</v>
      </c>
      <c r="G11" s="330">
        <f>EIA_RE_aeo2014!I74*1000</f>
        <v>1E-8</v>
      </c>
      <c r="H11" s="83">
        <f>EIA_RE_aeo2014!J74*1000</f>
        <v>1E-8</v>
      </c>
      <c r="I11" s="83">
        <f>EIA_RE_aeo2014!K74*1000</f>
        <v>1E-8</v>
      </c>
      <c r="J11" s="83">
        <f>EIA_RE_aeo2014!L74*1000</f>
        <v>1E-8</v>
      </c>
      <c r="K11" s="83">
        <f>EIA_RE_aeo2014!M74*1000</f>
        <v>1E-8</v>
      </c>
      <c r="L11" s="83">
        <f>EIA_RE_aeo2014!N74*1000</f>
        <v>1E-8</v>
      </c>
      <c r="M11" s="83">
        <f>EIA_RE_aeo2014!O74*1000</f>
        <v>1E-8</v>
      </c>
      <c r="N11" s="388">
        <f>EIA_RE_aeo2014!P74*1000</f>
        <v>1E-8</v>
      </c>
      <c r="O11" s="83">
        <f>EIA_RE_aeo2014!Q74*1000</f>
        <v>1E-8</v>
      </c>
      <c r="P11" s="83">
        <f>EIA_RE_aeo2014!R74*1000</f>
        <v>1E-8</v>
      </c>
      <c r="Q11" s="83">
        <f>EIA_RE_aeo2014!S74*1000</f>
        <v>1E-8</v>
      </c>
      <c r="R11" s="83">
        <f>EIA_RE_aeo2014!T74*1000</f>
        <v>1E-8</v>
      </c>
      <c r="S11" s="83">
        <f>EIA_RE_aeo2014!U74*1000</f>
        <v>1E-8</v>
      </c>
      <c r="T11" s="83">
        <f>EIA_RE_aeo2014!V74*1000</f>
        <v>1E-8</v>
      </c>
      <c r="U11" s="83">
        <f>EIA_RE_aeo2014!W74*1000</f>
        <v>1E-8</v>
      </c>
      <c r="V11" s="83">
        <f>EIA_RE_aeo2014!X74*1000</f>
        <v>1E-8</v>
      </c>
      <c r="W11" s="83">
        <f>EIA_RE_aeo2014!Y74*1000</f>
        <v>1E-8</v>
      </c>
      <c r="X11" s="184">
        <f>EIA_RE_aeo2014!Z74*1000</f>
        <v>1E-8</v>
      </c>
      <c r="Y11" s="174">
        <f>EIA_RE_aeo2014!AA74*1000</f>
        <v>1E-8</v>
      </c>
      <c r="Z11" s="174">
        <f>EIA_RE_aeo2014!AB74*1000</f>
        <v>1E-8</v>
      </c>
      <c r="AA11" s="174">
        <f>EIA_RE_aeo2014!AC74*1000</f>
        <v>1E-8</v>
      </c>
      <c r="AB11" s="174">
        <f>EIA_RE_aeo2014!AD74*1000</f>
        <v>1E-8</v>
      </c>
      <c r="AC11" s="174">
        <f>EIA_RE_aeo2014!AE74*1000</f>
        <v>1E-8</v>
      </c>
      <c r="AD11" s="174">
        <f>EIA_RE_aeo2014!AF74*1000</f>
        <v>1E-8</v>
      </c>
      <c r="AE11" s="174">
        <f>EIA_RE_aeo2014!AG74*1000</f>
        <v>1E-8</v>
      </c>
      <c r="AF11" s="174">
        <f>EIA_RE_aeo2014!AH74*1000</f>
        <v>1E-8</v>
      </c>
      <c r="AG11" s="174">
        <f>EIA_RE_aeo2014!AI74*1000</f>
        <v>1E-8</v>
      </c>
      <c r="AH11" s="174">
        <f>EIA_RE_aeo2014!AJ74*1000</f>
        <v>1E-8</v>
      </c>
    </row>
    <row r="12" spans="1:34" s="20" customFormat="1">
      <c r="A12" s="9" t="s">
        <v>51</v>
      </c>
      <c r="B12" s="35">
        <v>1</v>
      </c>
      <c r="C12" s="330">
        <f>EIA_RE_aeo2014!E75*1000</f>
        <v>925</v>
      </c>
      <c r="D12" s="330">
        <f>EIA_RE_aeo2014!F75*1000</f>
        <v>816</v>
      </c>
      <c r="E12" s="330">
        <f>EIA_RE_aeo2014!G75*1000</f>
        <v>1158.8717116069076</v>
      </c>
      <c r="F12" s="330">
        <f>EIA_RE_aeo2014!H75*1000</f>
        <v>1277.4439897175007</v>
      </c>
      <c r="G12" s="330">
        <f>EIA_RE_aeo2014!I75*1000</f>
        <v>1557.4047619594619</v>
      </c>
      <c r="H12" s="83">
        <f>EIA_RE_aeo2014!J75*1000</f>
        <v>1563.744157249922</v>
      </c>
      <c r="I12" s="174">
        <f>EIA_RE_aeo2014!K75*1000</f>
        <v>1553.9590167068852</v>
      </c>
      <c r="J12" s="174">
        <f>EIA_RE_aeo2014!L75*1000</f>
        <v>1554.0499839621077</v>
      </c>
      <c r="K12" s="174">
        <f>EIA_RE_aeo2014!M75*1000</f>
        <v>1554.1018903498141</v>
      </c>
      <c r="L12" s="174">
        <f>EIA_RE_aeo2014!N75*1000</f>
        <v>1554.0809180719527</v>
      </c>
      <c r="M12" s="174">
        <f>EIA_RE_aeo2014!O75*1000</f>
        <v>1554.0056800251264</v>
      </c>
      <c r="N12" s="184">
        <f>EIA_RE_aeo2014!P75*1000</f>
        <v>1553.8001517020875</v>
      </c>
      <c r="O12" s="174">
        <f>EIA_RE_aeo2014!Q75*1000</f>
        <v>1553.6808718717525</v>
      </c>
      <c r="P12" s="174">
        <f>EIA_RE_aeo2014!R75*1000</f>
        <v>1553.5731267942415</v>
      </c>
      <c r="Q12" s="174">
        <f>EIA_RE_aeo2014!S75*1000</f>
        <v>1553.4517497361205</v>
      </c>
      <c r="R12" s="174">
        <f>EIA_RE_aeo2014!T75*1000</f>
        <v>1570.6810003059497</v>
      </c>
      <c r="S12" s="83">
        <f>EIA_RE_aeo2014!U75*1000</f>
        <v>1570.6083837938559</v>
      </c>
      <c r="T12" s="83">
        <f>EIA_RE_aeo2014!V75*1000</f>
        <v>1570.5064060927564</v>
      </c>
      <c r="U12" s="83">
        <f>EIA_RE_aeo2014!W75*1000</f>
        <v>1570.3981367082981</v>
      </c>
      <c r="V12" s="83">
        <f>EIA_RE_aeo2014!X75*1000</f>
        <v>1570.2830513335355</v>
      </c>
      <c r="W12" s="83">
        <f>EIA_RE_aeo2014!Y75*1000</f>
        <v>1570.0439673659191</v>
      </c>
      <c r="X12" s="184">
        <f>EIA_RE_aeo2014!Z75*1000</f>
        <v>1569.7624145356342</v>
      </c>
      <c r="Y12" s="174">
        <f>EIA_RE_aeo2014!AA75*1000</f>
        <v>1569.5049798248892</v>
      </c>
      <c r="Z12" s="174">
        <f>EIA_RE_aeo2014!AB75*1000</f>
        <v>1569.2399426634199</v>
      </c>
      <c r="AA12" s="174">
        <f>EIA_RE_aeo2014!AC75*1000</f>
        <v>1568.9670408977524</v>
      </c>
      <c r="AB12" s="174">
        <f>EIA_RE_aeo2014!AD75*1000</f>
        <v>1602.6435382266659</v>
      </c>
      <c r="AC12" s="174">
        <f>EIA_RE_aeo2014!AE75*1000</f>
        <v>1602.4930621330125</v>
      </c>
      <c r="AD12" s="174">
        <f>EIA_RE_aeo2014!AF75*1000</f>
        <v>1602.3247596031777</v>
      </c>
      <c r="AE12" s="174">
        <f>EIA_RE_aeo2014!AG75*1000</f>
        <v>1602.1467573948314</v>
      </c>
      <c r="AF12" s="174">
        <f>EIA_RE_aeo2014!AH75*1000</f>
        <v>1601.9813385532018</v>
      </c>
      <c r="AG12" s="174">
        <f>EIA_RE_aeo2014!AI75*1000</f>
        <v>1601.8195898601987</v>
      </c>
      <c r="AH12" s="174">
        <f>EIA_RE_aeo2014!AJ75*1000</f>
        <v>1601.6756676033767</v>
      </c>
    </row>
    <row r="13" spans="1:34">
      <c r="A13" s="9" t="s">
        <v>347</v>
      </c>
      <c r="B13" s="34">
        <v>1</v>
      </c>
      <c r="C13" s="330">
        <f>(EIA_RE_aeo2014!E34+EIA_RE_aeo2014!E54)*1000</f>
        <v>0</v>
      </c>
      <c r="D13" s="330">
        <f>(EIA_RE_aeo2014!F34+EIA_RE_aeo2014!F54)*1000</f>
        <v>0</v>
      </c>
      <c r="E13" s="330">
        <f>(EIA_RE_aeo2014!G34+EIA_RE_aeo2014!G54)*1000</f>
        <v>0.02</v>
      </c>
      <c r="F13" s="330">
        <f>(EIA_RE_aeo2014!H34+EIA_RE_aeo2014!H54)*1000</f>
        <v>0.02</v>
      </c>
      <c r="G13" s="330">
        <f>(EIA_RE_aeo2014!I34+EIA_RE_aeo2014!I54)*1000</f>
        <v>0.02</v>
      </c>
      <c r="H13" s="83">
        <f>(EIA_RE_aeo2014!J34+EIA_RE_aeo2014!J54)*1000</f>
        <v>1401.7951455690322</v>
      </c>
      <c r="I13" s="83">
        <f>(EIA_RE_aeo2014!K34+EIA_RE_aeo2014!K54)*1000</f>
        <v>1771.2442410508563</v>
      </c>
      <c r="J13" s="83">
        <f>(EIA_RE_aeo2014!L34+EIA_RE_aeo2014!L54)*1000</f>
        <v>2126.6069163061638</v>
      </c>
      <c r="K13" s="83">
        <f>(EIA_RE_aeo2014!M34+EIA_RE_aeo2014!M54)*1000</f>
        <v>2338.7279322691802</v>
      </c>
      <c r="L13" s="83">
        <f>(EIA_RE_aeo2014!N34+EIA_RE_aeo2014!N54)*1000</f>
        <v>2494.9972557254941</v>
      </c>
      <c r="M13" s="83">
        <f>(EIA_RE_aeo2014!O34+EIA_RE_aeo2014!O54)*1000</f>
        <v>2555.5506956940931</v>
      </c>
      <c r="N13" s="388">
        <f>(EIA_RE_aeo2014!P34+EIA_RE_aeo2014!P54)*1000</f>
        <v>2619.6241119211199</v>
      </c>
      <c r="O13" s="83">
        <f>(EIA_RE_aeo2014!Q34+EIA_RE_aeo2014!Q54)*1000</f>
        <v>2669.3159567920525</v>
      </c>
      <c r="P13" s="83">
        <f>(EIA_RE_aeo2014!R34+EIA_RE_aeo2014!R54)*1000</f>
        <v>2760.4570791794231</v>
      </c>
      <c r="Q13" s="83">
        <f>(EIA_RE_aeo2014!S34+EIA_RE_aeo2014!S54)*1000</f>
        <v>2887.1119987786769</v>
      </c>
      <c r="R13" s="83">
        <f>(EIA_RE_aeo2014!T34+EIA_RE_aeo2014!T54)*1000</f>
        <v>2956.9930075326683</v>
      </c>
      <c r="S13" s="83">
        <f>(EIA_RE_aeo2014!U34+EIA_RE_aeo2014!U54)*1000</f>
        <v>3033.6096287873847</v>
      </c>
      <c r="T13" s="83">
        <f>(EIA_RE_aeo2014!V34+EIA_RE_aeo2014!V54)*1000</f>
        <v>3192.2615450502335</v>
      </c>
      <c r="U13" s="83">
        <f>(EIA_RE_aeo2014!W34+EIA_RE_aeo2014!W54)*1000</f>
        <v>3299.331335107604</v>
      </c>
      <c r="V13" s="83">
        <f>(EIA_RE_aeo2014!X34+EIA_RE_aeo2014!X54)*1000</f>
        <v>3367.854826379265</v>
      </c>
      <c r="W13" s="83">
        <f>(EIA_RE_aeo2014!Y34+EIA_RE_aeo2014!Y54)*1000</f>
        <v>3620.7087925627961</v>
      </c>
      <c r="X13" s="184">
        <f>(EIA_RE_aeo2014!Z34+EIA_RE_aeo2014!Z54)*1000</f>
        <v>3714.2170254953357</v>
      </c>
      <c r="Y13" s="174">
        <f>(EIA_RE_aeo2014!AA34+EIA_RE_aeo2014!AA54)*1000</f>
        <v>3932.7188113822081</v>
      </c>
      <c r="Z13" s="174">
        <f>(EIA_RE_aeo2014!AB34+EIA_RE_aeo2014!AB54)*1000</f>
        <v>4147.5073016559827</v>
      </c>
      <c r="AA13" s="174">
        <f>(EIA_RE_aeo2014!AC34+EIA_RE_aeo2014!AC54)*1000</f>
        <v>4379.4010442270492</v>
      </c>
      <c r="AB13" s="174">
        <f>(EIA_RE_aeo2014!AD34+EIA_RE_aeo2014!AD54)*1000</f>
        <v>4592.3872280650194</v>
      </c>
      <c r="AC13" s="174">
        <f>(EIA_RE_aeo2014!AE34+EIA_RE_aeo2014!AE54)*1000</f>
        <v>4787.3294006393371</v>
      </c>
      <c r="AD13" s="174">
        <f>(EIA_RE_aeo2014!AF34+EIA_RE_aeo2014!AF54)*1000</f>
        <v>4997.1410587313594</v>
      </c>
      <c r="AE13" s="174">
        <f>(EIA_RE_aeo2014!AG34+EIA_RE_aeo2014!AG54)*1000</f>
        <v>5191.5465121901116</v>
      </c>
      <c r="AF13" s="174">
        <f>(EIA_RE_aeo2014!AH34+EIA_RE_aeo2014!AH54)*1000</f>
        <v>5369.149373952876</v>
      </c>
      <c r="AG13" s="174">
        <f>(EIA_RE_aeo2014!AI34+EIA_RE_aeo2014!AI54)*1000</f>
        <v>5506.4650524310691</v>
      </c>
      <c r="AH13" s="174">
        <f>(EIA_RE_aeo2014!AJ34+EIA_RE_aeo2014!AJ54)*1000</f>
        <v>5667.350111409728</v>
      </c>
    </row>
    <row r="14" spans="1:34">
      <c r="A14" s="9" t="s">
        <v>348</v>
      </c>
      <c r="B14" s="34">
        <v>1</v>
      </c>
      <c r="C14" s="330">
        <f>EIA_RE_aeo2014!E33*1000</f>
        <v>0</v>
      </c>
      <c r="D14" s="330">
        <f>EIA_RE_aeo2014!F33*1000</f>
        <v>0</v>
      </c>
      <c r="E14" s="330">
        <f>EIA_RE_aeo2014!G33*1000</f>
        <v>0.01</v>
      </c>
      <c r="F14" s="330">
        <f>EIA_RE_aeo2014!H33*1000</f>
        <v>0.01</v>
      </c>
      <c r="G14" s="330">
        <f>EIA_RE_aeo2014!I33*1000</f>
        <v>0.01</v>
      </c>
      <c r="H14" s="83">
        <f>EIA_RE_aeo2014!J33*1000</f>
        <v>0.01</v>
      </c>
      <c r="I14" s="83">
        <f>EIA_RE_aeo2014!K33*1000</f>
        <v>0.01</v>
      </c>
      <c r="J14" s="83">
        <f>EIA_RE_aeo2014!L33*1000</f>
        <v>0.01</v>
      </c>
      <c r="K14" s="83">
        <f>EIA_RE_aeo2014!M33*1000</f>
        <v>0.01</v>
      </c>
      <c r="L14" s="83">
        <f>EIA_RE_aeo2014!N33*1000</f>
        <v>0.01</v>
      </c>
      <c r="M14" s="83">
        <f>EIA_RE_aeo2014!O33*1000</f>
        <v>0.01</v>
      </c>
      <c r="N14" s="388">
        <f>EIA_RE_aeo2014!P33*1000</f>
        <v>0.01</v>
      </c>
      <c r="O14" s="83">
        <f>EIA_RE_aeo2014!Q33*1000</f>
        <v>0.01</v>
      </c>
      <c r="P14" s="83">
        <f>EIA_RE_aeo2014!R33*1000</f>
        <v>0.01</v>
      </c>
      <c r="Q14" s="83">
        <f>EIA_RE_aeo2014!S33*1000</f>
        <v>0.01</v>
      </c>
      <c r="R14" s="83">
        <f>EIA_RE_aeo2014!T33*1000</f>
        <v>0.01</v>
      </c>
      <c r="S14" s="83">
        <f>EIA_RE_aeo2014!U33*1000</f>
        <v>0.01</v>
      </c>
      <c r="T14" s="83">
        <f>EIA_RE_aeo2014!V33*1000</f>
        <v>0.01</v>
      </c>
      <c r="U14" s="83">
        <f>EIA_RE_aeo2014!W33*1000</f>
        <v>0.01</v>
      </c>
      <c r="V14" s="83">
        <f>EIA_RE_aeo2014!X33*1000</f>
        <v>0.01</v>
      </c>
      <c r="W14" s="83">
        <f>EIA_RE_aeo2014!Y33*1000</f>
        <v>0.01</v>
      </c>
      <c r="X14" s="184">
        <f>EIA_RE_aeo2014!Z33*1000</f>
        <v>0.01</v>
      </c>
      <c r="Y14" s="174">
        <f>EIA_RE_aeo2014!AA33*1000</f>
        <v>0.01</v>
      </c>
      <c r="Z14" s="174">
        <f>EIA_RE_aeo2014!AB33*1000</f>
        <v>0.01</v>
      </c>
      <c r="AA14" s="174">
        <f>EIA_RE_aeo2014!AC33*1000</f>
        <v>0.01</v>
      </c>
      <c r="AB14" s="174">
        <f>EIA_RE_aeo2014!AD33*1000</f>
        <v>0.01</v>
      </c>
      <c r="AC14" s="174">
        <f>EIA_RE_aeo2014!AE33*1000</f>
        <v>0.01</v>
      </c>
      <c r="AD14" s="174">
        <f>EIA_RE_aeo2014!AF33*1000</f>
        <v>0.01</v>
      </c>
      <c r="AE14" s="174">
        <f>EIA_RE_aeo2014!AG33*1000</f>
        <v>0.01</v>
      </c>
      <c r="AF14" s="174">
        <f>EIA_RE_aeo2014!AH33*1000</f>
        <v>0.01</v>
      </c>
      <c r="AG14" s="174">
        <f>EIA_RE_aeo2014!AI33*1000</f>
        <v>0.01</v>
      </c>
      <c r="AH14" s="174">
        <f>EIA_RE_aeo2014!AJ33*1000</f>
        <v>0.01</v>
      </c>
    </row>
    <row r="15" spans="1:34" s="514" customFormat="1">
      <c r="A15" s="511" t="s">
        <v>716</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21</v>
      </c>
      <c r="D16" s="330">
        <f>EIA_RE_aeo2014!F78*1000</f>
        <v>13</v>
      </c>
      <c r="E16" s="330">
        <f>EIA_RE_aeo2014!G78*1000</f>
        <v>205.13985052576612</v>
      </c>
      <c r="F16" s="330">
        <f>EIA_RE_aeo2014!H78*1000</f>
        <v>242.07704065998456</v>
      </c>
      <c r="G16" s="330">
        <f>EIA_RE_aeo2014!I78*1000</f>
        <v>278.24104307452012</v>
      </c>
      <c r="H16" s="3">
        <f>EIA_RE_aeo2014!J78*1000</f>
        <v>278.90623874711076</v>
      </c>
      <c r="I16" s="3">
        <f>EIA_RE_aeo2014!K78*1000</f>
        <v>280.83576427629623</v>
      </c>
      <c r="J16" s="3">
        <f>EIA_RE_aeo2014!L78*1000</f>
        <v>282.60134672050805</v>
      </c>
      <c r="K16" s="3">
        <f>EIA_RE_aeo2014!M78*1000</f>
        <v>282.58055322075745</v>
      </c>
      <c r="L16" s="3">
        <f>EIA_RE_aeo2014!N78*1000</f>
        <v>282.54474128452273</v>
      </c>
      <c r="M16" s="3">
        <f>EIA_RE_aeo2014!O78*1000</f>
        <v>282.51578416842619</v>
      </c>
      <c r="N16" s="388">
        <f>EIA_RE_aeo2014!P78*1000</f>
        <v>282.6109336527299</v>
      </c>
      <c r="O16" s="3">
        <f>EIA_RE_aeo2014!Q78*1000</f>
        <v>282.64046336716729</v>
      </c>
      <c r="P16" s="3">
        <f>EIA_RE_aeo2014!R78*1000</f>
        <v>282.6734777515079</v>
      </c>
      <c r="Q16" s="3">
        <f>EIA_RE_aeo2014!S78*1000</f>
        <v>282.71303611688722</v>
      </c>
      <c r="R16" s="3">
        <f>EIA_RE_aeo2014!T78*1000</f>
        <v>282.89045980280082</v>
      </c>
      <c r="S16" s="3">
        <f>EIA_RE_aeo2014!U78*1000</f>
        <v>283.14722925880943</v>
      </c>
      <c r="T16" s="3">
        <f>EIA_RE_aeo2014!V78*1000</f>
        <v>283.54809717729165</v>
      </c>
      <c r="U16" s="3">
        <f>EIA_RE_aeo2014!W78*1000</f>
        <v>283.99073205475378</v>
      </c>
      <c r="V16" s="3">
        <f>EIA_RE_aeo2014!X78*1000</f>
        <v>284.42746098932849</v>
      </c>
      <c r="W16" s="3">
        <f>EIA_RE_aeo2014!Y78*1000</f>
        <v>284.8802881172586</v>
      </c>
      <c r="X16" s="184">
        <f>EIA_RE_aeo2014!Z78*1000</f>
        <v>285.39937305320609</v>
      </c>
      <c r="Y16" s="174">
        <f>EIA_RE_aeo2014!AA78*1000</f>
        <v>285.8193330363689</v>
      </c>
      <c r="Z16" s="174">
        <f>EIA_RE_aeo2014!AB78*1000</f>
        <v>286.23404147474815</v>
      </c>
      <c r="AA16" s="174">
        <f>EIA_RE_aeo2014!AC78*1000</f>
        <v>287.02620673944347</v>
      </c>
      <c r="AB16" s="174">
        <f>EIA_RE_aeo2014!AD78*1000</f>
        <v>288.32561233440612</v>
      </c>
      <c r="AC16" s="174">
        <f>EIA_RE_aeo2014!AE78*1000</f>
        <v>289.2166080727394</v>
      </c>
      <c r="AD16" s="174">
        <f>EIA_RE_aeo2014!AF78*1000</f>
        <v>289.77903052311621</v>
      </c>
      <c r="AE16" s="174">
        <f>EIA_RE_aeo2014!AG78*1000</f>
        <v>291.4417743053038</v>
      </c>
      <c r="AF16" s="174">
        <f>EIA_RE_aeo2014!AH78*1000</f>
        <v>292.69329431901531</v>
      </c>
      <c r="AG16" s="174">
        <f>EIA_RE_aeo2014!AI78*1000</f>
        <v>295.23049392746066</v>
      </c>
      <c r="AH16" s="174">
        <f>EIA_RE_aeo2014!AJ78*1000</f>
        <v>298.77453409857799</v>
      </c>
    </row>
    <row r="17" spans="1:34">
      <c r="A17" s="11" t="s">
        <v>327</v>
      </c>
      <c r="B17" s="36"/>
      <c r="C17" s="330">
        <f t="shared" ref="C17:AH17" si="0">SUM(C7:C16)</f>
        <v>35306</v>
      </c>
      <c r="D17" s="330">
        <f t="shared" si="0"/>
        <v>33618</v>
      </c>
      <c r="E17" s="330">
        <f t="shared" si="0"/>
        <v>31465.035531332036</v>
      </c>
      <c r="F17" s="330">
        <f t="shared" si="0"/>
        <v>31968.269253694147</v>
      </c>
      <c r="G17" s="330">
        <f t="shared" si="0"/>
        <v>31189.178334765074</v>
      </c>
      <c r="H17" s="3">
        <f t="shared" si="0"/>
        <v>32654.411350146605</v>
      </c>
      <c r="I17" s="3">
        <f t="shared" si="0"/>
        <v>33867.792132254253</v>
      </c>
      <c r="J17" s="3">
        <f t="shared" si="0"/>
        <v>34529.203031951474</v>
      </c>
      <c r="K17" s="3">
        <f t="shared" si="0"/>
        <v>34268.047648845655</v>
      </c>
      <c r="L17" s="3">
        <f t="shared" si="0"/>
        <v>33461.16054208787</v>
      </c>
      <c r="M17" s="3">
        <f t="shared" si="0"/>
        <v>32548.175031893534</v>
      </c>
      <c r="N17" s="388">
        <f t="shared" si="0"/>
        <v>32031.79990843375</v>
      </c>
      <c r="O17" s="3">
        <f t="shared" si="0"/>
        <v>32082.437366777984</v>
      </c>
      <c r="P17" s="3">
        <f t="shared" si="0"/>
        <v>32174.253341472184</v>
      </c>
      <c r="Q17" s="3">
        <f t="shared" si="0"/>
        <v>32305.324823133458</v>
      </c>
      <c r="R17" s="3">
        <f t="shared" si="0"/>
        <v>32392.743222143203</v>
      </c>
      <c r="S17" s="3">
        <f t="shared" si="0"/>
        <v>32470.938641341825</v>
      </c>
      <c r="T17" s="3">
        <f t="shared" si="0"/>
        <v>32630.154211822064</v>
      </c>
      <c r="U17" s="3">
        <f t="shared" si="0"/>
        <v>32737.584607372435</v>
      </c>
      <c r="V17" s="3">
        <f t="shared" si="0"/>
        <v>32807.103847952771</v>
      </c>
      <c r="W17" s="3">
        <f t="shared" si="0"/>
        <v>33060.424848296629</v>
      </c>
      <c r="X17" s="184">
        <f t="shared" si="0"/>
        <v>33156.3159546428</v>
      </c>
      <c r="Y17" s="174">
        <f t="shared" si="0"/>
        <v>33376.852190868696</v>
      </c>
      <c r="Z17" s="174">
        <f t="shared" si="0"/>
        <v>33592.780218993401</v>
      </c>
      <c r="AA17" s="174">
        <f t="shared" si="0"/>
        <v>33825.272236063494</v>
      </c>
      <c r="AB17" s="174">
        <f t="shared" si="0"/>
        <v>34074.047228726537</v>
      </c>
      <c r="AC17" s="174">
        <f t="shared" si="0"/>
        <v>34270.417478924581</v>
      </c>
      <c r="AD17" s="174">
        <f t="shared" si="0"/>
        <v>34480.818827059389</v>
      </c>
      <c r="AE17" s="174">
        <f t="shared" si="0"/>
        <v>34676.821464091983</v>
      </c>
      <c r="AF17" s="174">
        <f t="shared" si="0"/>
        <v>34855.623045026827</v>
      </c>
      <c r="AG17" s="174">
        <f t="shared" si="0"/>
        <v>34995.30079942046</v>
      </c>
      <c r="AH17" s="174">
        <f t="shared" si="0"/>
        <v>35159.635896313419</v>
      </c>
    </row>
    <row r="18" spans="1:34">
      <c r="A18" s="10" t="s">
        <v>126</v>
      </c>
      <c r="B18" s="37"/>
      <c r="C18" s="331">
        <f t="shared" ref="C18:AH18" si="1">SUMPRODUCT($B7:$B16,C7:C16)</f>
        <v>946.01</v>
      </c>
      <c r="D18" s="331">
        <f t="shared" si="1"/>
        <v>829.01</v>
      </c>
      <c r="E18" s="331">
        <f t="shared" si="1"/>
        <v>1365.4506511426737</v>
      </c>
      <c r="F18" s="331">
        <f t="shared" si="1"/>
        <v>1520.9084033874851</v>
      </c>
      <c r="G18" s="331">
        <f t="shared" si="1"/>
        <v>1837.151766043982</v>
      </c>
      <c r="H18" s="14">
        <f t="shared" si="1"/>
        <v>3246.1304105760655</v>
      </c>
      <c r="I18" s="14">
        <f t="shared" si="1"/>
        <v>3608.025124044038</v>
      </c>
      <c r="J18" s="14">
        <f t="shared" si="1"/>
        <v>3966.0482639987799</v>
      </c>
      <c r="K18" s="14">
        <f t="shared" si="1"/>
        <v>4180.6113438497523</v>
      </c>
      <c r="L18" s="14">
        <f t="shared" si="1"/>
        <v>4340.2445570919699</v>
      </c>
      <c r="M18" s="14">
        <f t="shared" si="1"/>
        <v>4400.7447668976456</v>
      </c>
      <c r="N18" s="190">
        <f t="shared" si="1"/>
        <v>4465.4602872859377</v>
      </c>
      <c r="O18" s="14">
        <f t="shared" si="1"/>
        <v>4515.5077880409726</v>
      </c>
      <c r="P18" s="14">
        <f t="shared" si="1"/>
        <v>4607.3246027351724</v>
      </c>
      <c r="Q18" s="14">
        <f t="shared" si="1"/>
        <v>4736.3325566416852</v>
      </c>
      <c r="R18" s="14">
        <f t="shared" si="1"/>
        <v>4823.7501156514199</v>
      </c>
      <c r="S18" s="14">
        <f t="shared" si="1"/>
        <v>4901.9463748500511</v>
      </c>
      <c r="T18" s="14">
        <f t="shared" si="1"/>
        <v>5061.1611053302813</v>
      </c>
      <c r="U18" s="14">
        <f t="shared" si="1"/>
        <v>5168.5923408806557</v>
      </c>
      <c r="V18" s="14">
        <f t="shared" si="1"/>
        <v>5237.7808007121293</v>
      </c>
      <c r="W18" s="14">
        <f t="shared" si="1"/>
        <v>5491.1009610559749</v>
      </c>
      <c r="X18" s="187">
        <f t="shared" si="1"/>
        <v>5586.7768020941767</v>
      </c>
      <c r="Y18" s="14">
        <f t="shared" si="1"/>
        <v>5806.6760352534666</v>
      </c>
      <c r="Z18" s="14">
        <f t="shared" si="1"/>
        <v>6022.0474428041507</v>
      </c>
      <c r="AA18" s="14">
        <f t="shared" si="1"/>
        <v>6254.5402998742456</v>
      </c>
      <c r="AB18" s="14">
        <f t="shared" si="1"/>
        <v>6502.5547546360922</v>
      </c>
      <c r="AC18" s="14">
        <f t="shared" si="1"/>
        <v>6698.2490938550891</v>
      </c>
      <c r="AD18" s="14">
        <f t="shared" si="1"/>
        <v>6908.3741538676541</v>
      </c>
      <c r="AE18" s="14">
        <f t="shared" si="1"/>
        <v>7104.3767909002472</v>
      </c>
      <c r="AF18" s="14">
        <f t="shared" si="1"/>
        <v>7283.1783718350935</v>
      </c>
      <c r="AG18" s="14">
        <f t="shared" si="1"/>
        <v>7422.8561262287294</v>
      </c>
      <c r="AH18" s="14">
        <f t="shared" si="1"/>
        <v>7587.1903831216841</v>
      </c>
    </row>
    <row r="19" spans="1:34">
      <c r="A19" s="10" t="s">
        <v>112</v>
      </c>
      <c r="B19" s="37"/>
      <c r="C19" s="332">
        <f t="shared" ref="C19:AH19" si="2">C18/C4</f>
        <v>1.5296961660980223E-2</v>
      </c>
      <c r="D19" s="332">
        <f t="shared" si="2"/>
        <v>1.2604874636987033E-2</v>
      </c>
      <c r="E19" s="332">
        <f t="shared" si="2"/>
        <v>2.1007503129919339E-2</v>
      </c>
      <c r="F19" s="332">
        <f t="shared" si="2"/>
        <v>2.0264436366358749E-2</v>
      </c>
      <c r="G19" s="332">
        <f t="shared" si="2"/>
        <v>2.660381605035627E-2</v>
      </c>
      <c r="H19" s="23">
        <f t="shared" si="2"/>
        <v>4.7472092015781918E-2</v>
      </c>
      <c r="I19" s="23">
        <f t="shared" si="2"/>
        <v>4.9906790129934521E-2</v>
      </c>
      <c r="J19" s="23">
        <f t="shared" si="2"/>
        <v>5.1286788964883596E-2</v>
      </c>
      <c r="K19" s="23">
        <f t="shared" si="2"/>
        <v>5.3626963125819674E-2</v>
      </c>
      <c r="L19" s="23">
        <f t="shared" si="2"/>
        <v>5.5666747598899911E-2</v>
      </c>
      <c r="M19" s="23">
        <f t="shared" si="2"/>
        <v>5.6655134889804053E-2</v>
      </c>
      <c r="N19" s="183">
        <f t="shared" si="2"/>
        <v>5.7616332506155575E-2</v>
      </c>
      <c r="O19" s="23">
        <f t="shared" si="2"/>
        <v>5.8699947769692208E-2</v>
      </c>
      <c r="P19" s="23">
        <f t="shared" si="2"/>
        <v>5.9418185226042919E-2</v>
      </c>
      <c r="Q19" s="23">
        <f t="shared" si="2"/>
        <v>5.9878777539052248E-2</v>
      </c>
      <c r="R19" s="23">
        <f t="shared" si="2"/>
        <v>6.1010920206774295E-2</v>
      </c>
      <c r="S19" s="23">
        <f t="shared" si="2"/>
        <v>6.1888373262955522E-2</v>
      </c>
      <c r="T19" s="23">
        <f t="shared" si="2"/>
        <v>6.2149712367301879E-2</v>
      </c>
      <c r="U19" s="23">
        <f t="shared" si="2"/>
        <v>6.2819147278528026E-2</v>
      </c>
      <c r="V19" s="23">
        <f t="shared" si="2"/>
        <v>6.3764521199770288E-2</v>
      </c>
      <c r="W19" s="23">
        <f t="shared" si="2"/>
        <v>6.6296472048613789E-2</v>
      </c>
      <c r="X19" s="185">
        <f t="shared" si="2"/>
        <v>6.765515161744784E-2</v>
      </c>
      <c r="Y19" s="172">
        <f t="shared" si="2"/>
        <v>6.8277948673932762E-2</v>
      </c>
      <c r="Z19" s="172">
        <f t="shared" si="2"/>
        <v>6.8979012486291083E-2</v>
      </c>
      <c r="AA19" s="172">
        <f t="shared" si="2"/>
        <v>6.9654173925515886E-2</v>
      </c>
      <c r="AB19" s="172">
        <f t="shared" si="2"/>
        <v>7.0847832325671448E-2</v>
      </c>
      <c r="AC19" s="172">
        <f t="shared" si="2"/>
        <v>7.1777157477496814E-2</v>
      </c>
      <c r="AD19" s="172">
        <f t="shared" si="2"/>
        <v>7.2668446870247594E-2</v>
      </c>
      <c r="AE19" s="172">
        <f t="shared" si="2"/>
        <v>7.3661901952632253E-2</v>
      </c>
      <c r="AF19" s="172">
        <f t="shared" si="2"/>
        <v>7.4732853375353098E-2</v>
      </c>
      <c r="AG19" s="172">
        <f t="shared" si="2"/>
        <v>7.5971012045072284E-2</v>
      </c>
      <c r="AH19" s="172">
        <f t="shared" si="2"/>
        <v>7.7141082081647924E-2</v>
      </c>
    </row>
    <row r="20" spans="1:34">
      <c r="A20" s="10" t="s">
        <v>142</v>
      </c>
      <c r="B20" s="37"/>
      <c r="C20" s="331">
        <f>EIA_electricity_aeo2014!E49*1000</f>
        <v>5100</v>
      </c>
      <c r="D20" s="331">
        <f>EIA_electricity_aeo2014!F49*1000</f>
        <v>6418</v>
      </c>
      <c r="E20" s="331">
        <f>EIA_electricity_aeo2014!G49*1000</f>
        <v>7933.2872628751265</v>
      </c>
      <c r="F20" s="331">
        <f>EIA_electricity_aeo2014!H49*1000</f>
        <v>6711.5525827150605</v>
      </c>
      <c r="G20" s="331">
        <f>EIA_electricity_aeo2014!I49*1000</f>
        <v>7729.018761066236</v>
      </c>
      <c r="H20" s="14">
        <f>EIA_electricity_aeo2014!J49*1000</f>
        <v>7724.536485976254</v>
      </c>
      <c r="I20" s="14">
        <f>EIA_electricity_aeo2014!K49*1000</f>
        <v>7551.3970240447852</v>
      </c>
      <c r="J20" s="14">
        <f>EIA_electricity_aeo2014!L49*1000</f>
        <v>7480.8084879700482</v>
      </c>
      <c r="K20" s="14">
        <f>EIA_electricity_aeo2014!M49*1000</f>
        <v>7604.2782217760141</v>
      </c>
      <c r="L20" s="14">
        <f>EIA_electricity_aeo2014!N49*1000</f>
        <v>7695.2421757663415</v>
      </c>
      <c r="M20" s="14">
        <f>EIA_electricity_aeo2014!O49*1000</f>
        <v>7762.7520512675692</v>
      </c>
      <c r="N20" s="190">
        <f>EIA_electricity_aeo2014!P49*1000</f>
        <v>7795.9905670543731</v>
      </c>
      <c r="O20" s="14">
        <f>EIA_electricity_aeo2014!Q49*1000</f>
        <v>7852.708863014228</v>
      </c>
      <c r="P20" s="14">
        <f>EIA_electricity_aeo2014!R49*1000</f>
        <v>7879.4188791019224</v>
      </c>
      <c r="Q20" s="14">
        <f>EIA_electricity_aeo2014!S49*1000</f>
        <v>7874.5820329633034</v>
      </c>
      <c r="R20" s="14">
        <f>EIA_electricity_aeo2014!T49*1000</f>
        <v>7908.8487350974337</v>
      </c>
      <c r="S20" s="14">
        <f>EIA_electricity_aeo2014!U49*1000</f>
        <v>7925.3644978170678</v>
      </c>
      <c r="T20" s="14">
        <f>EIA_electricity_aeo2014!V49*1000</f>
        <v>7922.5985070680281</v>
      </c>
      <c r="U20" s="14">
        <f>EIA_electricity_aeo2014!W49*1000</f>
        <v>7927.6122392669631</v>
      </c>
      <c r="V20" s="14">
        <f>EIA_electricity_aeo2014!X49*1000</f>
        <v>7925.7779345611552</v>
      </c>
      <c r="W20" s="14">
        <f>EIA_electricity_aeo2014!Y49*1000</f>
        <v>7923.0351637197082</v>
      </c>
      <c r="X20" s="187">
        <f>EIA_electricity_aeo2014!Z49*1000</f>
        <v>7887.0280734166954</v>
      </c>
      <c r="Y20" s="14">
        <f>EIA_electricity_aeo2014!AA49*1000</f>
        <v>7861.2634781345569</v>
      </c>
      <c r="Z20" s="14">
        <f>EIA_electricity_aeo2014!AB49*1000</f>
        <v>7847.7185887014393</v>
      </c>
      <c r="AA20" s="14">
        <f>EIA_electricity_aeo2014!AC49*1000</f>
        <v>7840.750049655474</v>
      </c>
      <c r="AB20" s="14">
        <f>EIA_electricity_aeo2014!AD49*1000</f>
        <v>7836.8495641388481</v>
      </c>
      <c r="AC20" s="14">
        <f>EIA_electricity_aeo2014!AE49*1000</f>
        <v>7831.8262278053689</v>
      </c>
      <c r="AD20" s="14">
        <f>EIA_electricity_aeo2014!AF49*1000</f>
        <v>7827.880866332639</v>
      </c>
      <c r="AE20" s="14">
        <f>EIA_electricity_aeo2014!AG49*1000</f>
        <v>7820.1554704891005</v>
      </c>
      <c r="AF20" s="14">
        <f>EIA_electricity_aeo2014!AH49*1000</f>
        <v>7812.9200554920553</v>
      </c>
      <c r="AG20" s="14">
        <f>EIA_electricity_aeo2014!AI49*1000</f>
        <v>7808.2551658579669</v>
      </c>
      <c r="AH20" s="14">
        <f>EIA_electricity_aeo2014!AJ49*1000</f>
        <v>7803.0261480590034</v>
      </c>
    </row>
    <row r="21" spans="1:34">
      <c r="A21" s="10" t="s">
        <v>222</v>
      </c>
      <c r="B21" s="37"/>
      <c r="C21" s="331">
        <f>EIA_electricity_aeo2014!E51*1000</f>
        <v>20625</v>
      </c>
      <c r="D21" s="331">
        <f>EIA_electricity_aeo2014!F51*1000</f>
        <v>24902</v>
      </c>
      <c r="E21" s="331">
        <f>EIA_electricity_aeo2014!G51*1000</f>
        <v>24540.318499999998</v>
      </c>
      <c r="F21" s="331">
        <f>EIA_electricity_aeo2014!H51*1000</f>
        <v>34947.472500000003</v>
      </c>
      <c r="G21" s="331">
        <f>EIA_electricity_aeo2014!I51*1000</f>
        <v>28384.478500000001</v>
      </c>
      <c r="H21" s="14">
        <f>EIA_electricity_aeo2014!J51*1000</f>
        <v>27291.410500000002</v>
      </c>
      <c r="I21" s="14">
        <f>EIA_electricity_aeo2014!K51*1000</f>
        <v>30177.048500000001</v>
      </c>
      <c r="J21" s="14">
        <f>EIA_electricity_aeo2014!L51*1000</f>
        <v>34639.110500000003</v>
      </c>
      <c r="K21" s="14">
        <f>EIA_electricity_aeo2014!M51*1000</f>
        <v>35597.759249999996</v>
      </c>
      <c r="L21" s="14">
        <f>EIA_electricity_aeo2014!N51*1000</f>
        <v>36454.67</v>
      </c>
      <c r="M21" s="14">
        <f>EIA_electricity_aeo2014!O51*1000</f>
        <v>37027.872000000003</v>
      </c>
      <c r="N21" s="190">
        <f>EIA_electricity_aeo2014!P51*1000</f>
        <v>37340.879500000003</v>
      </c>
      <c r="O21" s="14">
        <f>EIA_electricity_aeo2014!Q51*1000</f>
        <v>36633.239750000001</v>
      </c>
      <c r="P21" s="14">
        <f>EIA_electricity_aeo2014!R51*1000</f>
        <v>37144.414750000004</v>
      </c>
      <c r="Q21" s="14">
        <f>EIA_electricity_aeo2014!S51*1000</f>
        <v>38620.498499999994</v>
      </c>
      <c r="R21" s="14">
        <f>EIA_electricity_aeo2014!T51*1000</f>
        <v>38442.321750000003</v>
      </c>
      <c r="S21" s="14">
        <f>EIA_electricity_aeo2014!U51*1000</f>
        <v>38460.287000000004</v>
      </c>
      <c r="T21" s="14">
        <f>EIA_electricity_aeo2014!V51*1000</f>
        <v>40579.875999999997</v>
      </c>
      <c r="U21" s="14">
        <f>EIA_electricity_aeo2014!W51*1000</f>
        <v>41297.203999999998</v>
      </c>
      <c r="V21" s="14">
        <f>EIA_electricity_aeo2014!X51*1000</f>
        <v>41038.791499999999</v>
      </c>
      <c r="W21" s="14">
        <f>EIA_electricity_aeo2014!Y51*1000</f>
        <v>41594.038999999997</v>
      </c>
      <c r="X21" s="187">
        <f>EIA_electricity_aeo2014!Z51*1000</f>
        <v>41236.459750000002</v>
      </c>
      <c r="Y21" s="14">
        <f>EIA_electricity_aeo2014!AA51*1000</f>
        <v>43583.852749999998</v>
      </c>
      <c r="Z21" s="14">
        <f>EIA_electricity_aeo2014!AB51*1000</f>
        <v>45709.19225</v>
      </c>
      <c r="AA21" s="14">
        <f>EIA_electricity_aeo2014!AC51*1000</f>
        <v>48058.952249999995</v>
      </c>
      <c r="AB21" s="14">
        <f>EIA_electricity_aeo2014!AD51*1000</f>
        <v>49852.689499999993</v>
      </c>
      <c r="AC21" s="14">
        <f>EIA_electricity_aeo2014!AE51*1000</f>
        <v>51226.482500000006</v>
      </c>
      <c r="AD21" s="14">
        <f>EIA_electricity_aeo2014!AF51*1000</f>
        <v>52803.577499999999</v>
      </c>
      <c r="AE21" s="14">
        <f>EIA_electricity_aeo2014!AG51*1000</f>
        <v>54010.744250000003</v>
      </c>
      <c r="AF21" s="14">
        <f>EIA_electricity_aeo2014!AH51*1000</f>
        <v>54846.515749999991</v>
      </c>
      <c r="AG21" s="14">
        <f>EIA_electricity_aeo2014!AI51*1000</f>
        <v>54913.953750000001</v>
      </c>
      <c r="AH21" s="14">
        <f>EIA_electricity_aeo2014!AJ51*1000</f>
        <v>55372.135249999999</v>
      </c>
    </row>
    <row r="22" spans="1:34">
      <c r="A22" s="10" t="s">
        <v>350</v>
      </c>
      <c r="B22" s="37"/>
      <c r="C22" s="330">
        <f>SUM(C17,C20:C21)</f>
        <v>61031</v>
      </c>
      <c r="D22" s="330">
        <f t="shared" ref="D22:AH22" si="3">SUM(D17,D20:D21)</f>
        <v>64938</v>
      </c>
      <c r="E22" s="330">
        <f t="shared" si="3"/>
        <v>63938.641294207162</v>
      </c>
      <c r="F22" s="330">
        <f t="shared" si="3"/>
        <v>73627.294336409221</v>
      </c>
      <c r="G22" s="330">
        <f t="shared" si="3"/>
        <v>67302.675595831315</v>
      </c>
      <c r="H22" s="79">
        <f t="shared" si="3"/>
        <v>67670.358336122867</v>
      </c>
      <c r="I22" s="79">
        <f t="shared" si="3"/>
        <v>71596.237656299039</v>
      </c>
      <c r="J22" s="79">
        <f t="shared" si="3"/>
        <v>76649.122019921517</v>
      </c>
      <c r="K22" s="79">
        <f t="shared" si="3"/>
        <v>77470.085120621661</v>
      </c>
      <c r="L22" s="79">
        <f t="shared" si="3"/>
        <v>77611.0727178542</v>
      </c>
      <c r="M22" s="79">
        <f t="shared" si="3"/>
        <v>77338.79908316111</v>
      </c>
      <c r="N22" s="388">
        <f t="shared" si="3"/>
        <v>77168.669975488127</v>
      </c>
      <c r="O22" s="79">
        <f t="shared" si="3"/>
        <v>76568.38597979222</v>
      </c>
      <c r="P22" s="79">
        <f t="shared" si="3"/>
        <v>77198.086970574106</v>
      </c>
      <c r="Q22" s="79">
        <f t="shared" si="3"/>
        <v>78800.405356096759</v>
      </c>
      <c r="R22" s="79">
        <f t="shared" si="3"/>
        <v>78743.91370724063</v>
      </c>
      <c r="S22" s="79">
        <f t="shared" si="3"/>
        <v>78856.5901391589</v>
      </c>
      <c r="T22" s="79">
        <f t="shared" si="3"/>
        <v>81132.62871889009</v>
      </c>
      <c r="U22" s="79">
        <f t="shared" si="3"/>
        <v>81962.400846639386</v>
      </c>
      <c r="V22" s="79">
        <f t="shared" si="3"/>
        <v>81771.673282513919</v>
      </c>
      <c r="W22" s="79">
        <f t="shared" si="3"/>
        <v>82577.499012016342</v>
      </c>
      <c r="X22" s="184">
        <f t="shared" si="3"/>
        <v>82279.80377805949</v>
      </c>
      <c r="Y22" s="174">
        <f t="shared" si="3"/>
        <v>84821.968419003242</v>
      </c>
      <c r="Z22" s="174">
        <f t="shared" si="3"/>
        <v>87149.691057694843</v>
      </c>
      <c r="AA22" s="174">
        <f t="shared" si="3"/>
        <v>89724.974535718968</v>
      </c>
      <c r="AB22" s="174">
        <f t="shared" si="3"/>
        <v>91763.586292865381</v>
      </c>
      <c r="AC22" s="174">
        <f t="shared" si="3"/>
        <v>93328.726206729945</v>
      </c>
      <c r="AD22" s="174">
        <f t="shared" si="3"/>
        <v>95112.27719339203</v>
      </c>
      <c r="AE22" s="174">
        <f t="shared" si="3"/>
        <v>96507.721184581082</v>
      </c>
      <c r="AF22" s="174">
        <f t="shared" si="3"/>
        <v>97515.058850518864</v>
      </c>
      <c r="AG22" s="174">
        <f t="shared" si="3"/>
        <v>97717.509715278429</v>
      </c>
      <c r="AH22" s="174">
        <f t="shared" si="3"/>
        <v>98334.797294372431</v>
      </c>
    </row>
    <row r="23" spans="1:34">
      <c r="A23" s="10" t="s">
        <v>328</v>
      </c>
      <c r="B23" s="37"/>
      <c r="C23" s="330">
        <f>EIA_electricity_aeo2014!E50*1000+EIA_electricity_aeo2014!E55*1000</f>
        <v>798</v>
      </c>
      <c r="D23" s="330">
        <f>EIA_electricity_aeo2014!F50*1000+EIA_electricity_aeo2014!F55*1000</f>
        <v>810</v>
      </c>
      <c r="E23" s="330">
        <f>EIA_electricity_aeo2014!G50*1000+EIA_electricity_aeo2014!G55*1000</f>
        <v>622.19244063453516</v>
      </c>
      <c r="F23" s="330">
        <f>EIA_electricity_aeo2014!H50*1000+EIA_electricity_aeo2014!H55*1000</f>
        <v>556.03861914739332</v>
      </c>
      <c r="G23" s="330">
        <f>EIA_electricity_aeo2014!I50*1000+EIA_electricity_aeo2014!I55*1000</f>
        <v>500.52496676113628</v>
      </c>
      <c r="H23" s="330">
        <f>EIA_electricity_aeo2014!J50*1000+EIA_electricity_aeo2014!J55*1000</f>
        <v>500.81000793554171</v>
      </c>
      <c r="I23" s="330">
        <f>EIA_electricity_aeo2014!K50*1000+EIA_electricity_aeo2014!K55*1000</f>
        <v>499.26172968470422</v>
      </c>
      <c r="J23" s="330">
        <f>EIA_electricity_aeo2014!L50*1000+EIA_electricity_aeo2014!L55*1000</f>
        <v>495.00335297241401</v>
      </c>
      <c r="K23" s="330">
        <f>EIA_electricity_aeo2014!M50*1000+EIA_electricity_aeo2014!M55*1000</f>
        <v>498.83572062018874</v>
      </c>
      <c r="L23" s="330">
        <f>EIA_electricity_aeo2014!N50*1000+EIA_electricity_aeo2014!N55*1000</f>
        <v>502.69677929296267</v>
      </c>
      <c r="M23" s="330">
        <f>EIA_electricity_aeo2014!O50*1000+EIA_electricity_aeo2014!O55*1000</f>
        <v>505.10710019538629</v>
      </c>
      <c r="N23" s="330">
        <f>EIA_electricity_aeo2014!P50*1000+EIA_electricity_aeo2014!P55*1000</f>
        <v>506.24472877381777</v>
      </c>
      <c r="O23" s="330">
        <f>EIA_electricity_aeo2014!Q50*1000+EIA_electricity_aeo2014!Q55*1000</f>
        <v>507.85018858636022</v>
      </c>
      <c r="P23" s="330">
        <f>EIA_electricity_aeo2014!R50*1000+EIA_electricity_aeo2014!R55*1000</f>
        <v>509.01440016213263</v>
      </c>
      <c r="Q23" s="330">
        <f>EIA_electricity_aeo2014!S50*1000+EIA_electricity_aeo2014!S55*1000</f>
        <v>509.31804072785684</v>
      </c>
      <c r="R23" s="330">
        <f>EIA_electricity_aeo2014!T50*1000+EIA_electricity_aeo2014!T55*1000</f>
        <v>508.38857924037541</v>
      </c>
      <c r="S23" s="330">
        <f>EIA_electricity_aeo2014!U50*1000+EIA_electricity_aeo2014!U55*1000</f>
        <v>507.961615930942</v>
      </c>
      <c r="T23" s="330">
        <f>EIA_electricity_aeo2014!V50*1000+EIA_electricity_aeo2014!V55*1000</f>
        <v>507.32472029875146</v>
      </c>
      <c r="U23" s="330">
        <f>EIA_electricity_aeo2014!W50*1000+EIA_electricity_aeo2014!W55*1000</f>
        <v>506.87751608925305</v>
      </c>
      <c r="V23" s="330">
        <f>EIA_electricity_aeo2014!X50*1000+EIA_electricity_aeo2014!X55*1000</f>
        <v>506.4772848229826</v>
      </c>
      <c r="W23" s="330">
        <f>EIA_electricity_aeo2014!Y50*1000+EIA_electricity_aeo2014!Y55*1000</f>
        <v>506.65624766947673</v>
      </c>
      <c r="X23" s="330">
        <f>EIA_electricity_aeo2014!Z50*1000+EIA_electricity_aeo2014!Z55*1000</f>
        <v>507.5291503818529</v>
      </c>
      <c r="Y23" s="330">
        <f>EIA_electricity_aeo2014!AA50*1000+EIA_electricity_aeo2014!AA55*1000</f>
        <v>506.54307302622743</v>
      </c>
      <c r="Z23" s="330">
        <f>EIA_electricity_aeo2014!AB50*1000+EIA_electricity_aeo2014!AB55*1000</f>
        <v>506.22969920723222</v>
      </c>
      <c r="AA23" s="330">
        <f>EIA_electricity_aeo2014!AC50*1000+EIA_electricity_aeo2014!AC55*1000</f>
        <v>506.29097947884736</v>
      </c>
      <c r="AB23" s="330">
        <f>EIA_electricity_aeo2014!AD50*1000+EIA_electricity_aeo2014!AD55*1000</f>
        <v>506.69793507216002</v>
      </c>
      <c r="AC23" s="330">
        <f>EIA_electricity_aeo2014!AE50*1000+EIA_electricity_aeo2014!AE55*1000</f>
        <v>506.63248317541968</v>
      </c>
      <c r="AD23" s="330">
        <f>EIA_electricity_aeo2014!AF50*1000+EIA_electricity_aeo2014!AF55*1000</f>
        <v>506.56648252845525</v>
      </c>
      <c r="AE23" s="330">
        <f>EIA_electricity_aeo2014!AG50*1000+EIA_electricity_aeo2014!AG55*1000</f>
        <v>506.69282689470492</v>
      </c>
      <c r="AF23" s="330">
        <f>EIA_electricity_aeo2014!AH50*1000+EIA_electricity_aeo2014!AH55*1000</f>
        <v>506.65050656727749</v>
      </c>
      <c r="AG23" s="330">
        <f>EIA_electricity_aeo2014!AI50*1000+EIA_electricity_aeo2014!AI55*1000</f>
        <v>506.827623001951</v>
      </c>
      <c r="AH23" s="330">
        <f>EIA_electricity_aeo2014!AJ50*1000+EIA_electricity_aeo2014!AJ55*1000</f>
        <v>506.8643939390405</v>
      </c>
    </row>
    <row r="24" spans="1:34">
      <c r="A24" s="10" t="s">
        <v>345</v>
      </c>
      <c r="B24" s="37"/>
      <c r="C24" s="330">
        <f>SUM(C22:C23)</f>
        <v>61829</v>
      </c>
      <c r="D24" s="330">
        <f t="shared" ref="D24:AH24" si="4">SUM(D22:D23)</f>
        <v>65748</v>
      </c>
      <c r="E24" s="330">
        <f t="shared" si="4"/>
        <v>64560.833734841697</v>
      </c>
      <c r="F24" s="330">
        <f t="shared" si="4"/>
        <v>74183.332955556616</v>
      </c>
      <c r="G24" s="330">
        <f t="shared" si="4"/>
        <v>67803.20056259245</v>
      </c>
      <c r="H24" s="83">
        <f t="shared" si="4"/>
        <v>68171.168344058402</v>
      </c>
      <c r="I24" s="83">
        <f t="shared" si="4"/>
        <v>72095.499385983741</v>
      </c>
      <c r="J24" s="83">
        <f t="shared" si="4"/>
        <v>77144.125372893934</v>
      </c>
      <c r="K24" s="83">
        <f t="shared" si="4"/>
        <v>77968.920841241852</v>
      </c>
      <c r="L24" s="83">
        <f t="shared" si="4"/>
        <v>78113.769497147165</v>
      </c>
      <c r="M24" s="83">
        <f t="shared" si="4"/>
        <v>77843.906183356492</v>
      </c>
      <c r="N24" s="388">
        <f t="shared" si="4"/>
        <v>77674.914704261944</v>
      </c>
      <c r="O24" s="83">
        <f t="shared" si="4"/>
        <v>77076.236168378586</v>
      </c>
      <c r="P24" s="83">
        <f t="shared" si="4"/>
        <v>77707.101370736244</v>
      </c>
      <c r="Q24" s="83">
        <f t="shared" si="4"/>
        <v>79309.723396824615</v>
      </c>
      <c r="R24" s="83">
        <f t="shared" si="4"/>
        <v>79252.302286481005</v>
      </c>
      <c r="S24" s="83">
        <f t="shared" si="4"/>
        <v>79364.551755089837</v>
      </c>
      <c r="T24" s="83">
        <f t="shared" si="4"/>
        <v>81639.953439188845</v>
      </c>
      <c r="U24" s="83">
        <f t="shared" si="4"/>
        <v>82469.278362728641</v>
      </c>
      <c r="V24" s="83">
        <f t="shared" si="4"/>
        <v>82278.150567336896</v>
      </c>
      <c r="W24" s="83">
        <f t="shared" si="4"/>
        <v>83084.155259685824</v>
      </c>
      <c r="X24" s="184">
        <f t="shared" si="4"/>
        <v>82787.332928441348</v>
      </c>
      <c r="Y24" s="174">
        <f t="shared" si="4"/>
        <v>85328.511492029473</v>
      </c>
      <c r="Z24" s="174">
        <f t="shared" si="4"/>
        <v>87655.92075690208</v>
      </c>
      <c r="AA24" s="174">
        <f t="shared" si="4"/>
        <v>90231.265515197811</v>
      </c>
      <c r="AB24" s="174">
        <f t="shared" si="4"/>
        <v>92270.284227937547</v>
      </c>
      <c r="AC24" s="174">
        <f t="shared" si="4"/>
        <v>93835.358689905363</v>
      </c>
      <c r="AD24" s="174">
        <f t="shared" si="4"/>
        <v>95618.843675920492</v>
      </c>
      <c r="AE24" s="174">
        <f t="shared" si="4"/>
        <v>97014.41401147579</v>
      </c>
      <c r="AF24" s="174">
        <f t="shared" si="4"/>
        <v>98021.709357086147</v>
      </c>
      <c r="AG24" s="174">
        <f t="shared" si="4"/>
        <v>98224.337338280384</v>
      </c>
      <c r="AH24" s="174">
        <f t="shared" si="4"/>
        <v>98841.661688311477</v>
      </c>
    </row>
    <row r="25" spans="1:34">
      <c r="A25" s="10" t="s">
        <v>346</v>
      </c>
      <c r="B25" s="37"/>
      <c r="C25" s="332">
        <f t="shared" ref="C25:AH25" si="5">C24/C4-1</f>
        <v>-2.2637970344263625E-4</v>
      </c>
      <c r="D25" s="332">
        <f t="shared" si="5"/>
        <v>-3.1929936596242214E-4</v>
      </c>
      <c r="E25" s="332">
        <f t="shared" si="5"/>
        <v>-6.7294518334258813E-3</v>
      </c>
      <c r="F25" s="332">
        <f t="shared" si="5"/>
        <v>-1.1588451497768326E-2</v>
      </c>
      <c r="G25" s="332">
        <f t="shared" si="5"/>
        <v>-1.81410655708244E-2</v>
      </c>
      <c r="H25" s="82">
        <f t="shared" si="5"/>
        <v>-3.0505349049757546E-3</v>
      </c>
      <c r="I25" s="82">
        <f t="shared" si="5"/>
        <v>-2.7633307785145389E-3</v>
      </c>
      <c r="J25" s="82">
        <f t="shared" si="5"/>
        <v>-2.4139358579045034E-3</v>
      </c>
      <c r="K25" s="82">
        <f t="shared" si="5"/>
        <v>1.4952336203100103E-4</v>
      </c>
      <c r="L25" s="82">
        <f t="shared" si="5"/>
        <v>1.8650869548677562E-3</v>
      </c>
      <c r="M25" s="82">
        <f t="shared" si="5"/>
        <v>2.1615064661824057E-3</v>
      </c>
      <c r="N25" s="199">
        <f t="shared" si="5"/>
        <v>2.2133050270833898E-3</v>
      </c>
      <c r="O25" s="82">
        <f t="shared" si="5"/>
        <v>1.962846648340566E-3</v>
      </c>
      <c r="P25" s="82">
        <f t="shared" si="5"/>
        <v>2.1466557585840818E-3</v>
      </c>
      <c r="Q25" s="82">
        <f t="shared" si="5"/>
        <v>2.6680405502403914E-3</v>
      </c>
      <c r="R25" s="82">
        <f t="shared" si="5"/>
        <v>2.3852345325467983E-3</v>
      </c>
      <c r="S25" s="82">
        <f t="shared" si="5"/>
        <v>1.9985179899892902E-3</v>
      </c>
      <c r="T25" s="82">
        <f t="shared" si="5"/>
        <v>2.5169162431537551E-3</v>
      </c>
      <c r="U25" s="82">
        <f t="shared" si="5"/>
        <v>2.3328213459885561E-3</v>
      </c>
      <c r="V25" s="82">
        <f t="shared" si="5"/>
        <v>1.6507134883423369E-3</v>
      </c>
      <c r="W25" s="82">
        <f t="shared" si="5"/>
        <v>3.1114736228030626E-3</v>
      </c>
      <c r="X25" s="185">
        <f t="shared" si="5"/>
        <v>2.5439998208498515E-3</v>
      </c>
      <c r="Y25" s="172">
        <f t="shared" si="5"/>
        <v>3.337484768350274E-3</v>
      </c>
      <c r="Z25" s="172">
        <f t="shared" si="5"/>
        <v>4.0470304850654948E-3</v>
      </c>
      <c r="AA25" s="172">
        <f t="shared" si="5"/>
        <v>4.8674979104952332E-3</v>
      </c>
      <c r="AB25" s="172">
        <f t="shared" si="5"/>
        <v>5.320196798375143E-3</v>
      </c>
      <c r="AC25" s="172">
        <f t="shared" si="5"/>
        <v>5.5217749100400226E-3</v>
      </c>
      <c r="AD25" s="172">
        <f t="shared" si="5"/>
        <v>5.8043624588623999E-3</v>
      </c>
      <c r="AE25" s="172">
        <f t="shared" si="5"/>
        <v>5.896289461843951E-3</v>
      </c>
      <c r="AF25" s="172">
        <f t="shared" si="5"/>
        <v>5.802914468350906E-3</v>
      </c>
      <c r="AG25" s="172">
        <f t="shared" si="5"/>
        <v>5.3006805127184808E-3</v>
      </c>
      <c r="AH25" s="172">
        <f t="shared" si="5"/>
        <v>4.9507594202968797E-3</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v>
      </c>
      <c r="D28" s="332">
        <f t="shared" si="6"/>
        <v>0</v>
      </c>
      <c r="E28" s="332">
        <f t="shared" si="6"/>
        <v>1.0246353457220706E-3</v>
      </c>
      <c r="F28" s="332">
        <f t="shared" si="6"/>
        <v>8.8590016137660003E-4</v>
      </c>
      <c r="G28" s="332">
        <f t="shared" si="6"/>
        <v>7.9795312891145465E-4</v>
      </c>
      <c r="H28" s="164">
        <f t="shared" si="6"/>
        <v>5.1287803921116917E-4</v>
      </c>
      <c r="I28" s="164">
        <f t="shared" si="6"/>
        <v>5.4492469769620226E-4</v>
      </c>
      <c r="J28" s="164">
        <f t="shared" si="6"/>
        <v>6.9843249895479645E-4</v>
      </c>
      <c r="K28" s="164">
        <f t="shared" si="6"/>
        <v>1.239284777720825E-3</v>
      </c>
      <c r="L28" s="164">
        <f t="shared" ref="L28:L34" si="7">L10/L$18</f>
        <v>1.9818334858446849E-3</v>
      </c>
      <c r="M28" s="164">
        <f t="shared" ref="M28:AH28" si="8">M10/M$18</f>
        <v>1.9661687869482491E-3</v>
      </c>
      <c r="N28" s="185">
        <f t="shared" si="8"/>
        <v>2.106186013293676E-3</v>
      </c>
      <c r="O28" s="164">
        <f t="shared" si="8"/>
        <v>2.1814813443769036E-3</v>
      </c>
      <c r="P28" s="164">
        <f t="shared" si="8"/>
        <v>2.3008838998899031E-3</v>
      </c>
      <c r="Q28" s="164">
        <f t="shared" si="8"/>
        <v>2.7522923789884942E-3</v>
      </c>
      <c r="R28" s="164">
        <f t="shared" si="8"/>
        <v>2.7293387269962375E-3</v>
      </c>
      <c r="S28" s="164">
        <f t="shared" si="8"/>
        <v>2.9704798638164258E-3</v>
      </c>
      <c r="T28" s="164">
        <f t="shared" si="8"/>
        <v>2.9291810103390385E-3</v>
      </c>
      <c r="U28" s="164">
        <f t="shared" si="8"/>
        <v>2.8735361623566168E-3</v>
      </c>
      <c r="V28" s="164">
        <f t="shared" si="8"/>
        <v>2.9011259879248904E-3</v>
      </c>
      <c r="W28" s="164">
        <f t="shared" si="8"/>
        <v>2.8132633345407045E-3</v>
      </c>
      <c r="X28" s="185">
        <f t="shared" si="8"/>
        <v>3.1105572346269397E-3</v>
      </c>
      <c r="Y28" s="172">
        <f t="shared" si="8"/>
        <v>3.2054330028052839E-3</v>
      </c>
      <c r="Z28" s="172">
        <f t="shared" si="8"/>
        <v>3.1627377865909353E-3</v>
      </c>
      <c r="AA28" s="172">
        <f t="shared" si="8"/>
        <v>3.0579398457764432E-3</v>
      </c>
      <c r="AB28" s="172">
        <f t="shared" si="8"/>
        <v>2.9493601705278213E-3</v>
      </c>
      <c r="AC28" s="172">
        <f t="shared" si="8"/>
        <v>2.8649312277151274E-3</v>
      </c>
      <c r="AD28" s="172">
        <f t="shared" si="8"/>
        <v>2.7661074189650908E-3</v>
      </c>
      <c r="AE28" s="172">
        <f t="shared" si="8"/>
        <v>2.7056204317063358E-3</v>
      </c>
      <c r="AF28" s="172">
        <f t="shared" si="8"/>
        <v>2.6546603711874285E-3</v>
      </c>
      <c r="AG28" s="172">
        <f t="shared" si="8"/>
        <v>2.6029050909028278E-3</v>
      </c>
      <c r="AH28" s="172">
        <f t="shared" si="8"/>
        <v>2.5529964350295307E-3</v>
      </c>
    </row>
    <row r="29" spans="1:34">
      <c r="A29" s="9" t="s">
        <v>50</v>
      </c>
      <c r="B29" s="37"/>
      <c r="C29" s="332">
        <f t="shared" ref="C29:K29" si="9">C11/C$18</f>
        <v>0</v>
      </c>
      <c r="D29" s="332">
        <f t="shared" si="9"/>
        <v>0</v>
      </c>
      <c r="E29" s="332">
        <f t="shared" si="9"/>
        <v>7.3235894623006163E-12</v>
      </c>
      <c r="F29" s="332">
        <f t="shared" si="9"/>
        <v>6.5750179154295054E-12</v>
      </c>
      <c r="G29" s="332">
        <f t="shared" si="9"/>
        <v>5.443208440821104E-12</v>
      </c>
      <c r="H29" s="164">
        <f t="shared" si="9"/>
        <v>3.0805909606772013E-12</v>
      </c>
      <c r="I29" s="164">
        <f t="shared" si="9"/>
        <v>2.7715993254480298E-12</v>
      </c>
      <c r="J29" s="164">
        <f t="shared" si="9"/>
        <v>2.5214014894305573E-12</v>
      </c>
      <c r="K29" s="164">
        <f t="shared" si="9"/>
        <v>2.3919946576022572E-12</v>
      </c>
      <c r="L29" s="164">
        <f t="shared" si="7"/>
        <v>2.304017635056987E-12</v>
      </c>
      <c r="M29" s="164">
        <f t="shared" ref="M29:AH29" si="10">M11/M$18</f>
        <v>2.2723426441860232E-12</v>
      </c>
      <c r="N29" s="185">
        <f t="shared" si="10"/>
        <v>2.2394108012721574E-12</v>
      </c>
      <c r="O29" s="164">
        <f t="shared" si="10"/>
        <v>2.214590356035781E-12</v>
      </c>
      <c r="P29" s="164">
        <f t="shared" si="10"/>
        <v>2.1704570140474638E-12</v>
      </c>
      <c r="Q29" s="164">
        <f t="shared" si="10"/>
        <v>2.1113382306690346E-12</v>
      </c>
      <c r="R29" s="164">
        <f t="shared" si="10"/>
        <v>2.0730758767029451E-12</v>
      </c>
      <c r="S29" s="164">
        <f t="shared" si="10"/>
        <v>2.0400059966600301E-12</v>
      </c>
      <c r="T29" s="164">
        <f t="shared" si="10"/>
        <v>1.9758311960210601E-12</v>
      </c>
      <c r="U29" s="164">
        <f t="shared" si="10"/>
        <v>1.9347627633360887E-12</v>
      </c>
      <c r="V29" s="164">
        <f t="shared" si="10"/>
        <v>1.9092055167028751E-12</v>
      </c>
      <c r="W29" s="164">
        <f t="shared" si="10"/>
        <v>1.821128416855212E-12</v>
      </c>
      <c r="X29" s="185">
        <f t="shared" si="10"/>
        <v>1.7899408467958747E-12</v>
      </c>
      <c r="Y29" s="172">
        <f t="shared" si="10"/>
        <v>1.7221556600175459E-12</v>
      </c>
      <c r="Z29" s="172">
        <f t="shared" si="10"/>
        <v>1.660564798762782E-12</v>
      </c>
      <c r="AA29" s="172">
        <f t="shared" si="10"/>
        <v>1.5988385269819207E-12</v>
      </c>
      <c r="AB29" s="172">
        <f t="shared" si="10"/>
        <v>1.537857100375872E-12</v>
      </c>
      <c r="AC29" s="172">
        <f t="shared" si="10"/>
        <v>1.4929274590838831E-12</v>
      </c>
      <c r="AD29" s="172">
        <f t="shared" si="10"/>
        <v>1.4475185879157254E-12</v>
      </c>
      <c r="AE29" s="172">
        <f t="shared" si="10"/>
        <v>1.4075830004974761E-12</v>
      </c>
      <c r="AF29" s="172">
        <f t="shared" si="10"/>
        <v>1.3730269244360643E-12</v>
      </c>
      <c r="AG29" s="172">
        <f t="shared" si="10"/>
        <v>1.3471903307764391E-12</v>
      </c>
      <c r="AH29" s="172">
        <f t="shared" si="10"/>
        <v>1.3180109493819748E-12</v>
      </c>
    </row>
    <row r="30" spans="1:34">
      <c r="A30" s="9" t="s">
        <v>51</v>
      </c>
      <c r="B30" s="37"/>
      <c r="C30" s="332">
        <f t="shared" ref="C30:K30" si="11">C12/C$18</f>
        <v>0.97779093244257465</v>
      </c>
      <c r="D30" s="332">
        <f t="shared" si="11"/>
        <v>0.98430658255027081</v>
      </c>
      <c r="E30" s="332">
        <f t="shared" si="11"/>
        <v>0.84871006552826278</v>
      </c>
      <c r="F30" s="332">
        <f t="shared" si="11"/>
        <v>0.83992171183503117</v>
      </c>
      <c r="G30" s="332">
        <f t="shared" si="11"/>
        <v>0.8477278746072725</v>
      </c>
      <c r="H30" s="164">
        <f t="shared" si="11"/>
        <v>0.48172561156358978</v>
      </c>
      <c r="I30" s="164">
        <f t="shared" si="11"/>
        <v>0.43069517624786868</v>
      </c>
      <c r="J30" s="164">
        <f t="shared" si="11"/>
        <v>0.3918383944211592</v>
      </c>
      <c r="K30" s="164">
        <f t="shared" si="11"/>
        <v>0.37174034190863242</v>
      </c>
      <c r="L30" s="164">
        <f t="shared" si="7"/>
        <v>0.35806298415433313</v>
      </c>
      <c r="M30" s="164">
        <f t="shared" ref="M30:AH30" si="12">M12/M$18</f>
        <v>0.35312333760283948</v>
      </c>
      <c r="N30" s="185">
        <f t="shared" si="12"/>
        <v>0.34795968427399715</v>
      </c>
      <c r="O30" s="164">
        <f t="shared" si="12"/>
        <v>0.34407666752044475</v>
      </c>
      <c r="P30" s="164">
        <f t="shared" si="12"/>
        <v>0.33719636898862115</v>
      </c>
      <c r="Q30" s="164">
        <f t="shared" si="12"/>
        <v>0.32798620687175761</v>
      </c>
      <c r="R30" s="164">
        <f t="shared" si="12"/>
        <v>0.32561408917299156</v>
      </c>
      <c r="S30" s="164">
        <f t="shared" si="12"/>
        <v>0.3204050521343984</v>
      </c>
      <c r="T30" s="164">
        <f t="shared" si="12"/>
        <v>0.31030555507089874</v>
      </c>
      <c r="U30" s="164">
        <f t="shared" si="12"/>
        <v>0.30383478385155915</v>
      </c>
      <c r="V30" s="164">
        <f t="shared" si="12"/>
        <v>0.29979930643910102</v>
      </c>
      <c r="W30" s="164">
        <f t="shared" si="12"/>
        <v>0.28592516846821719</v>
      </c>
      <c r="X30" s="185">
        <f t="shared" si="12"/>
        <v>0.28097818655422502</v>
      </c>
      <c r="Y30" s="172">
        <f t="shared" si="12"/>
        <v>0.27029318844311573</v>
      </c>
      <c r="Z30" s="172">
        <f t="shared" si="12"/>
        <v>0.26058246095994014</v>
      </c>
      <c r="AA30" s="172">
        <f t="shared" si="12"/>
        <v>0.25085249525521458</v>
      </c>
      <c r="AB30" s="172">
        <f t="shared" si="12"/>
        <v>0.24646367446333883</v>
      </c>
      <c r="AC30" s="172">
        <f t="shared" si="12"/>
        <v>0.23924058954497893</v>
      </c>
      <c r="AD30" s="172">
        <f t="shared" si="12"/>
        <v>0.23193948734031958</v>
      </c>
      <c r="AE30" s="172">
        <f t="shared" si="12"/>
        <v>0.22551545400111186</v>
      </c>
      <c r="AF30" s="172">
        <f t="shared" si="12"/>
        <v>0.2199563510277672</v>
      </c>
      <c r="AG30" s="172">
        <f t="shared" si="12"/>
        <v>0.21579558631079412</v>
      </c>
      <c r="AH30" s="172">
        <f t="shared" si="12"/>
        <v>0.21110260672599349</v>
      </c>
    </row>
    <row r="31" spans="1:34">
      <c r="A31" s="9" t="s">
        <v>347</v>
      </c>
      <c r="B31" s="37"/>
      <c r="C31" s="332">
        <f t="shared" ref="C31:K31" si="13">C13/C$18</f>
        <v>0</v>
      </c>
      <c r="D31" s="332">
        <f t="shared" si="13"/>
        <v>0</v>
      </c>
      <c r="E31" s="332">
        <f t="shared" si="13"/>
        <v>1.4647178924601234E-5</v>
      </c>
      <c r="F31" s="332">
        <f t="shared" si="13"/>
        <v>1.3150035830859011E-5</v>
      </c>
      <c r="G31" s="332">
        <f t="shared" si="13"/>
        <v>1.0886416881642207E-5</v>
      </c>
      <c r="H31" s="164">
        <f t="shared" si="13"/>
        <v>0.43183574541611425</v>
      </c>
      <c r="I31" s="164">
        <f t="shared" si="13"/>
        <v>0.49091793437002612</v>
      </c>
      <c r="J31" s="164">
        <f t="shared" si="13"/>
        <v>0.53620298462076865</v>
      </c>
      <c r="K31" s="164">
        <f t="shared" si="13"/>
        <v>0.55942247195730521</v>
      </c>
      <c r="L31" s="164">
        <f t="shared" si="7"/>
        <v>0.57485176766103252</v>
      </c>
      <c r="M31" s="164">
        <f t="shared" ref="M31:AH31" si="14">M13/M$18</f>
        <v>0.58070868252049468</v>
      </c>
      <c r="N31" s="185">
        <f t="shared" si="14"/>
        <v>0.58664145315091387</v>
      </c>
      <c r="O31" s="164">
        <f t="shared" si="14"/>
        <v>0.59114413751241035</v>
      </c>
      <c r="P31" s="164">
        <f t="shared" si="14"/>
        <v>0.59914534294819544</v>
      </c>
      <c r="Q31" s="164">
        <f t="shared" si="14"/>
        <v>0.60956699392447111</v>
      </c>
      <c r="R31" s="164">
        <f t="shared" si="14"/>
        <v>0.61300708714952645</v>
      </c>
      <c r="S31" s="164">
        <f t="shared" si="14"/>
        <v>0.61885818342518728</v>
      </c>
      <c r="T31" s="164">
        <f t="shared" si="14"/>
        <v>0.63073699465686395</v>
      </c>
      <c r="U31" s="164">
        <f t="shared" si="14"/>
        <v>0.63834234110741339</v>
      </c>
      <c r="V31" s="164">
        <f t="shared" si="14"/>
        <v>0.64299270139776965</v>
      </c>
      <c r="W31" s="164">
        <f t="shared" si="14"/>
        <v>0.65937756712936302</v>
      </c>
      <c r="X31" s="185">
        <f t="shared" si="14"/>
        <v>0.66482287677987761</v>
      </c>
      <c r="Y31" s="172">
        <f t="shared" si="14"/>
        <v>0.67727539602793452</v>
      </c>
      <c r="Z31" s="172">
        <f t="shared" si="14"/>
        <v>0.68872046277415355</v>
      </c>
      <c r="AA31" s="172">
        <f t="shared" si="14"/>
        <v>0.70019551146150605</v>
      </c>
      <c r="AB31" s="172">
        <f t="shared" si="14"/>
        <v>0.70624353063552592</v>
      </c>
      <c r="AC31" s="172">
        <f t="shared" si="14"/>
        <v>0.71471355178940543</v>
      </c>
      <c r="AD31" s="172">
        <f t="shared" si="14"/>
        <v>0.72334545689505092</v>
      </c>
      <c r="AE31" s="172">
        <f t="shared" si="14"/>
        <v>0.73075326168507637</v>
      </c>
      <c r="AF31" s="172">
        <f t="shared" si="14"/>
        <v>0.73719866517563371</v>
      </c>
      <c r="AG31" s="172">
        <f t="shared" si="14"/>
        <v>0.74182564753935143</v>
      </c>
      <c r="AH31" s="172">
        <f t="shared" si="14"/>
        <v>0.7469629500819176</v>
      </c>
    </row>
    <row r="32" spans="1:34">
      <c r="A32" s="9" t="s">
        <v>348</v>
      </c>
      <c r="B32" s="37"/>
      <c r="C32" s="332">
        <f t="shared" ref="C32:K32" si="15">C14/C$18</f>
        <v>0</v>
      </c>
      <c r="D32" s="332">
        <f t="shared" si="15"/>
        <v>0</v>
      </c>
      <c r="E32" s="332">
        <f t="shared" si="15"/>
        <v>7.3235894623006168E-6</v>
      </c>
      <c r="F32" s="332">
        <f t="shared" si="15"/>
        <v>6.5750179154295054E-6</v>
      </c>
      <c r="G32" s="332">
        <f t="shared" si="15"/>
        <v>5.4432084408211035E-6</v>
      </c>
      <c r="H32" s="164">
        <f t="shared" si="15"/>
        <v>3.0805909606772016E-6</v>
      </c>
      <c r="I32" s="164">
        <f t="shared" si="15"/>
        <v>2.7715993254480299E-6</v>
      </c>
      <c r="J32" s="164">
        <f t="shared" si="15"/>
        <v>2.5214014894305573E-6</v>
      </c>
      <c r="K32" s="164">
        <f t="shared" si="15"/>
        <v>2.3919946576022571E-6</v>
      </c>
      <c r="L32" s="164">
        <f t="shared" si="7"/>
        <v>2.3040176350569871E-6</v>
      </c>
      <c r="M32" s="164">
        <f t="shared" ref="M32:AH32" si="16">M14/M$18</f>
        <v>2.2723426441860232E-6</v>
      </c>
      <c r="N32" s="185">
        <f t="shared" si="16"/>
        <v>2.2394108012721574E-6</v>
      </c>
      <c r="O32" s="164">
        <f t="shared" si="16"/>
        <v>2.2145903560357813E-6</v>
      </c>
      <c r="P32" s="164">
        <f t="shared" si="16"/>
        <v>2.1704570140474639E-6</v>
      </c>
      <c r="Q32" s="164">
        <f t="shared" si="16"/>
        <v>2.1113382306690345E-6</v>
      </c>
      <c r="R32" s="164">
        <f t="shared" si="16"/>
        <v>2.0730758767029453E-6</v>
      </c>
      <c r="S32" s="164">
        <f t="shared" si="16"/>
        <v>2.0400059966600302E-6</v>
      </c>
      <c r="T32" s="164">
        <f t="shared" si="16"/>
        <v>1.9758311960210601E-6</v>
      </c>
      <c r="U32" s="164">
        <f t="shared" si="16"/>
        <v>1.9347627633360885E-6</v>
      </c>
      <c r="V32" s="164">
        <f t="shared" si="16"/>
        <v>1.9092055167028751E-6</v>
      </c>
      <c r="W32" s="164">
        <f t="shared" si="16"/>
        <v>1.8211284168552119E-6</v>
      </c>
      <c r="X32" s="185">
        <f t="shared" si="16"/>
        <v>1.7899408467958749E-6</v>
      </c>
      <c r="Y32" s="172">
        <f t="shared" si="16"/>
        <v>1.722155660017546E-6</v>
      </c>
      <c r="Z32" s="172">
        <f t="shared" si="16"/>
        <v>1.660564798762782E-6</v>
      </c>
      <c r="AA32" s="172">
        <f t="shared" si="16"/>
        <v>1.5988385269819209E-6</v>
      </c>
      <c r="AB32" s="172">
        <f t="shared" si="16"/>
        <v>1.5378571003758719E-6</v>
      </c>
      <c r="AC32" s="172">
        <f t="shared" si="16"/>
        <v>1.4929274590838831E-6</v>
      </c>
      <c r="AD32" s="172">
        <f t="shared" si="16"/>
        <v>1.4475185879157253E-6</v>
      </c>
      <c r="AE32" s="172">
        <f t="shared" si="16"/>
        <v>1.407583000497476E-6</v>
      </c>
      <c r="AF32" s="172">
        <f t="shared" si="16"/>
        <v>1.3730269244360643E-6</v>
      </c>
      <c r="AG32" s="172">
        <f t="shared" si="16"/>
        <v>1.3471903307764392E-6</v>
      </c>
      <c r="AH32" s="172">
        <f t="shared" si="16"/>
        <v>1.3180109493819747E-6</v>
      </c>
    </row>
    <row r="33" spans="1:36">
      <c r="A33" s="9" t="s">
        <v>344</v>
      </c>
      <c r="B33" s="37"/>
      <c r="C33" s="332">
        <f t="shared" ref="C33:K33" si="17">C15/C$18</f>
        <v>1.057071278316297E-5</v>
      </c>
      <c r="D33" s="332">
        <f t="shared" si="17"/>
        <v>1.2062580668508222E-5</v>
      </c>
      <c r="E33" s="332">
        <f t="shared" si="17"/>
        <v>7.3235894623006168E-6</v>
      </c>
      <c r="F33" s="332">
        <f t="shared" si="17"/>
        <v>6.5750179154295054E-6</v>
      </c>
      <c r="G33" s="332">
        <f t="shared" si="17"/>
        <v>5.4432084408211035E-6</v>
      </c>
      <c r="H33" s="164">
        <f t="shared" si="17"/>
        <v>3.0805909606772016E-6</v>
      </c>
      <c r="I33" s="164">
        <f t="shared" si="17"/>
        <v>2.7715993254480299E-6</v>
      </c>
      <c r="J33" s="164">
        <f t="shared" si="17"/>
        <v>2.5214014894305573E-6</v>
      </c>
      <c r="K33" s="164">
        <f t="shared" si="17"/>
        <v>2.3919946576022571E-6</v>
      </c>
      <c r="L33" s="164">
        <f t="shared" si="7"/>
        <v>2.3040176350569871E-6</v>
      </c>
      <c r="M33" s="164">
        <f t="shared" ref="M33:AH33" si="18">M15/M$18</f>
        <v>2.2723426441860232E-6</v>
      </c>
      <c r="N33" s="185">
        <f t="shared" si="18"/>
        <v>2.2394108012721574E-6</v>
      </c>
      <c r="O33" s="164">
        <f t="shared" si="18"/>
        <v>2.2145903560357813E-6</v>
      </c>
      <c r="P33" s="164">
        <f t="shared" si="18"/>
        <v>2.1704570140474639E-6</v>
      </c>
      <c r="Q33" s="164">
        <f t="shared" si="18"/>
        <v>2.1113382306690345E-6</v>
      </c>
      <c r="R33" s="164">
        <f t="shared" si="18"/>
        <v>2.0730758767029453E-6</v>
      </c>
      <c r="S33" s="164">
        <f t="shared" si="18"/>
        <v>2.0400059966600302E-6</v>
      </c>
      <c r="T33" s="164">
        <f t="shared" si="18"/>
        <v>1.9758311960210601E-6</v>
      </c>
      <c r="U33" s="164">
        <f t="shared" si="18"/>
        <v>1.9347627633360885E-6</v>
      </c>
      <c r="V33" s="164">
        <f t="shared" si="18"/>
        <v>1.9092055167028751E-6</v>
      </c>
      <c r="W33" s="164">
        <f t="shared" si="18"/>
        <v>1.8211284168552119E-6</v>
      </c>
      <c r="X33" s="185">
        <f t="shared" si="18"/>
        <v>1.7899408467958749E-6</v>
      </c>
      <c r="Y33" s="172">
        <f t="shared" si="18"/>
        <v>1.722155660017546E-6</v>
      </c>
      <c r="Z33" s="172">
        <f t="shared" si="18"/>
        <v>1.660564798762782E-6</v>
      </c>
      <c r="AA33" s="172">
        <f t="shared" si="18"/>
        <v>1.5988385269819209E-6</v>
      </c>
      <c r="AB33" s="172">
        <f t="shared" si="18"/>
        <v>1.5378571003758719E-6</v>
      </c>
      <c r="AC33" s="172">
        <f t="shared" si="18"/>
        <v>1.4929274590838831E-6</v>
      </c>
      <c r="AD33" s="172">
        <f t="shared" si="18"/>
        <v>1.4475185879157253E-6</v>
      </c>
      <c r="AE33" s="172">
        <f t="shared" si="18"/>
        <v>1.407583000497476E-6</v>
      </c>
      <c r="AF33" s="172">
        <f t="shared" si="18"/>
        <v>1.3730269244360643E-6</v>
      </c>
      <c r="AG33" s="172">
        <f t="shared" si="18"/>
        <v>1.3471903307764392E-6</v>
      </c>
      <c r="AH33" s="172">
        <f t="shared" si="18"/>
        <v>1.3180109493819747E-6</v>
      </c>
    </row>
    <row r="34" spans="1:36">
      <c r="A34" s="9" t="s">
        <v>53</v>
      </c>
      <c r="B34" s="37"/>
      <c r="C34" s="332">
        <f t="shared" ref="C34:K34" si="19">C16/C$18</f>
        <v>2.2198496844642233E-2</v>
      </c>
      <c r="D34" s="332">
        <f t="shared" si="19"/>
        <v>1.5681354869060686E-2</v>
      </c>
      <c r="E34" s="332">
        <f t="shared" si="19"/>
        <v>0.15023600476084242</v>
      </c>
      <c r="F34" s="332">
        <f t="shared" si="19"/>
        <v>0.15916608792535553</v>
      </c>
      <c r="G34" s="332">
        <f t="shared" si="19"/>
        <v>0.15145239942460961</v>
      </c>
      <c r="H34" s="164">
        <f t="shared" si="19"/>
        <v>8.5919603796082683E-2</v>
      </c>
      <c r="I34" s="164">
        <f t="shared" si="19"/>
        <v>7.7836421482986459E-2</v>
      </c>
      <c r="J34" s="164">
        <f t="shared" si="19"/>
        <v>7.1255145653617027E-2</v>
      </c>
      <c r="K34" s="164">
        <f t="shared" si="19"/>
        <v>6.7593117364634206E-2</v>
      </c>
      <c r="L34" s="164">
        <f t="shared" si="7"/>
        <v>6.5098806661215425E-2</v>
      </c>
      <c r="M34" s="164">
        <f t="shared" ref="M34:AH34" si="20">M16/M$18</f>
        <v>6.4197266402156936E-2</v>
      </c>
      <c r="N34" s="185">
        <f t="shared" si="20"/>
        <v>6.3288197737953231E-2</v>
      </c>
      <c r="O34" s="164">
        <f t="shared" si="20"/>
        <v>6.2593284439841315E-2</v>
      </c>
      <c r="P34" s="164">
        <f t="shared" si="20"/>
        <v>6.1353063247095004E-2</v>
      </c>
      <c r="Q34" s="164">
        <f t="shared" si="20"/>
        <v>5.969028414620995E-2</v>
      </c>
      <c r="R34" s="164">
        <f t="shared" si="20"/>
        <v>5.8645338796659056E-2</v>
      </c>
      <c r="S34" s="164">
        <f t="shared" si="20"/>
        <v>5.7762204562564354E-2</v>
      </c>
      <c r="T34" s="164">
        <f t="shared" si="20"/>
        <v>5.602431759753039E-2</v>
      </c>
      <c r="U34" s="164">
        <f t="shared" si="20"/>
        <v>5.4945469351209413E-2</v>
      </c>
      <c r="V34" s="164">
        <f t="shared" si="20"/>
        <v>5.4303047762261775E-2</v>
      </c>
      <c r="W34" s="164">
        <f t="shared" si="20"/>
        <v>5.1880358809223981E-2</v>
      </c>
      <c r="X34" s="185">
        <f t="shared" si="20"/>
        <v>5.1084799547786747E-2</v>
      </c>
      <c r="Y34" s="172">
        <f t="shared" si="20"/>
        <v>4.9222538213102261E-2</v>
      </c>
      <c r="Z34" s="172">
        <f t="shared" si="20"/>
        <v>4.7531017348057293E-2</v>
      </c>
      <c r="AA34" s="172">
        <f t="shared" si="20"/>
        <v>4.5890855758850005E-2</v>
      </c>
      <c r="AB34" s="172">
        <f t="shared" si="20"/>
        <v>4.4340359014868755E-2</v>
      </c>
      <c r="AC34" s="172">
        <f t="shared" si="20"/>
        <v>4.317794158148941E-2</v>
      </c>
      <c r="AD34" s="172">
        <f t="shared" si="20"/>
        <v>4.1946053307040904E-2</v>
      </c>
      <c r="AE34" s="172">
        <f t="shared" si="20"/>
        <v>4.1022848714696775E-2</v>
      </c>
      <c r="AF34" s="172">
        <f t="shared" si="20"/>
        <v>4.0187577370189735E-2</v>
      </c>
      <c r="AG34" s="172">
        <f t="shared" si="20"/>
        <v>3.9773166676942723E-2</v>
      </c>
      <c r="AH34" s="172">
        <f t="shared" si="20"/>
        <v>3.9378810733842397E-2</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376</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4.7984999999999998</v>
      </c>
      <c r="D42" s="331">
        <f>D7*Inputs!$C$48</f>
        <v>2.6984999999999997</v>
      </c>
      <c r="E42" s="331">
        <f>E7*Inputs!$C$48</f>
        <v>5.6676060284041583</v>
      </c>
      <c r="F42" s="331">
        <f>F7*Inputs!$C$48</f>
        <v>4.4462175460001161</v>
      </c>
      <c r="G42" s="331">
        <f>G7*Inputs!$C$48</f>
        <v>5.7089413081644231</v>
      </c>
      <c r="H42" s="14">
        <f>H7*Inputs!$C$48</f>
        <v>6.1133369355816374</v>
      </c>
      <c r="I42" s="14">
        <f>I7*Inputs!$C$48</f>
        <v>6.4889112315322031</v>
      </c>
      <c r="J42" s="14">
        <f>J7*Inputs!$C$48</f>
        <v>6.6037751929036679</v>
      </c>
      <c r="K42" s="14">
        <f>K7*Inputs!$C$48</f>
        <v>7.2743017493845485</v>
      </c>
      <c r="L42" s="14">
        <f>L7*Inputs!$C$48</f>
        <v>7.2743017493845485</v>
      </c>
      <c r="M42" s="14">
        <f>M7*Inputs!$C$48</f>
        <v>7.2743017493845485</v>
      </c>
      <c r="N42" s="190">
        <f>N7*Inputs!$C$48</f>
        <v>7.2743011721729118</v>
      </c>
      <c r="O42" s="14">
        <f>O7*Inputs!$C$48</f>
        <v>7.3626688105522069</v>
      </c>
      <c r="P42" s="14">
        <f>P7*Inputs!$C$48</f>
        <v>7.3626688105522069</v>
      </c>
      <c r="Q42" s="14">
        <f>Q7*Inputs!$C$48</f>
        <v>7.6721979737673465</v>
      </c>
      <c r="R42" s="14">
        <f>R7*Inputs!$C$48</f>
        <v>7.6721979737673465</v>
      </c>
      <c r="S42" s="14">
        <f>S7*Inputs!$C$48</f>
        <v>7.6721979737673465</v>
      </c>
      <c r="T42" s="14">
        <f>T7*Inputs!$C$48</f>
        <v>7.6721979737673465</v>
      </c>
      <c r="U42" s="14">
        <f>U7*Inputs!$C$48</f>
        <v>7.6721979737673465</v>
      </c>
      <c r="V42" s="14">
        <f>V7*Inputs!$C$48</f>
        <v>7.7218150860975765</v>
      </c>
      <c r="W42" s="14">
        <f>W7*Inputs!$C$48</f>
        <v>7.7218150860975765</v>
      </c>
      <c r="X42" s="187">
        <f>X7*Inputs!$C$48</f>
        <v>7.7541048822919159</v>
      </c>
      <c r="Y42" s="14">
        <f>Y7*Inputs!$C$48</f>
        <v>7.8496553422840245</v>
      </c>
      <c r="Z42" s="14">
        <f>Z7*Inputs!$C$48</f>
        <v>7.933148428387506</v>
      </c>
      <c r="AA42" s="14">
        <f>AA7*Inputs!$C$48</f>
        <v>7.933148428387506</v>
      </c>
      <c r="AB42" s="14">
        <f>AB7*Inputs!$C$48</f>
        <v>8.0472291135673455</v>
      </c>
      <c r="AC42" s="14">
        <f>AC7*Inputs!$C$48</f>
        <v>8.1486157604227731</v>
      </c>
      <c r="AD42" s="14">
        <f>AD7*Inputs!$C$48</f>
        <v>8.190058978759188</v>
      </c>
      <c r="AE42" s="14">
        <f>AE7*Inputs!$C$48</f>
        <v>8.190058978759188</v>
      </c>
      <c r="AF42" s="14">
        <f>AF7*Inputs!$C$48</f>
        <v>8.190058978759188</v>
      </c>
      <c r="AG42" s="14">
        <f>AG7*Inputs!$C$48</f>
        <v>8.190058978759188</v>
      </c>
      <c r="AH42" s="14">
        <f>AH7*Inputs!$C$48</f>
        <v>8.190058978759188</v>
      </c>
    </row>
    <row r="43" spans="1:36" ht="15">
      <c r="A43" s="8" t="s">
        <v>59</v>
      </c>
      <c r="B43" s="34">
        <v>0</v>
      </c>
      <c r="C43" s="331">
        <f>C8*Inputs!$C$53</f>
        <v>4805.92</v>
      </c>
      <c r="D43" s="331">
        <f>D8*Inputs!$C$53</f>
        <v>4587.9400000000005</v>
      </c>
      <c r="E43" s="331">
        <f>E8*Inputs!$C$53</f>
        <v>4208.6521176000006</v>
      </c>
      <c r="F43" s="331">
        <f>F8*Inputs!$C$53</f>
        <v>4258.480716</v>
      </c>
      <c r="G43" s="331">
        <f>G8*Inputs!$C$53</f>
        <v>4103.9553744000004</v>
      </c>
      <c r="H43" s="14">
        <f>H8*Inputs!$C$53</f>
        <v>4111.4535504000005</v>
      </c>
      <c r="I43" s="14">
        <f>I8*Inputs!$C$53</f>
        <v>4230.3110640000004</v>
      </c>
      <c r="J43" s="14">
        <f>J8*Inputs!$C$53</f>
        <v>4272.6781440000004</v>
      </c>
      <c r="K43" s="14">
        <f>K8*Inputs!$C$53</f>
        <v>4205.4517343999996</v>
      </c>
      <c r="L43" s="14">
        <f>L8*Inputs!$C$53</f>
        <v>4070.1388896000003</v>
      </c>
      <c r="M43" s="14">
        <f>M8*Inputs!$C$53</f>
        <v>3933.8508887999997</v>
      </c>
      <c r="N43" s="190">
        <f>N8*Inputs!$C$53</f>
        <v>3852.4981991999998</v>
      </c>
      <c r="O43" s="14">
        <f>O8*Inputs!$C$53</f>
        <v>3852.4983168000008</v>
      </c>
      <c r="P43" s="14">
        <f>P8*Inputs!$C$53</f>
        <v>3852.4981991999998</v>
      </c>
      <c r="Q43" s="14">
        <f>Q8*Inputs!$C$53</f>
        <v>3852.4981991999998</v>
      </c>
      <c r="R43" s="14">
        <f>R8*Inputs!$C$53</f>
        <v>3852.4983168000008</v>
      </c>
      <c r="S43" s="14">
        <f>S8*Inputs!$C$53</f>
        <v>3852.4981991999998</v>
      </c>
      <c r="T43" s="14">
        <f>T8*Inputs!$C$53</f>
        <v>3852.4983168000008</v>
      </c>
      <c r="U43" s="14">
        <f>U8*Inputs!$C$53</f>
        <v>3852.4981991999998</v>
      </c>
      <c r="V43" s="14">
        <f>V8*Inputs!$C$53</f>
        <v>3852.4981991999998</v>
      </c>
      <c r="W43" s="14">
        <f>W8*Inputs!$C$53</f>
        <v>3852.4983168000008</v>
      </c>
      <c r="X43" s="187">
        <f>X8*Inputs!$C$53</f>
        <v>3852.4983168000008</v>
      </c>
      <c r="Y43" s="14">
        <f>Y8*Inputs!$C$53</f>
        <v>3852.4983168000008</v>
      </c>
      <c r="Z43" s="14">
        <f>Z8*Inputs!$C$53</f>
        <v>3852.4983168000008</v>
      </c>
      <c r="AA43" s="14">
        <f>AA8*Inputs!$C$53</f>
        <v>3852.4981991999998</v>
      </c>
      <c r="AB43" s="14">
        <f>AB8*Inputs!$C$53</f>
        <v>3852.4981991999998</v>
      </c>
      <c r="AC43" s="14">
        <f>AC8*Inputs!$C$53</f>
        <v>3852.4981991999998</v>
      </c>
      <c r="AD43" s="14">
        <f>AD8*Inputs!$C$53</f>
        <v>3852.4981991999998</v>
      </c>
      <c r="AE43" s="14">
        <f>AE8*Inputs!$C$53</f>
        <v>3852.4981991999998</v>
      </c>
      <c r="AF43" s="14">
        <f>AF8*Inputs!$C$53</f>
        <v>3852.4981991999998</v>
      </c>
      <c r="AG43" s="14">
        <f>AG8*Inputs!$C$53</f>
        <v>3852.4981991999998</v>
      </c>
      <c r="AH43" s="14">
        <f>AH8*Inputs!$C$53</f>
        <v>3852.4983168000008</v>
      </c>
    </row>
    <row r="44" spans="1:36" ht="15">
      <c r="A44" s="8" t="s">
        <v>121</v>
      </c>
      <c r="B44" s="34">
        <v>1</v>
      </c>
      <c r="C44" s="331">
        <f>C10*Inputs!$C$46</f>
        <v>0</v>
      </c>
      <c r="D44" s="331">
        <f>D10*Inputs!$C$46</f>
        <v>0</v>
      </c>
      <c r="E44" s="331">
        <f>E10*Inputs!$C$46</f>
        <v>0.29380868999999998</v>
      </c>
      <c r="F44" s="331">
        <f>F10*Inputs!$C$46</f>
        <v>0.28294833000000003</v>
      </c>
      <c r="G44" s="331">
        <f>G10*Inputs!$C$46</f>
        <v>0.30785181</v>
      </c>
      <c r="H44" s="14">
        <f>H10*Inputs!$C$46</f>
        <v>0.34962248999999995</v>
      </c>
      <c r="I44" s="14">
        <f>I10*Inputs!$C$46</f>
        <v>0.41288142</v>
      </c>
      <c r="J44" s="14">
        <f>J10*Inputs!$C$46</f>
        <v>0.58170357000000006</v>
      </c>
      <c r="K44" s="14">
        <f>K10*Inputs!$C$46</f>
        <v>1.0880032799999999</v>
      </c>
      <c r="L44" s="14">
        <f>L10*Inputs!$C$46</f>
        <v>1.8063448199999999</v>
      </c>
      <c r="M44" s="14">
        <f>M10*Inputs!$C$46</f>
        <v>1.8170474699999999</v>
      </c>
      <c r="N44" s="190">
        <f>N10*Inputs!$C$46</f>
        <v>1.9750689000000001</v>
      </c>
      <c r="O44" s="14">
        <f>O10*Inputs!$C$46</f>
        <v>2.06860416</v>
      </c>
      <c r="P44" s="14">
        <f>P10*Inputs!$C$46</f>
        <v>2.2261929900000004</v>
      </c>
      <c r="Q44" s="14">
        <f>Q10*Inputs!$C$46</f>
        <v>2.7375121199999999</v>
      </c>
      <c r="R44" s="14">
        <f>R10*Inputs!$C$46</f>
        <v>2.7647860799999999</v>
      </c>
      <c r="S44" s="14">
        <f>S10*Inputs!$C$46</f>
        <v>3.0578379300000003</v>
      </c>
      <c r="T44" s="14">
        <f>T10*Inputs!$C$46</f>
        <v>3.1132619699999999</v>
      </c>
      <c r="U44" s="14">
        <f>U10*Inputs!$C$46</f>
        <v>3.1189487700000003</v>
      </c>
      <c r="V44" s="14">
        <f>V10*Inputs!$C$46</f>
        <v>3.1910470199999996</v>
      </c>
      <c r="W44" s="14">
        <f>W10*Inputs!$C$46</f>
        <v>3.2440617299999999</v>
      </c>
      <c r="X44" s="187">
        <f>X10*Inputs!$C$46</f>
        <v>3.6493776899999997</v>
      </c>
      <c r="Y44" s="14">
        <f>Y10*Inputs!$C$46</f>
        <v>3.9087113100000002</v>
      </c>
      <c r="Z44" s="14">
        <f>Z10*Inputs!$C$46</f>
        <v>3.9996929699999999</v>
      </c>
      <c r="AA44" s="14">
        <f>AA10*Inputs!$C$46</f>
        <v>4.0164616799999999</v>
      </c>
      <c r="AB44" s="14">
        <f>AB10*Inputs!$C$46</f>
        <v>4.0274589599999997</v>
      </c>
      <c r="AC44" s="14">
        <f>AC10*Inputs!$C$46</f>
        <v>4.0299048299999995</v>
      </c>
      <c r="AD44" s="14">
        <f>AD10*Inputs!$C$46</f>
        <v>4.0129540499999994</v>
      </c>
      <c r="AE44" s="14">
        <f>AE10*Inputs!$C$46</f>
        <v>4.0365668699999997</v>
      </c>
      <c r="AF44" s="14">
        <f>AF10*Inputs!$C$46</f>
        <v>4.0602166500000001</v>
      </c>
      <c r="AG44" s="14">
        <f>AG10*Inputs!$C$46</f>
        <v>4.0574079000000003</v>
      </c>
      <c r="AH44" s="14">
        <f>AH10*Inputs!$C$46</f>
        <v>4.0677146999999998</v>
      </c>
    </row>
    <row r="45" spans="1:36" ht="15">
      <c r="A45" s="8" t="s">
        <v>50</v>
      </c>
      <c r="B45" s="34">
        <v>1</v>
      </c>
      <c r="C45" s="331">
        <f>C11*Inputs!$C$49</f>
        <v>0</v>
      </c>
      <c r="D45" s="331">
        <f>D11*Inputs!$C$49</f>
        <v>0</v>
      </c>
      <c r="E45" s="331">
        <f>E11*Inputs!$C$49</f>
        <v>2.5000000000000001E-9</v>
      </c>
      <c r="F45" s="331">
        <f>F11*Inputs!$C$49</f>
        <v>2.5000000000000001E-9</v>
      </c>
      <c r="G45" s="331">
        <f>G11*Inputs!$C$49</f>
        <v>2.5000000000000001E-9</v>
      </c>
      <c r="H45" s="14">
        <f>H11*Inputs!$C$49</f>
        <v>2.5000000000000001E-9</v>
      </c>
      <c r="I45" s="14">
        <f>I11*Inputs!$C$49</f>
        <v>2.5000000000000001E-9</v>
      </c>
      <c r="J45" s="14">
        <f>J11*Inputs!$C$49</f>
        <v>2.5000000000000001E-9</v>
      </c>
      <c r="K45" s="14">
        <f>K11*Inputs!$C$49</f>
        <v>2.5000000000000001E-9</v>
      </c>
      <c r="L45" s="14">
        <f>L11*Inputs!$C$49</f>
        <v>2.5000000000000001E-9</v>
      </c>
      <c r="M45" s="14">
        <f>M11*Inputs!$C$49</f>
        <v>2.5000000000000001E-9</v>
      </c>
      <c r="N45" s="190">
        <f>N11*Inputs!$C$49</f>
        <v>2.5000000000000001E-9</v>
      </c>
      <c r="O45" s="14">
        <f>O11*Inputs!$C$49</f>
        <v>2.5000000000000001E-9</v>
      </c>
      <c r="P45" s="14">
        <f>P11*Inputs!$C$49</f>
        <v>2.5000000000000001E-9</v>
      </c>
      <c r="Q45" s="14">
        <f>Q11*Inputs!$C$49</f>
        <v>2.5000000000000001E-9</v>
      </c>
      <c r="R45" s="14">
        <f>R11*Inputs!$C$49</f>
        <v>2.5000000000000001E-9</v>
      </c>
      <c r="S45" s="14">
        <f>S11*Inputs!$C$49</f>
        <v>2.5000000000000001E-9</v>
      </c>
      <c r="T45" s="14">
        <f>T11*Inputs!$C$49</f>
        <v>2.5000000000000001E-9</v>
      </c>
      <c r="U45" s="14">
        <f>U11*Inputs!$C$49</f>
        <v>2.5000000000000001E-9</v>
      </c>
      <c r="V45" s="14">
        <f>V11*Inputs!$C$49</f>
        <v>2.5000000000000001E-9</v>
      </c>
      <c r="W45" s="14">
        <f>W11*Inputs!$C$49</f>
        <v>2.5000000000000001E-9</v>
      </c>
      <c r="X45" s="187">
        <f>X11*Inputs!$C$49</f>
        <v>2.5000000000000001E-9</v>
      </c>
      <c r="Y45" s="14">
        <f>Y11*Inputs!$C$49</f>
        <v>2.5000000000000001E-9</v>
      </c>
      <c r="Z45" s="14">
        <f>Z11*Inputs!$C$49</f>
        <v>2.5000000000000001E-9</v>
      </c>
      <c r="AA45" s="14">
        <f>AA11*Inputs!$C$49</f>
        <v>2.5000000000000001E-9</v>
      </c>
      <c r="AB45" s="14">
        <f>AB11*Inputs!$C$49</f>
        <v>2.5000000000000001E-9</v>
      </c>
      <c r="AC45" s="14">
        <f>AC11*Inputs!$C$49</f>
        <v>2.5000000000000001E-9</v>
      </c>
      <c r="AD45" s="14">
        <f>AD11*Inputs!$C$49</f>
        <v>2.5000000000000001E-9</v>
      </c>
      <c r="AE45" s="14">
        <f>AE11*Inputs!$C$49</f>
        <v>2.5000000000000001E-9</v>
      </c>
      <c r="AF45" s="14">
        <f>AF11*Inputs!$C$49</f>
        <v>2.5000000000000001E-9</v>
      </c>
      <c r="AG45" s="14">
        <f>AG11*Inputs!$C$49</f>
        <v>2.5000000000000001E-9</v>
      </c>
      <c r="AH45" s="14">
        <f>AH11*Inputs!$C$49</f>
        <v>2.5000000000000001E-9</v>
      </c>
    </row>
    <row r="46" spans="1:36" ht="15">
      <c r="A46" s="8" t="s">
        <v>51</v>
      </c>
      <c r="B46" s="34">
        <v>1</v>
      </c>
      <c r="C46" s="331">
        <f>C12*Inputs!$C$52</f>
        <v>138.75</v>
      </c>
      <c r="D46" s="331">
        <f>D12*Inputs!$C$52</f>
        <v>122.39999999999999</v>
      </c>
      <c r="E46" s="331">
        <f>E12*Inputs!$C$52</f>
        <v>173.83075674103614</v>
      </c>
      <c r="F46" s="331">
        <f>F12*Inputs!$C$52</f>
        <v>191.61659845762509</v>
      </c>
      <c r="G46" s="331">
        <f>G12*Inputs!$C$52</f>
        <v>233.61071429391927</v>
      </c>
      <c r="H46" s="14">
        <f>H12*Inputs!$C$52</f>
        <v>234.56162358748827</v>
      </c>
      <c r="I46" s="14">
        <f>I12*Inputs!$C$52</f>
        <v>233.09385250603276</v>
      </c>
      <c r="J46" s="14">
        <f>J12*Inputs!$C$52</f>
        <v>233.10749759431616</v>
      </c>
      <c r="K46" s="14">
        <f>K12*Inputs!$C$52</f>
        <v>233.11528355247211</v>
      </c>
      <c r="L46" s="14">
        <f>L12*Inputs!$C$52</f>
        <v>233.11213771079289</v>
      </c>
      <c r="M46" s="14">
        <f>M12*Inputs!$C$52</f>
        <v>233.10085200376895</v>
      </c>
      <c r="N46" s="190">
        <f>N12*Inputs!$C$52</f>
        <v>233.07002275531312</v>
      </c>
      <c r="O46" s="14">
        <f>O12*Inputs!$C$52</f>
        <v>233.05213078076287</v>
      </c>
      <c r="P46" s="14">
        <f>P12*Inputs!$C$52</f>
        <v>233.03596901913622</v>
      </c>
      <c r="Q46" s="14">
        <f>Q12*Inputs!$C$52</f>
        <v>233.01776246041806</v>
      </c>
      <c r="R46" s="14">
        <f>R12*Inputs!$C$52</f>
        <v>235.60215004589244</v>
      </c>
      <c r="S46" s="14">
        <f>S12*Inputs!$C$52</f>
        <v>235.59125756907838</v>
      </c>
      <c r="T46" s="14">
        <f>T12*Inputs!$C$52</f>
        <v>235.57596091391343</v>
      </c>
      <c r="U46" s="14">
        <f>U12*Inputs!$C$52</f>
        <v>235.5597205062447</v>
      </c>
      <c r="V46" s="14">
        <f>V12*Inputs!$C$52</f>
        <v>235.5424577000303</v>
      </c>
      <c r="W46" s="14">
        <f>W12*Inputs!$C$52</f>
        <v>235.50659510488785</v>
      </c>
      <c r="X46" s="187">
        <f>X12*Inputs!$C$52</f>
        <v>235.46436218034512</v>
      </c>
      <c r="Y46" s="14">
        <f>Y12*Inputs!$C$52</f>
        <v>235.42574697373337</v>
      </c>
      <c r="Z46" s="14">
        <f>Z12*Inputs!$C$52</f>
        <v>235.38599139951299</v>
      </c>
      <c r="AA46" s="14">
        <f>AA12*Inputs!$C$52</f>
        <v>235.34505613466285</v>
      </c>
      <c r="AB46" s="14">
        <f>AB12*Inputs!$C$52</f>
        <v>240.39653073399987</v>
      </c>
      <c r="AC46" s="14">
        <f>AC12*Inputs!$C$52</f>
        <v>240.37395931995187</v>
      </c>
      <c r="AD46" s="14">
        <f>AD12*Inputs!$C$52</f>
        <v>240.34871394047664</v>
      </c>
      <c r="AE46" s="14">
        <f>AE12*Inputs!$C$52</f>
        <v>240.32201360922471</v>
      </c>
      <c r="AF46" s="14">
        <f>AF12*Inputs!$C$52</f>
        <v>240.29720078298027</v>
      </c>
      <c r="AG46" s="14">
        <f>AG12*Inputs!$C$52</f>
        <v>240.27293847902979</v>
      </c>
      <c r="AH46" s="14">
        <f>AH12*Inputs!$C$52</f>
        <v>240.2513501405065</v>
      </c>
    </row>
    <row r="47" spans="1:36" ht="15">
      <c r="A47" s="8" t="s">
        <v>347</v>
      </c>
      <c r="B47" s="34">
        <v>1</v>
      </c>
      <c r="C47" s="331">
        <f>C13*Inputs!$C$54</f>
        <v>0</v>
      </c>
      <c r="D47" s="331">
        <f>D13*Inputs!$C$54</f>
        <v>0</v>
      </c>
      <c r="E47" s="331">
        <f>E13*Inputs!$C$54</f>
        <v>1.5800000000000002E-2</v>
      </c>
      <c r="F47" s="331">
        <f>F13*Inputs!$C$54</f>
        <v>1.5800000000000002E-2</v>
      </c>
      <c r="G47" s="331">
        <f>G13*Inputs!$C$54</f>
        <v>1.5800000000000002E-2</v>
      </c>
      <c r="H47" s="14">
        <f>H13*Inputs!$C$54</f>
        <v>1107.4181649995355</v>
      </c>
      <c r="I47" s="14">
        <f>I13*Inputs!$C$54</f>
        <v>1399.2829504301765</v>
      </c>
      <c r="J47" s="14">
        <f>J13*Inputs!$C$54</f>
        <v>1680.0194638818696</v>
      </c>
      <c r="K47" s="14">
        <f>K13*Inputs!$C$54</f>
        <v>1847.5950664926524</v>
      </c>
      <c r="L47" s="14">
        <f>L13*Inputs!$C$54</f>
        <v>1971.0478320231405</v>
      </c>
      <c r="M47" s="14">
        <f>M13*Inputs!$C$54</f>
        <v>2018.8850495983336</v>
      </c>
      <c r="N47" s="190">
        <f>N13*Inputs!$C$54</f>
        <v>2069.503048417685</v>
      </c>
      <c r="O47" s="14">
        <f>O13*Inputs!$C$54</f>
        <v>2108.7596058657214</v>
      </c>
      <c r="P47" s="14">
        <f>P13*Inputs!$C$54</f>
        <v>2180.7610925517442</v>
      </c>
      <c r="Q47" s="14">
        <f>Q13*Inputs!$C$54</f>
        <v>2280.8184790351547</v>
      </c>
      <c r="R47" s="14">
        <f>R13*Inputs!$C$54</f>
        <v>2336.0244759508082</v>
      </c>
      <c r="S47" s="14">
        <f>S13*Inputs!$C$54</f>
        <v>2396.551606742034</v>
      </c>
      <c r="T47" s="14">
        <f>T13*Inputs!$C$54</f>
        <v>2521.8866205896848</v>
      </c>
      <c r="U47" s="14">
        <f>U13*Inputs!$C$54</f>
        <v>2606.4717547350074</v>
      </c>
      <c r="V47" s="14">
        <f>V13*Inputs!$C$54</f>
        <v>2660.6053128396193</v>
      </c>
      <c r="W47" s="14">
        <f>W13*Inputs!$C$54</f>
        <v>2860.359946124609</v>
      </c>
      <c r="X47" s="187">
        <f>X13*Inputs!$C$54</f>
        <v>2934.2314501413152</v>
      </c>
      <c r="Y47" s="14">
        <f>Y13*Inputs!$C$54</f>
        <v>3106.8478609919443</v>
      </c>
      <c r="Z47" s="14">
        <f>Z13*Inputs!$C$54</f>
        <v>3276.5307683082265</v>
      </c>
      <c r="AA47" s="14">
        <f>AA13*Inputs!$C$54</f>
        <v>3459.7268249393692</v>
      </c>
      <c r="AB47" s="14">
        <f>AB13*Inputs!$C$54</f>
        <v>3627.9859101713655</v>
      </c>
      <c r="AC47" s="14">
        <f>AC13*Inputs!$C$54</f>
        <v>3781.9902265050764</v>
      </c>
      <c r="AD47" s="14">
        <f>AD13*Inputs!$C$54</f>
        <v>3947.7414363977741</v>
      </c>
      <c r="AE47" s="14">
        <f>AE13*Inputs!$C$54</f>
        <v>4101.3217446301887</v>
      </c>
      <c r="AF47" s="14">
        <f>AF13*Inputs!$C$54</f>
        <v>4241.6280054227718</v>
      </c>
      <c r="AG47" s="14">
        <f>AG13*Inputs!$C$54</f>
        <v>4350.1073914205444</v>
      </c>
      <c r="AH47" s="14">
        <f>AH13*Inputs!$C$54</f>
        <v>4477.2065880136852</v>
      </c>
    </row>
    <row r="48" spans="1:36" ht="15">
      <c r="A48" s="8" t="s">
        <v>348</v>
      </c>
      <c r="B48" s="34">
        <v>1</v>
      </c>
      <c r="C48" s="331">
        <f>C14*Inputs!$C$55</f>
        <v>0</v>
      </c>
      <c r="D48" s="331">
        <f>D14*Inputs!$C$55</f>
        <v>0</v>
      </c>
      <c r="E48" s="331">
        <f>E14*Inputs!$C$55</f>
        <v>2.3E-3</v>
      </c>
      <c r="F48" s="331">
        <f>F14*Inputs!$C$55</f>
        <v>2.3E-3</v>
      </c>
      <c r="G48" s="331">
        <f>G14*Inputs!$C$55</f>
        <v>2.3E-3</v>
      </c>
      <c r="H48" s="14">
        <f>H14*Inputs!$C$55</f>
        <v>2.3E-3</v>
      </c>
      <c r="I48" s="14">
        <f>I14*Inputs!$C$55</f>
        <v>2.3E-3</v>
      </c>
      <c r="J48" s="14">
        <f>J14*Inputs!$C$55</f>
        <v>2.3E-3</v>
      </c>
      <c r="K48" s="14">
        <f>K14*Inputs!$C$55</f>
        <v>2.3E-3</v>
      </c>
      <c r="L48" s="14">
        <f>L14*Inputs!$C$55</f>
        <v>2.3E-3</v>
      </c>
      <c r="M48" s="14">
        <f>M14*Inputs!$C$55</f>
        <v>2.3E-3</v>
      </c>
      <c r="N48" s="190">
        <f>N14*Inputs!$C$55</f>
        <v>2.3E-3</v>
      </c>
      <c r="O48" s="14">
        <f>O14*Inputs!$C$55</f>
        <v>2.3E-3</v>
      </c>
      <c r="P48" s="14">
        <f>P14*Inputs!$C$55</f>
        <v>2.3E-3</v>
      </c>
      <c r="Q48" s="14">
        <f>Q14*Inputs!$C$55</f>
        <v>2.3E-3</v>
      </c>
      <c r="R48" s="14">
        <f>R14*Inputs!$C$55</f>
        <v>2.3E-3</v>
      </c>
      <c r="S48" s="14">
        <f>S14*Inputs!$C$55</f>
        <v>2.3E-3</v>
      </c>
      <c r="T48" s="14">
        <f>T14*Inputs!$C$55</f>
        <v>2.3E-3</v>
      </c>
      <c r="U48" s="14">
        <f>U14*Inputs!$C$55</f>
        <v>2.3E-3</v>
      </c>
      <c r="V48" s="14">
        <f>V14*Inputs!$C$55</f>
        <v>2.3E-3</v>
      </c>
      <c r="W48" s="14">
        <f>W14*Inputs!$C$55</f>
        <v>2.3E-3</v>
      </c>
      <c r="X48" s="187">
        <f>X14*Inputs!$C$55</f>
        <v>2.3E-3</v>
      </c>
      <c r="Y48" s="14">
        <f>Y14*Inputs!$C$55</f>
        <v>2.3E-3</v>
      </c>
      <c r="Z48" s="14">
        <f>Z14*Inputs!$C$55</f>
        <v>2.3E-3</v>
      </c>
      <c r="AA48" s="14">
        <f>AA14*Inputs!$C$55</f>
        <v>2.3E-3</v>
      </c>
      <c r="AB48" s="14">
        <f>AB14*Inputs!$C$55</f>
        <v>2.3E-3</v>
      </c>
      <c r="AC48" s="14">
        <f>AC14*Inputs!$C$55</f>
        <v>2.3E-3</v>
      </c>
      <c r="AD48" s="14">
        <f>AD14*Inputs!$C$55</f>
        <v>2.3E-3</v>
      </c>
      <c r="AE48" s="14">
        <f>AE14*Inputs!$C$55</f>
        <v>2.3E-3</v>
      </c>
      <c r="AF48" s="14">
        <f>AF14*Inputs!$C$55</f>
        <v>2.3E-3</v>
      </c>
      <c r="AG48" s="14">
        <f>AG14*Inputs!$C$55</f>
        <v>2.3E-3</v>
      </c>
      <c r="AH48" s="14">
        <f>AH14*Inputs!$C$55</f>
        <v>2.3E-3</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3.5700000000000003</v>
      </c>
      <c r="D50" s="331">
        <f>D16*Inputs!$C$57</f>
        <v>2.21</v>
      </c>
      <c r="E50" s="331">
        <f>E16*Inputs!$C$57</f>
        <v>34.87377458938024</v>
      </c>
      <c r="F50" s="331">
        <f>F16*Inputs!$C$57</f>
        <v>41.153096912197377</v>
      </c>
      <c r="G50" s="331">
        <f>G16*Inputs!$C$57</f>
        <v>47.300977322668423</v>
      </c>
      <c r="H50" s="14">
        <f>H16*Inputs!$C$57</f>
        <v>47.414060587008834</v>
      </c>
      <c r="I50" s="14">
        <f>I16*Inputs!$C$57</f>
        <v>47.742079926970362</v>
      </c>
      <c r="J50" s="14">
        <f>J16*Inputs!$C$57</f>
        <v>48.042228942486375</v>
      </c>
      <c r="K50" s="14">
        <f>K16*Inputs!$C$57</f>
        <v>48.038694047528772</v>
      </c>
      <c r="L50" s="14">
        <f>L16*Inputs!$C$57</f>
        <v>48.032606018368867</v>
      </c>
      <c r="M50" s="14">
        <f>M16*Inputs!$C$57</f>
        <v>48.027683308632454</v>
      </c>
      <c r="N50" s="190">
        <f>N16*Inputs!$C$57</f>
        <v>48.043858720964089</v>
      </c>
      <c r="O50" s="14">
        <f>O16*Inputs!$C$57</f>
        <v>48.048878772418441</v>
      </c>
      <c r="P50" s="14">
        <f>P16*Inputs!$C$57</f>
        <v>48.05449121775635</v>
      </c>
      <c r="Q50" s="14">
        <f>Q16*Inputs!$C$57</f>
        <v>48.06121613987083</v>
      </c>
      <c r="R50" s="14">
        <f>R16*Inputs!$C$57</f>
        <v>48.09137816647614</v>
      </c>
      <c r="S50" s="14">
        <f>S16*Inputs!$C$57</f>
        <v>48.135028973997606</v>
      </c>
      <c r="T50" s="14">
        <f>T16*Inputs!$C$57</f>
        <v>48.203176520139586</v>
      </c>
      <c r="U50" s="14">
        <f>U16*Inputs!$C$57</f>
        <v>48.278424449308147</v>
      </c>
      <c r="V50" s="14">
        <f>V16*Inputs!$C$57</f>
        <v>48.352668368185846</v>
      </c>
      <c r="W50" s="14">
        <f>W16*Inputs!$C$57</f>
        <v>48.429648979933965</v>
      </c>
      <c r="X50" s="187">
        <f>X16*Inputs!$C$57</f>
        <v>48.517893419045038</v>
      </c>
      <c r="Y50" s="14">
        <f>Y16*Inputs!$C$57</f>
        <v>48.589286616182719</v>
      </c>
      <c r="Z50" s="14">
        <f>Z16*Inputs!$C$57</f>
        <v>48.659787050707187</v>
      </c>
      <c r="AA50" s="14">
        <f>AA16*Inputs!$C$57</f>
        <v>48.794455145705392</v>
      </c>
      <c r="AB50" s="14">
        <f>AB16*Inputs!$C$57</f>
        <v>49.015354096849045</v>
      </c>
      <c r="AC50" s="14">
        <f>AC16*Inputs!$C$57</f>
        <v>49.166823372365705</v>
      </c>
      <c r="AD50" s="14">
        <f>AD16*Inputs!$C$57</f>
        <v>49.262435188929757</v>
      </c>
      <c r="AE50" s="14">
        <f>AE16*Inputs!$C$57</f>
        <v>49.545101631901652</v>
      </c>
      <c r="AF50" s="14">
        <f>AF16*Inputs!$C$57</f>
        <v>49.757860034232607</v>
      </c>
      <c r="AG50" s="14">
        <f>AG16*Inputs!$C$57</f>
        <v>50.189183967668313</v>
      </c>
      <c r="AH50" s="14">
        <f>AH16*Inputs!$C$57</f>
        <v>50.791670796758261</v>
      </c>
    </row>
    <row r="51" spans="1:34" s="20" customFormat="1" ht="15">
      <c r="A51" s="8" t="s">
        <v>128</v>
      </c>
      <c r="B51" s="38"/>
      <c r="C51" s="334">
        <f t="shared" ref="C51:AH51" si="21">SUMPRODUCT($B42:$B50,C42:C50)</f>
        <v>142.3227</v>
      </c>
      <c r="D51" s="334">
        <f t="shared" si="21"/>
        <v>124.61269999999999</v>
      </c>
      <c r="E51" s="334">
        <f t="shared" si="21"/>
        <v>209.01914002291639</v>
      </c>
      <c r="F51" s="334">
        <f t="shared" si="21"/>
        <v>233.07344370232249</v>
      </c>
      <c r="G51" s="334">
        <f t="shared" si="21"/>
        <v>281.24034342908772</v>
      </c>
      <c r="H51" s="19">
        <f t="shared" si="21"/>
        <v>1389.7484716665329</v>
      </c>
      <c r="I51" s="19">
        <f t="shared" si="21"/>
        <v>1680.5367642856795</v>
      </c>
      <c r="J51" s="19">
        <f t="shared" si="21"/>
        <v>1961.7558939911723</v>
      </c>
      <c r="K51" s="19">
        <f t="shared" si="21"/>
        <v>2129.8420473751535</v>
      </c>
      <c r="L51" s="19">
        <f t="shared" si="21"/>
        <v>2254.0039205748021</v>
      </c>
      <c r="M51" s="19">
        <f t="shared" si="21"/>
        <v>2301.835632383235</v>
      </c>
      <c r="N51" s="190">
        <f t="shared" si="21"/>
        <v>2352.5969987964622</v>
      </c>
      <c r="O51" s="19">
        <f t="shared" si="21"/>
        <v>2391.9342195814029</v>
      </c>
      <c r="P51" s="19">
        <f t="shared" si="21"/>
        <v>2464.082745781137</v>
      </c>
      <c r="Q51" s="19">
        <f t="shared" si="21"/>
        <v>2564.6399697579436</v>
      </c>
      <c r="R51" s="19">
        <f t="shared" si="21"/>
        <v>2622.4877902456769</v>
      </c>
      <c r="S51" s="19">
        <f t="shared" si="21"/>
        <v>2683.34073121761</v>
      </c>
      <c r="T51" s="19">
        <f t="shared" si="21"/>
        <v>2808.7840199962379</v>
      </c>
      <c r="U51" s="19">
        <f t="shared" si="21"/>
        <v>2893.4338484630603</v>
      </c>
      <c r="V51" s="19">
        <f t="shared" si="21"/>
        <v>2947.6964859303353</v>
      </c>
      <c r="W51" s="19">
        <f t="shared" si="21"/>
        <v>3147.5452519419309</v>
      </c>
      <c r="X51" s="182">
        <f t="shared" si="21"/>
        <v>3221.8680834332054</v>
      </c>
      <c r="Y51" s="19">
        <f t="shared" si="21"/>
        <v>3394.7766058943603</v>
      </c>
      <c r="Z51" s="19">
        <f t="shared" si="21"/>
        <v>3564.5812397309469</v>
      </c>
      <c r="AA51" s="19">
        <f t="shared" si="21"/>
        <v>3747.8877979022377</v>
      </c>
      <c r="AB51" s="19">
        <f t="shared" si="21"/>
        <v>3921.4302539647147</v>
      </c>
      <c r="AC51" s="19">
        <f t="shared" si="21"/>
        <v>4075.565914029894</v>
      </c>
      <c r="AD51" s="19">
        <f t="shared" si="21"/>
        <v>4241.3705395796806</v>
      </c>
      <c r="AE51" s="19">
        <f t="shared" si="21"/>
        <v>4395.2304267438158</v>
      </c>
      <c r="AF51" s="19">
        <f t="shared" si="21"/>
        <v>4535.748282892484</v>
      </c>
      <c r="AG51" s="19">
        <f t="shared" si="21"/>
        <v>4644.6319217697428</v>
      </c>
      <c r="AH51" s="19">
        <f t="shared" si="21"/>
        <v>4772.3223236534495</v>
      </c>
    </row>
    <row r="52" spans="1:34" s="20" customFormat="1" ht="15">
      <c r="A52" s="27" t="s">
        <v>329</v>
      </c>
      <c r="B52" s="39"/>
      <c r="C52" s="334">
        <f>SUM(C40:C50)</f>
        <v>4953.0411999999997</v>
      </c>
      <c r="D52" s="334">
        <f t="shared" ref="D52:I52" si="22">SUM(D42:D50)</f>
        <v>4715.2512000000006</v>
      </c>
      <c r="E52" s="334">
        <f t="shared" si="22"/>
        <v>4423.3388636513228</v>
      </c>
      <c r="F52" s="334">
        <f t="shared" si="22"/>
        <v>4496.0003772483242</v>
      </c>
      <c r="G52" s="334">
        <f t="shared" si="22"/>
        <v>4390.9046591372535</v>
      </c>
      <c r="H52" s="19">
        <f t="shared" si="22"/>
        <v>5507.3153590021157</v>
      </c>
      <c r="I52" s="19">
        <f t="shared" si="22"/>
        <v>5917.3367395172127</v>
      </c>
      <c r="J52" s="19">
        <f t="shared" ref="J52:AH52" si="23">SUM(J42:J50)</f>
        <v>6241.0378131840762</v>
      </c>
      <c r="K52" s="19">
        <f t="shared" si="23"/>
        <v>6342.5680835245375</v>
      </c>
      <c r="L52" s="19">
        <f t="shared" si="23"/>
        <v>6331.4171119241873</v>
      </c>
      <c r="M52" s="19">
        <f t="shared" si="23"/>
        <v>6242.9608229326195</v>
      </c>
      <c r="N52" s="190">
        <f t="shared" si="23"/>
        <v>6212.3694991686352</v>
      </c>
      <c r="O52" s="19">
        <f t="shared" si="23"/>
        <v>6251.7952051919565</v>
      </c>
      <c r="P52" s="19">
        <f t="shared" si="23"/>
        <v>6323.9436137916891</v>
      </c>
      <c r="Q52" s="19">
        <f t="shared" si="23"/>
        <v>6424.8103669317106</v>
      </c>
      <c r="R52" s="19">
        <f t="shared" si="23"/>
        <v>6482.658305019444</v>
      </c>
      <c r="S52" s="19">
        <f t="shared" si="23"/>
        <v>6543.5111283913775</v>
      </c>
      <c r="T52" s="19">
        <f t="shared" si="23"/>
        <v>6668.9545347700068</v>
      </c>
      <c r="U52" s="19">
        <f t="shared" si="23"/>
        <v>6753.6042456368268</v>
      </c>
      <c r="V52" s="19">
        <f t="shared" si="23"/>
        <v>6807.9165002164336</v>
      </c>
      <c r="W52" s="19">
        <f t="shared" si="23"/>
        <v>7007.7653838280294</v>
      </c>
      <c r="X52" s="182">
        <f t="shared" si="23"/>
        <v>7082.1205051154993</v>
      </c>
      <c r="Y52" s="19">
        <f t="shared" si="23"/>
        <v>7255.1245780366453</v>
      </c>
      <c r="Z52" s="19">
        <f t="shared" si="23"/>
        <v>7425.0127049593357</v>
      </c>
      <c r="AA52" s="19">
        <f t="shared" si="23"/>
        <v>7608.3191455306251</v>
      </c>
      <c r="AB52" s="19">
        <f t="shared" si="23"/>
        <v>7781.975682278282</v>
      </c>
      <c r="AC52" s="19">
        <f t="shared" si="23"/>
        <v>7936.2127289903165</v>
      </c>
      <c r="AD52" s="19">
        <f t="shared" si="23"/>
        <v>8102.0587977584401</v>
      </c>
      <c r="AE52" s="19">
        <f t="shared" si="23"/>
        <v>8255.9186849225753</v>
      </c>
      <c r="AF52" s="19">
        <f t="shared" si="23"/>
        <v>8396.4365410712435</v>
      </c>
      <c r="AG52" s="19">
        <f t="shared" si="23"/>
        <v>8505.3201799485014</v>
      </c>
      <c r="AH52" s="19">
        <f t="shared" si="23"/>
        <v>8633.0106994322086</v>
      </c>
    </row>
    <row r="53" spans="1:34" s="20" customFormat="1" ht="15">
      <c r="A53" s="27" t="s">
        <v>330</v>
      </c>
      <c r="B53" s="39"/>
      <c r="C53" s="334">
        <f>C20*Inputs!$C$60</f>
        <v>561</v>
      </c>
      <c r="D53" s="334">
        <f>D20*Inputs!$C$60</f>
        <v>705.98</v>
      </c>
      <c r="E53" s="334">
        <f>E20*Inputs!$C$60</f>
        <v>872.66159891626387</v>
      </c>
      <c r="F53" s="334">
        <f>F20*Inputs!$C$60</f>
        <v>738.27078409865669</v>
      </c>
      <c r="G53" s="334">
        <f>G20*Inputs!$C$60</f>
        <v>850.19206371728592</v>
      </c>
      <c r="H53" s="19">
        <f>H20*Inputs!$C$60</f>
        <v>849.69901345738799</v>
      </c>
      <c r="I53" s="19">
        <f>I20*Inputs!$C$60</f>
        <v>830.65367264492636</v>
      </c>
      <c r="J53" s="19">
        <f>J20*Inputs!$C$60</f>
        <v>822.88893367670528</v>
      </c>
      <c r="K53" s="19">
        <f>K20*Inputs!$C$60</f>
        <v>836.47060439536153</v>
      </c>
      <c r="L53" s="19">
        <f>L20*Inputs!$C$60</f>
        <v>846.4766393342976</v>
      </c>
      <c r="M53" s="19">
        <f>M20*Inputs!$C$60</f>
        <v>853.90272563943256</v>
      </c>
      <c r="N53" s="190">
        <f>N20*Inputs!$C$60</f>
        <v>857.55896237598108</v>
      </c>
      <c r="O53" s="19">
        <f>O20*Inputs!$C$60</f>
        <v>863.79797493156514</v>
      </c>
      <c r="P53" s="19">
        <f>P20*Inputs!$C$60</f>
        <v>866.73607670121146</v>
      </c>
      <c r="Q53" s="19">
        <f>Q20*Inputs!$C$60</f>
        <v>866.20402362596337</v>
      </c>
      <c r="R53" s="19">
        <f>R20*Inputs!$C$60</f>
        <v>869.97336086071766</v>
      </c>
      <c r="S53" s="19">
        <f>S20*Inputs!$C$60</f>
        <v>871.79009475987743</v>
      </c>
      <c r="T53" s="19">
        <f>T20*Inputs!$C$60</f>
        <v>871.48583577748309</v>
      </c>
      <c r="U53" s="19">
        <f>U20*Inputs!$C$60</f>
        <v>872.03734631936595</v>
      </c>
      <c r="V53" s="19">
        <f>V20*Inputs!$C$60</f>
        <v>871.83557280172704</v>
      </c>
      <c r="W53" s="19">
        <f>W20*Inputs!$C$60</f>
        <v>871.53386800916792</v>
      </c>
      <c r="X53" s="182">
        <f>X20*Inputs!$C$60</f>
        <v>867.57308807583649</v>
      </c>
      <c r="Y53" s="19">
        <f>Y20*Inputs!$C$60</f>
        <v>864.73898259480131</v>
      </c>
      <c r="Z53" s="19">
        <f>Z20*Inputs!$C$60</f>
        <v>863.24904475715834</v>
      </c>
      <c r="AA53" s="19">
        <f>AA20*Inputs!$C$60</f>
        <v>862.48250546210215</v>
      </c>
      <c r="AB53" s="19">
        <f>AB20*Inputs!$C$60</f>
        <v>862.05345205527328</v>
      </c>
      <c r="AC53" s="19">
        <f>AC20*Inputs!$C$60</f>
        <v>861.5008850585906</v>
      </c>
      <c r="AD53" s="19">
        <f>AD20*Inputs!$C$60</f>
        <v>861.06689529659025</v>
      </c>
      <c r="AE53" s="19">
        <f>AE20*Inputs!$C$60</f>
        <v>860.2171017538011</v>
      </c>
      <c r="AF53" s="19">
        <f>AF20*Inputs!$C$60</f>
        <v>859.4212061041261</v>
      </c>
      <c r="AG53" s="19">
        <f>AG20*Inputs!$C$60</f>
        <v>858.90806824437641</v>
      </c>
      <c r="AH53" s="19">
        <f>AH20*Inputs!$C$60</f>
        <v>858.33287628649043</v>
      </c>
    </row>
    <row r="54" spans="1:34" s="20" customFormat="1" ht="15">
      <c r="A54" s="27" t="s">
        <v>222</v>
      </c>
      <c r="B54" s="39"/>
      <c r="C54" s="334">
        <f>C21*Inputs!$C$61</f>
        <v>2268.75</v>
      </c>
      <c r="D54" s="334">
        <f>D21*Inputs!$C$61</f>
        <v>2739.22</v>
      </c>
      <c r="E54" s="334">
        <f>E21*Inputs!$C$61</f>
        <v>2699.435035</v>
      </c>
      <c r="F54" s="334">
        <f>F21*Inputs!$C$61</f>
        <v>3844.2219750000004</v>
      </c>
      <c r="G54" s="334">
        <f>G21*Inputs!$C$61</f>
        <v>3122.2926350000002</v>
      </c>
      <c r="H54" s="19">
        <f>H21*Inputs!$C$61</f>
        <v>3002.055155</v>
      </c>
      <c r="I54" s="19">
        <f>I21*Inputs!$C$61</f>
        <v>3319.4753350000001</v>
      </c>
      <c r="J54" s="19">
        <f>J21*Inputs!$C$61</f>
        <v>3810.3021550000003</v>
      </c>
      <c r="K54" s="19">
        <f>K21*Inputs!$C$61</f>
        <v>3915.7535174999994</v>
      </c>
      <c r="L54" s="19">
        <f>L21*Inputs!$C$61</f>
        <v>4010.0137</v>
      </c>
      <c r="M54" s="19">
        <f>M21*Inputs!$C$61</f>
        <v>4073.0659200000005</v>
      </c>
      <c r="N54" s="190">
        <f>N21*Inputs!$C$61</f>
        <v>4107.4967450000004</v>
      </c>
      <c r="O54" s="19">
        <f>O21*Inputs!$C$61</f>
        <v>4029.6563725000001</v>
      </c>
      <c r="P54" s="19">
        <f>P21*Inputs!$C$61</f>
        <v>4085.8856225000004</v>
      </c>
      <c r="Q54" s="19">
        <f>Q21*Inputs!$C$61</f>
        <v>4248.2548349999997</v>
      </c>
      <c r="R54" s="19">
        <f>R21*Inputs!$C$61</f>
        <v>4228.6553925000007</v>
      </c>
      <c r="S54" s="19">
        <f>S21*Inputs!$C$61</f>
        <v>4230.6315700000005</v>
      </c>
      <c r="T54" s="19">
        <f>T21*Inputs!$C$61</f>
        <v>4463.7863600000001</v>
      </c>
      <c r="U54" s="19">
        <f>U21*Inputs!$C$61</f>
        <v>4542.6924399999998</v>
      </c>
      <c r="V54" s="19">
        <f>V21*Inputs!$C$61</f>
        <v>4514.267065</v>
      </c>
      <c r="W54" s="19">
        <f>W21*Inputs!$C$61</f>
        <v>4575.34429</v>
      </c>
      <c r="X54" s="182">
        <f>X21*Inputs!$C$61</f>
        <v>4536.0105725000003</v>
      </c>
      <c r="Y54" s="19">
        <f>Y21*Inputs!$C$61</f>
        <v>4794.2238024999997</v>
      </c>
      <c r="Z54" s="19">
        <f>Z21*Inputs!$C$61</f>
        <v>5028.0111475000003</v>
      </c>
      <c r="AA54" s="19">
        <f>AA21*Inputs!$C$61</f>
        <v>5286.4847474999997</v>
      </c>
      <c r="AB54" s="19">
        <f>AB21*Inputs!$C$61</f>
        <v>5483.7958449999996</v>
      </c>
      <c r="AC54" s="19">
        <f>AC21*Inputs!$C$61</f>
        <v>5634.9130750000004</v>
      </c>
      <c r="AD54" s="19">
        <f>AD21*Inputs!$C$61</f>
        <v>5808.3935250000004</v>
      </c>
      <c r="AE54" s="19">
        <f>AE21*Inputs!$C$61</f>
        <v>5941.1818675000004</v>
      </c>
      <c r="AF54" s="19">
        <f>AF21*Inputs!$C$61</f>
        <v>6033.1167324999988</v>
      </c>
      <c r="AG54" s="19">
        <f>AG21*Inputs!$C$61</f>
        <v>6040.5349125000002</v>
      </c>
      <c r="AH54" s="19">
        <f>AH21*Inputs!$C$61</f>
        <v>6090.9348774999999</v>
      </c>
    </row>
    <row r="55" spans="1:34" s="20" customFormat="1" ht="15">
      <c r="A55" s="27" t="s">
        <v>58</v>
      </c>
      <c r="B55" s="39"/>
      <c r="C55" s="334">
        <f>SUM(C52:C54)</f>
        <v>7782.7911999999997</v>
      </c>
      <c r="D55" s="334">
        <f t="shared" ref="D55:AH55" si="24">SUM(D52:D54)</f>
        <v>8160.4511999999995</v>
      </c>
      <c r="E55" s="334">
        <f t="shared" si="24"/>
        <v>7995.4354975675869</v>
      </c>
      <c r="F55" s="334">
        <f t="shared" si="24"/>
        <v>9078.4931363469805</v>
      </c>
      <c r="G55" s="334">
        <f t="shared" si="24"/>
        <v>8363.3893578545394</v>
      </c>
      <c r="H55" s="19">
        <f t="shared" si="24"/>
        <v>9359.0695274595037</v>
      </c>
      <c r="I55" s="19">
        <f t="shared" si="24"/>
        <v>10067.465747162139</v>
      </c>
      <c r="J55" s="19">
        <f t="shared" si="24"/>
        <v>10874.228901860781</v>
      </c>
      <c r="K55" s="19">
        <f t="shared" si="24"/>
        <v>11094.792205419899</v>
      </c>
      <c r="L55" s="19">
        <f t="shared" si="24"/>
        <v>11187.907451258485</v>
      </c>
      <c r="M55" s="19">
        <f t="shared" si="24"/>
        <v>11169.929468572052</v>
      </c>
      <c r="N55" s="190">
        <f t="shared" si="24"/>
        <v>11177.425206544616</v>
      </c>
      <c r="O55" s="19">
        <f t="shared" si="24"/>
        <v>11145.249552623522</v>
      </c>
      <c r="P55" s="19">
        <f t="shared" si="24"/>
        <v>11276.565312992901</v>
      </c>
      <c r="Q55" s="19">
        <f t="shared" si="24"/>
        <v>11539.269225557673</v>
      </c>
      <c r="R55" s="19">
        <f t="shared" si="24"/>
        <v>11581.287058380163</v>
      </c>
      <c r="S55" s="19">
        <f t="shared" si="24"/>
        <v>11645.932793151256</v>
      </c>
      <c r="T55" s="19">
        <f t="shared" si="24"/>
        <v>12004.226730547489</v>
      </c>
      <c r="U55" s="19">
        <f t="shared" si="24"/>
        <v>12168.334031956194</v>
      </c>
      <c r="V55" s="19">
        <f t="shared" si="24"/>
        <v>12194.01913801816</v>
      </c>
      <c r="W55" s="19">
        <f t="shared" si="24"/>
        <v>12454.643541837198</v>
      </c>
      <c r="X55" s="182">
        <f t="shared" si="24"/>
        <v>12485.704165691335</v>
      </c>
      <c r="Y55" s="19">
        <f t="shared" si="24"/>
        <v>12914.087363131446</v>
      </c>
      <c r="Z55" s="19">
        <f t="shared" si="24"/>
        <v>13316.272897216495</v>
      </c>
      <c r="AA55" s="19">
        <f t="shared" si="24"/>
        <v>13757.286398492728</v>
      </c>
      <c r="AB55" s="19">
        <f t="shared" si="24"/>
        <v>14127.824979333556</v>
      </c>
      <c r="AC55" s="19">
        <f t="shared" si="24"/>
        <v>14432.626689048908</v>
      </c>
      <c r="AD55" s="19">
        <f t="shared" si="24"/>
        <v>14771.519218055029</v>
      </c>
      <c r="AE55" s="19">
        <f t="shared" si="24"/>
        <v>15057.317654176375</v>
      </c>
      <c r="AF55" s="19">
        <f t="shared" si="24"/>
        <v>15288.974479675368</v>
      </c>
      <c r="AG55" s="19">
        <f t="shared" si="24"/>
        <v>15404.763160692877</v>
      </c>
      <c r="AH55" s="19">
        <f t="shared" si="24"/>
        <v>15582.2784532187</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376</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4.3186499999999999</v>
      </c>
      <c r="D60" s="331">
        <f>D42*Inputs!$H48</f>
        <v>2.4286499999999998</v>
      </c>
      <c r="E60" s="331">
        <f>E42*Inputs!$H48</f>
        <v>5.100845425563743</v>
      </c>
      <c r="F60" s="331">
        <f>F42*Inputs!$H48</f>
        <v>4.0015957914001046</v>
      </c>
      <c r="G60" s="331">
        <f>G42*Inputs!$H48</f>
        <v>5.138047177347981</v>
      </c>
      <c r="H60" s="14">
        <f>H42*Inputs!$H48</f>
        <v>5.5020032420234735</v>
      </c>
      <c r="I60" s="14">
        <f>I42*Inputs!$H48</f>
        <v>5.8400201083789831</v>
      </c>
      <c r="J60" s="14">
        <f>J42*Inputs!$H48</f>
        <v>5.9433976736133012</v>
      </c>
      <c r="K60" s="14">
        <f>K42*Inputs!$H48</f>
        <v>6.5468715744460937</v>
      </c>
      <c r="L60" s="14">
        <f>L42*Inputs!$H48</f>
        <v>6.5468715744460937</v>
      </c>
      <c r="M60" s="14">
        <f>M42*Inputs!$H48</f>
        <v>6.5468715744460937</v>
      </c>
      <c r="N60" s="190">
        <f>N42*Inputs!$H48</f>
        <v>6.5468710549556208</v>
      </c>
      <c r="O60" s="14">
        <f>O42*Inputs!$H48</f>
        <v>6.6264019294969865</v>
      </c>
      <c r="P60" s="14">
        <f>P42*Inputs!$H48</f>
        <v>6.6264019294969865</v>
      </c>
      <c r="Q60" s="14">
        <f>Q42*Inputs!$H48</f>
        <v>6.9049781763906122</v>
      </c>
      <c r="R60" s="14">
        <f>R42*Inputs!$H48</f>
        <v>6.9049781763906122</v>
      </c>
      <c r="S60" s="14">
        <f>S42*Inputs!$H48</f>
        <v>6.9049781763906122</v>
      </c>
      <c r="T60" s="14">
        <f>T42*Inputs!$H48</f>
        <v>6.9049781763906122</v>
      </c>
      <c r="U60" s="14">
        <f>U42*Inputs!$H48</f>
        <v>6.9049781763906122</v>
      </c>
      <c r="V60" s="14">
        <f>V42*Inputs!$H48</f>
        <v>6.9496335774878188</v>
      </c>
      <c r="W60" s="14">
        <f>W42*Inputs!$H48</f>
        <v>6.9496335774878188</v>
      </c>
      <c r="X60" s="187">
        <f>X42*Inputs!$H48</f>
        <v>6.9786943940627246</v>
      </c>
      <c r="Y60" s="14">
        <f>Y42*Inputs!$H48</f>
        <v>7.064689808055622</v>
      </c>
      <c r="Z60" s="14">
        <f>Z42*Inputs!$H48</f>
        <v>7.1398335855487556</v>
      </c>
      <c r="AA60" s="14">
        <f>AA42*Inputs!$H48</f>
        <v>7.1398335855487556</v>
      </c>
      <c r="AB60" s="14">
        <f>AB42*Inputs!$H48</f>
        <v>7.2425062022106115</v>
      </c>
      <c r="AC60" s="14">
        <f>AC42*Inputs!$H48</f>
        <v>7.3337541843804956</v>
      </c>
      <c r="AD60" s="14">
        <f>AD42*Inputs!$H48</f>
        <v>7.3710530808832697</v>
      </c>
      <c r="AE60" s="14">
        <f>AE42*Inputs!$H48</f>
        <v>7.3710530808832697</v>
      </c>
      <c r="AF60" s="14">
        <f>AF42*Inputs!$H48</f>
        <v>7.3710530808832697</v>
      </c>
      <c r="AG60" s="14">
        <f>AG42*Inputs!$H48</f>
        <v>7.3710530808832697</v>
      </c>
      <c r="AH60" s="14">
        <f>AH42*Inputs!$H48</f>
        <v>7.3710530808832697</v>
      </c>
    </row>
    <row r="61" spans="1:34" ht="15">
      <c r="A61" s="8" t="s">
        <v>59</v>
      </c>
      <c r="B61" s="34">
        <v>0</v>
      </c>
      <c r="C61" s="331">
        <f>C43*Inputs!$H53</f>
        <v>4325.3280000000004</v>
      </c>
      <c r="D61" s="331">
        <f>D43*Inputs!$H53</f>
        <v>4129.1460000000006</v>
      </c>
      <c r="E61" s="331">
        <f>E43*Inputs!$H53</f>
        <v>3787.7869058400006</v>
      </c>
      <c r="F61" s="331">
        <f>F43*Inputs!$H53</f>
        <v>3832.6326444000001</v>
      </c>
      <c r="G61" s="331">
        <f>G43*Inputs!$H53</f>
        <v>3693.5598369600007</v>
      </c>
      <c r="H61" s="14">
        <f>H43*Inputs!$H53</f>
        <v>3700.3081953600004</v>
      </c>
      <c r="I61" s="14">
        <f>I43*Inputs!$H53</f>
        <v>3807.2799576000007</v>
      </c>
      <c r="J61" s="14">
        <f>J43*Inputs!$H53</f>
        <v>3845.4103296000003</v>
      </c>
      <c r="K61" s="14">
        <f>K43*Inputs!$H53</f>
        <v>3784.9065609599998</v>
      </c>
      <c r="L61" s="14">
        <f>L43*Inputs!$H53</f>
        <v>3663.1250006400005</v>
      </c>
      <c r="M61" s="14">
        <f>M43*Inputs!$H53</f>
        <v>3540.4657999199999</v>
      </c>
      <c r="N61" s="190">
        <f>N43*Inputs!$H53</f>
        <v>3467.2483792799999</v>
      </c>
      <c r="O61" s="14">
        <f>O43*Inputs!$H53</f>
        <v>3467.2484851200006</v>
      </c>
      <c r="P61" s="14">
        <f>P43*Inputs!$H53</f>
        <v>3467.2483792799999</v>
      </c>
      <c r="Q61" s="14">
        <f>Q43*Inputs!$H53</f>
        <v>3467.2483792799999</v>
      </c>
      <c r="R61" s="14">
        <f>R43*Inputs!$H53</f>
        <v>3467.2484851200006</v>
      </c>
      <c r="S61" s="14">
        <f>S43*Inputs!$H53</f>
        <v>3467.2483792799999</v>
      </c>
      <c r="T61" s="14">
        <f>T43*Inputs!$H53</f>
        <v>3467.2484851200006</v>
      </c>
      <c r="U61" s="14">
        <f>U43*Inputs!$H53</f>
        <v>3467.2483792799999</v>
      </c>
      <c r="V61" s="14">
        <f>V43*Inputs!$H53</f>
        <v>3467.2483792799999</v>
      </c>
      <c r="W61" s="14">
        <f>W43*Inputs!$H53</f>
        <v>3467.2484851200006</v>
      </c>
      <c r="X61" s="187">
        <f>X43*Inputs!$H53</f>
        <v>3467.2484851200006</v>
      </c>
      <c r="Y61" s="14">
        <f>Y43*Inputs!$H53</f>
        <v>3467.2484851200006</v>
      </c>
      <c r="Z61" s="14">
        <f>Z43*Inputs!$H53</f>
        <v>3467.2484851200006</v>
      </c>
      <c r="AA61" s="14">
        <f>AA43*Inputs!$H53</f>
        <v>3467.2483792799999</v>
      </c>
      <c r="AB61" s="14">
        <f>AB43*Inputs!$H53</f>
        <v>3467.2483792799999</v>
      </c>
      <c r="AC61" s="14">
        <f>AC43*Inputs!$H53</f>
        <v>3467.2483792799999</v>
      </c>
      <c r="AD61" s="14">
        <f>AD43*Inputs!$H53</f>
        <v>3467.2483792799999</v>
      </c>
      <c r="AE61" s="14">
        <f>AE43*Inputs!$H53</f>
        <v>3467.2483792799999</v>
      </c>
      <c r="AF61" s="14">
        <f>AF43*Inputs!$H53</f>
        <v>3467.2483792799999</v>
      </c>
      <c r="AG61" s="14">
        <f>AG43*Inputs!$H53</f>
        <v>3467.2483792799999</v>
      </c>
      <c r="AH61" s="14">
        <f>AH43*Inputs!$H53</f>
        <v>3467.2484851200006</v>
      </c>
    </row>
    <row r="62" spans="1:34" ht="15">
      <c r="A62" s="8" t="s">
        <v>121</v>
      </c>
      <c r="B62" s="34">
        <v>1</v>
      </c>
      <c r="C62" s="331">
        <f>C44*Inputs!$H46</f>
        <v>0</v>
      </c>
      <c r="D62" s="331">
        <f>D44*Inputs!$H46</f>
        <v>0</v>
      </c>
      <c r="E62" s="331">
        <f>E44*Inputs!$H46</f>
        <v>0.26442782100000001</v>
      </c>
      <c r="F62" s="331">
        <f>F44*Inputs!$H46</f>
        <v>0.25465349700000001</v>
      </c>
      <c r="G62" s="331">
        <f>G44*Inputs!$H46</f>
        <v>0.27706662900000001</v>
      </c>
      <c r="H62" s="14">
        <f>H44*Inputs!$H46</f>
        <v>0.31466024099999995</v>
      </c>
      <c r="I62" s="14">
        <f>I44*Inputs!$H46</f>
        <v>0.37159327800000003</v>
      </c>
      <c r="J62" s="14">
        <f>J44*Inputs!$H46</f>
        <v>0.52353321300000011</v>
      </c>
      <c r="K62" s="14">
        <f>K44*Inputs!$H46</f>
        <v>0.97920295199999996</v>
      </c>
      <c r="L62" s="14">
        <f>L44*Inputs!$H46</f>
        <v>1.625710338</v>
      </c>
      <c r="M62" s="14">
        <f>M44*Inputs!$H46</f>
        <v>1.6353427229999999</v>
      </c>
      <c r="N62" s="190">
        <f>N44*Inputs!$H46</f>
        <v>1.7775620100000002</v>
      </c>
      <c r="O62" s="14">
        <f>O44*Inputs!$H46</f>
        <v>1.861743744</v>
      </c>
      <c r="P62" s="14">
        <f>P44*Inputs!$H46</f>
        <v>2.0035736910000006</v>
      </c>
      <c r="Q62" s="14">
        <f>Q44*Inputs!$H46</f>
        <v>2.4637609079999998</v>
      </c>
      <c r="R62" s="14">
        <f>R44*Inputs!$H46</f>
        <v>2.4883074719999998</v>
      </c>
      <c r="S62" s="14">
        <f>S44*Inputs!$H46</f>
        <v>2.7520541370000005</v>
      </c>
      <c r="T62" s="14">
        <f>T44*Inputs!$H46</f>
        <v>2.8019357729999999</v>
      </c>
      <c r="U62" s="14">
        <f>U44*Inputs!$H46</f>
        <v>2.8070538930000004</v>
      </c>
      <c r="V62" s="14">
        <f>V44*Inputs!$H46</f>
        <v>2.8719423179999999</v>
      </c>
      <c r="W62" s="14">
        <f>W44*Inputs!$H46</f>
        <v>2.919655557</v>
      </c>
      <c r="X62" s="187">
        <f>X44*Inputs!$H46</f>
        <v>3.2844399209999997</v>
      </c>
      <c r="Y62" s="14">
        <f>Y44*Inputs!$H46</f>
        <v>3.5178401790000002</v>
      </c>
      <c r="Z62" s="14">
        <f>Z44*Inputs!$H46</f>
        <v>3.5997236730000002</v>
      </c>
      <c r="AA62" s="14">
        <f>AA44*Inputs!$H46</f>
        <v>3.6148155119999998</v>
      </c>
      <c r="AB62" s="14">
        <f>AB44*Inputs!$H46</f>
        <v>3.6247130639999998</v>
      </c>
      <c r="AC62" s="14">
        <f>AC44*Inputs!$H46</f>
        <v>3.6269143469999996</v>
      </c>
      <c r="AD62" s="14">
        <f>AD44*Inputs!$H46</f>
        <v>3.6116586449999994</v>
      </c>
      <c r="AE62" s="14">
        <f>AE44*Inputs!$H46</f>
        <v>3.6329101829999999</v>
      </c>
      <c r="AF62" s="14">
        <f>AF44*Inputs!$H46</f>
        <v>3.6541949850000002</v>
      </c>
      <c r="AG62" s="14">
        <f>AG44*Inputs!$H46</f>
        <v>3.6516671100000004</v>
      </c>
      <c r="AH62" s="14">
        <f>AH44*Inputs!$H46</f>
        <v>3.66094323</v>
      </c>
    </row>
    <row r="63" spans="1:34" ht="15">
      <c r="A63" s="8" t="s">
        <v>50</v>
      </c>
      <c r="B63" s="34">
        <v>1</v>
      </c>
      <c r="C63" s="331">
        <f>C45*Inputs!$H49</f>
        <v>0</v>
      </c>
      <c r="D63" s="331">
        <f>D45*Inputs!$H49</f>
        <v>0</v>
      </c>
      <c r="E63" s="331">
        <f>E45*Inputs!$H49</f>
        <v>2.2500000000000003E-9</v>
      </c>
      <c r="F63" s="331">
        <f>F45*Inputs!$H49</f>
        <v>2.2500000000000003E-9</v>
      </c>
      <c r="G63" s="331">
        <f>G45*Inputs!$H49</f>
        <v>2.2500000000000003E-9</v>
      </c>
      <c r="H63" s="14">
        <f>H45*Inputs!$H49</f>
        <v>2.2500000000000003E-9</v>
      </c>
      <c r="I63" s="14">
        <f>I45*Inputs!$H49</f>
        <v>2.2500000000000003E-9</v>
      </c>
      <c r="J63" s="14">
        <f>J45*Inputs!$H49</f>
        <v>2.2500000000000003E-9</v>
      </c>
      <c r="K63" s="14">
        <f>K45*Inputs!$H49</f>
        <v>2.2500000000000003E-9</v>
      </c>
      <c r="L63" s="14">
        <f>L45*Inputs!$H49</f>
        <v>2.2500000000000003E-9</v>
      </c>
      <c r="M63" s="14">
        <f>M45*Inputs!$H49</f>
        <v>2.2500000000000003E-9</v>
      </c>
      <c r="N63" s="190">
        <f>N45*Inputs!$H49</f>
        <v>2.2500000000000003E-9</v>
      </c>
      <c r="O63" s="14">
        <f>O45*Inputs!$H49</f>
        <v>2.2500000000000003E-9</v>
      </c>
      <c r="P63" s="14">
        <f>P45*Inputs!$H49</f>
        <v>2.2500000000000003E-9</v>
      </c>
      <c r="Q63" s="14">
        <f>Q45*Inputs!$H49</f>
        <v>2.2500000000000003E-9</v>
      </c>
      <c r="R63" s="14">
        <f>R45*Inputs!$H49</f>
        <v>2.2500000000000003E-9</v>
      </c>
      <c r="S63" s="14">
        <f>S45*Inputs!$H49</f>
        <v>2.2500000000000003E-9</v>
      </c>
      <c r="T63" s="14">
        <f>T45*Inputs!$H49</f>
        <v>2.2500000000000003E-9</v>
      </c>
      <c r="U63" s="14">
        <f>U45*Inputs!$H49</f>
        <v>2.2500000000000003E-9</v>
      </c>
      <c r="V63" s="14">
        <f>V45*Inputs!$H49</f>
        <v>2.2500000000000003E-9</v>
      </c>
      <c r="W63" s="14">
        <f>W45*Inputs!$H49</f>
        <v>2.2500000000000003E-9</v>
      </c>
      <c r="X63" s="187">
        <f>X45*Inputs!$H49</f>
        <v>2.2500000000000003E-9</v>
      </c>
      <c r="Y63" s="14">
        <f>Y45*Inputs!$H49</f>
        <v>2.2500000000000003E-9</v>
      </c>
      <c r="Z63" s="14">
        <f>Z45*Inputs!$H49</f>
        <v>2.2500000000000003E-9</v>
      </c>
      <c r="AA63" s="14">
        <f>AA45*Inputs!$H49</f>
        <v>2.2500000000000003E-9</v>
      </c>
      <c r="AB63" s="14">
        <f>AB45*Inputs!$H49</f>
        <v>2.2500000000000003E-9</v>
      </c>
      <c r="AC63" s="14">
        <f>AC45*Inputs!$H49</f>
        <v>2.2500000000000003E-9</v>
      </c>
      <c r="AD63" s="14">
        <f>AD45*Inputs!$H49</f>
        <v>2.2500000000000003E-9</v>
      </c>
      <c r="AE63" s="14">
        <f>AE45*Inputs!$H49</f>
        <v>2.2500000000000003E-9</v>
      </c>
      <c r="AF63" s="14">
        <f>AF45*Inputs!$H49</f>
        <v>2.2500000000000003E-9</v>
      </c>
      <c r="AG63" s="14">
        <f>AG45*Inputs!$H49</f>
        <v>2.2500000000000003E-9</v>
      </c>
      <c r="AH63" s="14">
        <f>AH45*Inputs!$H49</f>
        <v>2.2500000000000003E-9</v>
      </c>
    </row>
    <row r="64" spans="1:34" ht="15">
      <c r="A64" s="8" t="s">
        <v>51</v>
      </c>
      <c r="B64" s="34">
        <v>1</v>
      </c>
      <c r="C64" s="331">
        <f>C46*Inputs!$H52</f>
        <v>124.875</v>
      </c>
      <c r="D64" s="331">
        <f>D46*Inputs!$H52</f>
        <v>110.16</v>
      </c>
      <c r="E64" s="331">
        <f>E46*Inputs!$H52</f>
        <v>156.44768106693252</v>
      </c>
      <c r="F64" s="331">
        <f>F46*Inputs!$H52</f>
        <v>172.45493861186259</v>
      </c>
      <c r="G64" s="331">
        <f>G46*Inputs!$H52</f>
        <v>210.24964286452735</v>
      </c>
      <c r="H64" s="14">
        <f>H46*Inputs!$H52</f>
        <v>211.10546122873944</v>
      </c>
      <c r="I64" s="14">
        <f>I46*Inputs!$H52</f>
        <v>209.78446725542949</v>
      </c>
      <c r="J64" s="14">
        <f>J46*Inputs!$H52</f>
        <v>209.79674783488454</v>
      </c>
      <c r="K64" s="14">
        <f>K46*Inputs!$H52</f>
        <v>209.80375519722489</v>
      </c>
      <c r="L64" s="14">
        <f>L46*Inputs!$H52</f>
        <v>209.80092393971361</v>
      </c>
      <c r="M64" s="14">
        <f>M46*Inputs!$H52</f>
        <v>209.79076680339205</v>
      </c>
      <c r="N64" s="190">
        <f>N46*Inputs!$H52</f>
        <v>209.7630204797818</v>
      </c>
      <c r="O64" s="14">
        <f>O46*Inputs!$H52</f>
        <v>209.74691770268657</v>
      </c>
      <c r="P64" s="14">
        <f>P46*Inputs!$H52</f>
        <v>209.73237211722261</v>
      </c>
      <c r="Q64" s="14">
        <f>Q46*Inputs!$H52</f>
        <v>209.71598621437624</v>
      </c>
      <c r="R64" s="14">
        <f>R46*Inputs!$H52</f>
        <v>212.04193504130319</v>
      </c>
      <c r="S64" s="14">
        <f>S46*Inputs!$H52</f>
        <v>212.03213181217055</v>
      </c>
      <c r="T64" s="14">
        <f>T46*Inputs!$H52</f>
        <v>212.0183648225221</v>
      </c>
      <c r="U64" s="14">
        <f>U46*Inputs!$H52</f>
        <v>212.00374845562024</v>
      </c>
      <c r="V64" s="14">
        <f>V46*Inputs!$H52</f>
        <v>211.98821193002726</v>
      </c>
      <c r="W64" s="14">
        <f>W46*Inputs!$H52</f>
        <v>211.95593559439908</v>
      </c>
      <c r="X64" s="187">
        <f>X46*Inputs!$H52</f>
        <v>211.91792596231062</v>
      </c>
      <c r="Y64" s="14">
        <f>Y46*Inputs!$H52</f>
        <v>211.88317227636003</v>
      </c>
      <c r="Z64" s="14">
        <f>Z46*Inputs!$H52</f>
        <v>211.8473922595617</v>
      </c>
      <c r="AA64" s="14">
        <f>AA46*Inputs!$H52</f>
        <v>211.81055052119657</v>
      </c>
      <c r="AB64" s="14">
        <f>AB46*Inputs!$H52</f>
        <v>216.35687766059988</v>
      </c>
      <c r="AC64" s="14">
        <f>AC46*Inputs!$H52</f>
        <v>216.33656338795669</v>
      </c>
      <c r="AD64" s="14">
        <f>AD46*Inputs!$H52</f>
        <v>216.31384254642899</v>
      </c>
      <c r="AE64" s="14">
        <f>AE46*Inputs!$H52</f>
        <v>216.28981224830224</v>
      </c>
      <c r="AF64" s="14">
        <f>AF46*Inputs!$H52</f>
        <v>216.26748070468224</v>
      </c>
      <c r="AG64" s="14">
        <f>AG46*Inputs!$H52</f>
        <v>216.24564463112682</v>
      </c>
      <c r="AH64" s="14">
        <f>AH46*Inputs!$H52</f>
        <v>216.22621512645586</v>
      </c>
    </row>
    <row r="65" spans="1:34" ht="15">
      <c r="A65" s="8" t="s">
        <v>347</v>
      </c>
      <c r="B65" s="34">
        <v>1</v>
      </c>
      <c r="C65" s="331">
        <f>C47*Inputs!$H54</f>
        <v>0</v>
      </c>
      <c r="D65" s="331">
        <f>D47*Inputs!$H54</f>
        <v>0</v>
      </c>
      <c r="E65" s="331">
        <f>E47*Inputs!$H54</f>
        <v>1.4220000000000002E-2</v>
      </c>
      <c r="F65" s="331">
        <f>F47*Inputs!$H54</f>
        <v>1.4220000000000002E-2</v>
      </c>
      <c r="G65" s="331">
        <f>G47*Inputs!$H54</f>
        <v>1.4220000000000002E-2</v>
      </c>
      <c r="H65" s="14">
        <f>H47*Inputs!$H54</f>
        <v>996.67634849958199</v>
      </c>
      <c r="I65" s="14">
        <f>I47*Inputs!$H54</f>
        <v>1259.3546553871588</v>
      </c>
      <c r="J65" s="14">
        <f>J47*Inputs!$H54</f>
        <v>1512.0175174936826</v>
      </c>
      <c r="K65" s="14">
        <f>K47*Inputs!$H54</f>
        <v>1662.8355598433873</v>
      </c>
      <c r="L65" s="14">
        <f>L47*Inputs!$H54</f>
        <v>1773.9430488208266</v>
      </c>
      <c r="M65" s="14">
        <f>M47*Inputs!$H54</f>
        <v>1816.9965446385002</v>
      </c>
      <c r="N65" s="190">
        <f>N47*Inputs!$H54</f>
        <v>1862.5527435759166</v>
      </c>
      <c r="O65" s="14">
        <f>O47*Inputs!$H54</f>
        <v>1897.8836452791493</v>
      </c>
      <c r="P65" s="14">
        <f>P47*Inputs!$H54</f>
        <v>1962.68498329657</v>
      </c>
      <c r="Q65" s="14">
        <f>Q47*Inputs!$H54</f>
        <v>2052.7366311316391</v>
      </c>
      <c r="R65" s="14">
        <f>R47*Inputs!$H54</f>
        <v>2102.4220283557274</v>
      </c>
      <c r="S65" s="14">
        <f>S47*Inputs!$H54</f>
        <v>2156.8964460678308</v>
      </c>
      <c r="T65" s="14">
        <f>T47*Inputs!$H54</f>
        <v>2269.6979585307163</v>
      </c>
      <c r="U65" s="14">
        <f>U47*Inputs!$H54</f>
        <v>2345.8245792615066</v>
      </c>
      <c r="V65" s="14">
        <f>V47*Inputs!$H54</f>
        <v>2394.5447815556572</v>
      </c>
      <c r="W65" s="14">
        <f>W47*Inputs!$H54</f>
        <v>2574.3239515121481</v>
      </c>
      <c r="X65" s="187">
        <f>X47*Inputs!$H54</f>
        <v>2640.8083051271838</v>
      </c>
      <c r="Y65" s="14">
        <f>Y47*Inputs!$H54</f>
        <v>2796.16307489275</v>
      </c>
      <c r="Z65" s="14">
        <f>Z47*Inputs!$H54</f>
        <v>2948.8776914774039</v>
      </c>
      <c r="AA65" s="14">
        <f>AA47*Inputs!$H54</f>
        <v>3113.7541424454325</v>
      </c>
      <c r="AB65" s="14">
        <f>AB47*Inputs!$H54</f>
        <v>3265.187319154229</v>
      </c>
      <c r="AC65" s="14">
        <f>AC47*Inputs!$H54</f>
        <v>3403.7912038545687</v>
      </c>
      <c r="AD65" s="14">
        <f>AD47*Inputs!$H54</f>
        <v>3552.9672927579968</v>
      </c>
      <c r="AE65" s="14">
        <f>AE47*Inputs!$H54</f>
        <v>3691.1895701671701</v>
      </c>
      <c r="AF65" s="14">
        <f>AF47*Inputs!$H54</f>
        <v>3817.4652048804946</v>
      </c>
      <c r="AG65" s="14">
        <f>AG47*Inputs!$H54</f>
        <v>3915.0966522784902</v>
      </c>
      <c r="AH65" s="14">
        <f>AH47*Inputs!$H54</f>
        <v>4029.4859292123169</v>
      </c>
    </row>
    <row r="66" spans="1:34" ht="15">
      <c r="A66" s="8" t="s">
        <v>348</v>
      </c>
      <c r="B66" s="34">
        <v>1</v>
      </c>
      <c r="C66" s="331">
        <f>C48*Inputs!$H55</f>
        <v>0</v>
      </c>
      <c r="D66" s="331">
        <f>D48*Inputs!$H55</f>
        <v>0</v>
      </c>
      <c r="E66" s="331">
        <f>E48*Inputs!$H55</f>
        <v>2.0700000000000002E-3</v>
      </c>
      <c r="F66" s="331">
        <f>F48*Inputs!$H55</f>
        <v>2.0700000000000002E-3</v>
      </c>
      <c r="G66" s="331">
        <f>G48*Inputs!$H55</f>
        <v>2.0700000000000002E-3</v>
      </c>
      <c r="H66" s="14">
        <f>H48*Inputs!$H55</f>
        <v>2.0700000000000002E-3</v>
      </c>
      <c r="I66" s="14">
        <f>I48*Inputs!$H55</f>
        <v>2.0700000000000002E-3</v>
      </c>
      <c r="J66" s="14">
        <f>J48*Inputs!$H55</f>
        <v>2.0700000000000002E-3</v>
      </c>
      <c r="K66" s="14">
        <f>K48*Inputs!$H55</f>
        <v>2.0700000000000002E-3</v>
      </c>
      <c r="L66" s="14">
        <f>L48*Inputs!$H55</f>
        <v>2.0700000000000002E-3</v>
      </c>
      <c r="M66" s="14">
        <f>M48*Inputs!$H55</f>
        <v>2.0700000000000002E-3</v>
      </c>
      <c r="N66" s="190">
        <f>N48*Inputs!$H55</f>
        <v>2.0700000000000002E-3</v>
      </c>
      <c r="O66" s="14">
        <f>O48*Inputs!$H55</f>
        <v>2.0700000000000002E-3</v>
      </c>
      <c r="P66" s="14">
        <f>P48*Inputs!$H55</f>
        <v>2.0700000000000002E-3</v>
      </c>
      <c r="Q66" s="14">
        <f>Q48*Inputs!$H55</f>
        <v>2.0700000000000002E-3</v>
      </c>
      <c r="R66" s="14">
        <f>R48*Inputs!$H55</f>
        <v>2.0700000000000002E-3</v>
      </c>
      <c r="S66" s="14">
        <f>S48*Inputs!$H55</f>
        <v>2.0700000000000002E-3</v>
      </c>
      <c r="T66" s="14">
        <f>T48*Inputs!$H55</f>
        <v>2.0700000000000002E-3</v>
      </c>
      <c r="U66" s="14">
        <f>U48*Inputs!$H55</f>
        <v>2.0700000000000002E-3</v>
      </c>
      <c r="V66" s="14">
        <f>V48*Inputs!$H55</f>
        <v>2.0700000000000002E-3</v>
      </c>
      <c r="W66" s="14">
        <f>W48*Inputs!$H55</f>
        <v>2.0700000000000002E-3</v>
      </c>
      <c r="X66" s="187">
        <f>X48*Inputs!$H55</f>
        <v>2.0700000000000002E-3</v>
      </c>
      <c r="Y66" s="14">
        <f>Y48*Inputs!$H55</f>
        <v>2.0700000000000002E-3</v>
      </c>
      <c r="Z66" s="14">
        <f>Z48*Inputs!$H55</f>
        <v>2.0700000000000002E-3</v>
      </c>
      <c r="AA66" s="14">
        <f>AA48*Inputs!$H55</f>
        <v>2.0700000000000002E-3</v>
      </c>
      <c r="AB66" s="14">
        <f>AB48*Inputs!$H55</f>
        <v>2.0700000000000002E-3</v>
      </c>
      <c r="AC66" s="14">
        <f>AC48*Inputs!$H55</f>
        <v>2.0700000000000002E-3</v>
      </c>
      <c r="AD66" s="14">
        <f>AD48*Inputs!$H55</f>
        <v>2.0700000000000002E-3</v>
      </c>
      <c r="AE66" s="14">
        <f>AE48*Inputs!$H55</f>
        <v>2.0700000000000002E-3</v>
      </c>
      <c r="AF66" s="14">
        <f>AF48*Inputs!$H55</f>
        <v>2.0700000000000002E-3</v>
      </c>
      <c r="AG66" s="14">
        <f>AG48*Inputs!$H55</f>
        <v>2.0700000000000002E-3</v>
      </c>
      <c r="AH66" s="14">
        <f>AH48*Inputs!$H55</f>
        <v>2.0700000000000002E-3</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3.2130000000000005</v>
      </c>
      <c r="D68" s="331">
        <f>D50*Inputs!$H57</f>
        <v>1.9890000000000001</v>
      </c>
      <c r="E68" s="331">
        <f>E50*Inputs!$H57</f>
        <v>31.386397130442216</v>
      </c>
      <c r="F68" s="331">
        <f>F50*Inputs!$H57</f>
        <v>37.037787220977641</v>
      </c>
      <c r="G68" s="331">
        <f>G50*Inputs!$H57</f>
        <v>42.570879590401582</v>
      </c>
      <c r="H68" s="14">
        <f>H50*Inputs!$H57</f>
        <v>42.672654528307952</v>
      </c>
      <c r="I68" s="14">
        <f>I50*Inputs!$H57</f>
        <v>42.967871934273326</v>
      </c>
      <c r="J68" s="14">
        <f>J50*Inputs!$H57</f>
        <v>43.238006048237736</v>
      </c>
      <c r="K68" s="14">
        <f>K50*Inputs!$H57</f>
        <v>43.234824642775898</v>
      </c>
      <c r="L68" s="14">
        <f>L50*Inputs!$H57</f>
        <v>43.229345416531984</v>
      </c>
      <c r="M68" s="14">
        <f>M50*Inputs!$H57</f>
        <v>43.22491497776921</v>
      </c>
      <c r="N68" s="190">
        <f>N50*Inputs!$H57</f>
        <v>43.239472848867678</v>
      </c>
      <c r="O68" s="14">
        <f>O50*Inputs!$H57</f>
        <v>43.243990895176594</v>
      </c>
      <c r="P68" s="14">
        <f>P50*Inputs!$H57</f>
        <v>43.24904209598072</v>
      </c>
      <c r="Q68" s="14">
        <f>Q50*Inputs!$H57</f>
        <v>43.255094525883749</v>
      </c>
      <c r="R68" s="14">
        <f>R50*Inputs!$H57</f>
        <v>43.282240349828527</v>
      </c>
      <c r="S68" s="14">
        <f>S50*Inputs!$H57</f>
        <v>43.321526076597848</v>
      </c>
      <c r="T68" s="14">
        <f>T50*Inputs!$H57</f>
        <v>43.382858868125631</v>
      </c>
      <c r="U68" s="14">
        <f>U50*Inputs!$H57</f>
        <v>43.450582004377331</v>
      </c>
      <c r="V68" s="14">
        <f>V50*Inputs!$H57</f>
        <v>43.517401531367263</v>
      </c>
      <c r="W68" s="14">
        <f>W50*Inputs!$H57</f>
        <v>43.586684081940568</v>
      </c>
      <c r="X68" s="187">
        <f>X50*Inputs!$H57</f>
        <v>43.666104077140538</v>
      </c>
      <c r="Y68" s="14">
        <f>Y50*Inputs!$H57</f>
        <v>43.730357954564447</v>
      </c>
      <c r="Z68" s="14">
        <f>Z50*Inputs!$H57</f>
        <v>43.793808345636471</v>
      </c>
      <c r="AA68" s="14">
        <f>AA50*Inputs!$H57</f>
        <v>43.915009631134851</v>
      </c>
      <c r="AB68" s="14">
        <f>AB50*Inputs!$H57</f>
        <v>44.113818687164141</v>
      </c>
      <c r="AC68" s="14">
        <f>AC50*Inputs!$H57</f>
        <v>44.250141035129133</v>
      </c>
      <c r="AD68" s="14">
        <f>AD50*Inputs!$H57</f>
        <v>44.336191670036783</v>
      </c>
      <c r="AE68" s="14">
        <f>AE50*Inputs!$H57</f>
        <v>44.590591468711487</v>
      </c>
      <c r="AF68" s="14">
        <f>AF50*Inputs!$H57</f>
        <v>44.782074030809348</v>
      </c>
      <c r="AG68" s="14">
        <f>AG50*Inputs!$H57</f>
        <v>45.170265570901485</v>
      </c>
      <c r="AH68" s="14">
        <f>AH50*Inputs!$H57</f>
        <v>45.712503717082434</v>
      </c>
    </row>
    <row r="69" spans="1:34" s="20" customFormat="1" ht="15">
      <c r="A69" s="8" t="s">
        <v>128</v>
      </c>
      <c r="B69" s="38"/>
      <c r="C69" s="334">
        <f t="shared" ref="C69:AH69" si="25">SUMPRODUCT($B60:$B68,C60:C68)</f>
        <v>128.09043</v>
      </c>
      <c r="D69" s="334">
        <f t="shared" si="25"/>
        <v>112.15143</v>
      </c>
      <c r="E69" s="334">
        <f t="shared" si="25"/>
        <v>188.11722602062474</v>
      </c>
      <c r="F69" s="334">
        <f t="shared" si="25"/>
        <v>209.76609933209022</v>
      </c>
      <c r="G69" s="334">
        <f t="shared" si="25"/>
        <v>253.11630908617892</v>
      </c>
      <c r="H69" s="19">
        <f t="shared" si="25"/>
        <v>1250.7736244998794</v>
      </c>
      <c r="I69" s="19">
        <f t="shared" si="25"/>
        <v>1512.4830878571115</v>
      </c>
      <c r="J69" s="19">
        <f t="shared" si="25"/>
        <v>1765.580304592055</v>
      </c>
      <c r="K69" s="19">
        <f t="shared" si="25"/>
        <v>1916.8578426376382</v>
      </c>
      <c r="L69" s="19">
        <f t="shared" si="25"/>
        <v>2028.603528517322</v>
      </c>
      <c r="M69" s="19">
        <f t="shared" si="25"/>
        <v>2071.6520691449114</v>
      </c>
      <c r="N69" s="190">
        <f t="shared" si="25"/>
        <v>2117.3372989168161</v>
      </c>
      <c r="O69" s="19">
        <f t="shared" si="25"/>
        <v>2152.7407976232626</v>
      </c>
      <c r="P69" s="19">
        <f t="shared" si="25"/>
        <v>2217.6744712030231</v>
      </c>
      <c r="Q69" s="19">
        <f t="shared" si="25"/>
        <v>2308.1759727821491</v>
      </c>
      <c r="R69" s="19">
        <f t="shared" si="25"/>
        <v>2360.2390112211092</v>
      </c>
      <c r="S69" s="19">
        <f t="shared" si="25"/>
        <v>2415.0066580958492</v>
      </c>
      <c r="T69" s="19">
        <f t="shared" si="25"/>
        <v>2527.9056179966142</v>
      </c>
      <c r="U69" s="19">
        <f t="shared" si="25"/>
        <v>2604.0904636167543</v>
      </c>
      <c r="V69" s="19">
        <f t="shared" si="25"/>
        <v>2652.926837337302</v>
      </c>
      <c r="W69" s="19">
        <f t="shared" si="25"/>
        <v>2832.7907267477376</v>
      </c>
      <c r="X69" s="182">
        <f t="shared" si="25"/>
        <v>2899.6812750898848</v>
      </c>
      <c r="Y69" s="19">
        <f t="shared" si="25"/>
        <v>3055.2989453049245</v>
      </c>
      <c r="Z69" s="19">
        <f t="shared" si="25"/>
        <v>3208.1231157578522</v>
      </c>
      <c r="AA69" s="19">
        <f t="shared" si="25"/>
        <v>3373.0990181120142</v>
      </c>
      <c r="AB69" s="19">
        <f t="shared" si="25"/>
        <v>3529.2872285682429</v>
      </c>
      <c r="AC69" s="19">
        <f t="shared" si="25"/>
        <v>3668.0093226269046</v>
      </c>
      <c r="AD69" s="19">
        <f t="shared" si="25"/>
        <v>3817.2334856217126</v>
      </c>
      <c r="AE69" s="19">
        <f t="shared" si="25"/>
        <v>3955.7073840694338</v>
      </c>
      <c r="AF69" s="19">
        <f t="shared" si="25"/>
        <v>4082.1734546032362</v>
      </c>
      <c r="AG69" s="19">
        <f t="shared" si="25"/>
        <v>4180.1687295927677</v>
      </c>
      <c r="AH69" s="19">
        <f t="shared" si="25"/>
        <v>4295.0900912881043</v>
      </c>
    </row>
    <row r="70" spans="1:34" s="20" customFormat="1" ht="15">
      <c r="A70" s="27" t="s">
        <v>329</v>
      </c>
      <c r="B70" s="39"/>
      <c r="C70" s="334">
        <f>SUM(C58:C68)</f>
        <v>4457.7370799999999</v>
      </c>
      <c r="D70" s="334">
        <f t="shared" ref="D70:AH70" si="26">SUM(D58:D68)</f>
        <v>4243.7260799999995</v>
      </c>
      <c r="E70" s="334">
        <f t="shared" si="26"/>
        <v>3981.0049772861894</v>
      </c>
      <c r="F70" s="334">
        <f t="shared" si="26"/>
        <v>4046.4003395234909</v>
      </c>
      <c r="G70" s="334">
        <f t="shared" si="26"/>
        <v>3951.8141932235276</v>
      </c>
      <c r="H70" s="19">
        <f t="shared" si="26"/>
        <v>4956.5838231019025</v>
      </c>
      <c r="I70" s="19">
        <f t="shared" si="26"/>
        <v>5325.6030655654904</v>
      </c>
      <c r="J70" s="19">
        <f t="shared" si="26"/>
        <v>5616.9340318656668</v>
      </c>
      <c r="K70" s="19">
        <f t="shared" si="26"/>
        <v>5708.3112751720819</v>
      </c>
      <c r="L70" s="19">
        <f t="shared" si="26"/>
        <v>5698.2754007317681</v>
      </c>
      <c r="M70" s="19">
        <f t="shared" si="26"/>
        <v>5618.6647406393568</v>
      </c>
      <c r="N70" s="182">
        <f t="shared" si="26"/>
        <v>5591.1325492517717</v>
      </c>
      <c r="O70" s="19">
        <f t="shared" si="26"/>
        <v>5626.615684672759</v>
      </c>
      <c r="P70" s="19">
        <f t="shared" si="26"/>
        <v>5691.5492524125193</v>
      </c>
      <c r="Q70" s="19">
        <f t="shared" si="26"/>
        <v>5782.3293302385382</v>
      </c>
      <c r="R70" s="19">
        <f t="shared" si="26"/>
        <v>5834.3924745174991</v>
      </c>
      <c r="S70" s="19">
        <f t="shared" si="26"/>
        <v>5889.1600155522392</v>
      </c>
      <c r="T70" s="19">
        <f t="shared" si="26"/>
        <v>6002.0590812930041</v>
      </c>
      <c r="U70" s="19">
        <f t="shared" si="26"/>
        <v>6078.2438210731434</v>
      </c>
      <c r="V70" s="19">
        <f t="shared" si="26"/>
        <v>6127.1248501947885</v>
      </c>
      <c r="W70" s="19">
        <f t="shared" si="26"/>
        <v>6306.9888454452257</v>
      </c>
      <c r="X70" s="182">
        <f t="shared" si="26"/>
        <v>6373.9084546039476</v>
      </c>
      <c r="Y70" s="19">
        <f t="shared" si="26"/>
        <v>6529.6121202329796</v>
      </c>
      <c r="Z70" s="19">
        <f t="shared" si="26"/>
        <v>6682.5114344634012</v>
      </c>
      <c r="AA70" s="19">
        <f t="shared" si="26"/>
        <v>6847.4872309775619</v>
      </c>
      <c r="AB70" s="19">
        <f t="shared" si="26"/>
        <v>7003.778114050453</v>
      </c>
      <c r="AC70" s="19">
        <f t="shared" si="26"/>
        <v>7142.5914560912843</v>
      </c>
      <c r="AD70" s="19">
        <f t="shared" si="26"/>
        <v>7291.8529179825955</v>
      </c>
      <c r="AE70" s="19">
        <f t="shared" si="26"/>
        <v>7430.3268164303172</v>
      </c>
      <c r="AF70" s="19">
        <f t="shared" si="26"/>
        <v>7556.7928869641191</v>
      </c>
      <c r="AG70" s="19">
        <f t="shared" si="26"/>
        <v>7654.7881619536511</v>
      </c>
      <c r="AH70" s="19">
        <f t="shared" si="26"/>
        <v>7769.7096294889889</v>
      </c>
    </row>
    <row r="71" spans="1:34" s="20" customFormat="1" ht="15">
      <c r="A71" s="27" t="s">
        <v>142</v>
      </c>
      <c r="B71" s="39"/>
      <c r="C71" s="334">
        <f>C53*Inputs!$H$60</f>
        <v>504.90000000000003</v>
      </c>
      <c r="D71" s="334">
        <f>D53*Inputs!$H$60</f>
        <v>635.38200000000006</v>
      </c>
      <c r="E71" s="334">
        <f>E53*Inputs!$H$60</f>
        <v>785.39543902463754</v>
      </c>
      <c r="F71" s="334">
        <f>F53*Inputs!$H$60</f>
        <v>664.44370568879106</v>
      </c>
      <c r="G71" s="334">
        <f>G53*Inputs!$H$60</f>
        <v>765.1728573455573</v>
      </c>
      <c r="H71" s="19">
        <f>H53*Inputs!$H$60</f>
        <v>764.72911211164921</v>
      </c>
      <c r="I71" s="19">
        <f>I53*Inputs!$H$60</f>
        <v>747.58830538043378</v>
      </c>
      <c r="J71" s="19">
        <f>J53*Inputs!$H$60</f>
        <v>740.60004030903474</v>
      </c>
      <c r="K71" s="19">
        <f>K53*Inputs!$H$60</f>
        <v>752.82354395582536</v>
      </c>
      <c r="L71" s="19">
        <f>L53*Inputs!$H$60</f>
        <v>761.82897540086788</v>
      </c>
      <c r="M71" s="19">
        <f>M53*Inputs!$H$60</f>
        <v>768.51245307548936</v>
      </c>
      <c r="N71" s="190">
        <f>N53*Inputs!$H$60</f>
        <v>771.80306613838297</v>
      </c>
      <c r="O71" s="19">
        <f>O53*Inputs!$H$60</f>
        <v>777.41817743840863</v>
      </c>
      <c r="P71" s="19">
        <f>P53*Inputs!$H$60</f>
        <v>780.06246903109036</v>
      </c>
      <c r="Q71" s="19">
        <f>Q53*Inputs!$H$60</f>
        <v>779.58362126336704</v>
      </c>
      <c r="R71" s="19">
        <f>R53*Inputs!$H$60</f>
        <v>782.97602477464591</v>
      </c>
      <c r="S71" s="19">
        <f>S53*Inputs!$H$60</f>
        <v>784.61108528388968</v>
      </c>
      <c r="T71" s="19">
        <f>T53*Inputs!$H$60</f>
        <v>784.33725219973485</v>
      </c>
      <c r="U71" s="19">
        <f>U53*Inputs!$H$60</f>
        <v>784.83361168742942</v>
      </c>
      <c r="V71" s="19">
        <f>V53*Inputs!$H$60</f>
        <v>784.6520155215544</v>
      </c>
      <c r="W71" s="19">
        <f>W53*Inputs!$H$60</f>
        <v>784.38048120825113</v>
      </c>
      <c r="X71" s="182">
        <f>X53*Inputs!$H$60</f>
        <v>780.81577926825287</v>
      </c>
      <c r="Y71" s="19">
        <f>Y53*Inputs!$H$60</f>
        <v>778.26508433532115</v>
      </c>
      <c r="Z71" s="19">
        <f>Z53*Inputs!$H$60</f>
        <v>776.92414028144253</v>
      </c>
      <c r="AA71" s="19">
        <f>AA53*Inputs!$H$60</f>
        <v>776.23425491589194</v>
      </c>
      <c r="AB71" s="19">
        <f>AB53*Inputs!$H$60</f>
        <v>775.84810684974593</v>
      </c>
      <c r="AC71" s="19">
        <f>AC53*Inputs!$H$60</f>
        <v>775.35079655273159</v>
      </c>
      <c r="AD71" s="19">
        <f>AD53*Inputs!$H$60</f>
        <v>774.96020576693127</v>
      </c>
      <c r="AE71" s="19">
        <f>AE53*Inputs!$H$60</f>
        <v>774.19539157842098</v>
      </c>
      <c r="AF71" s="19">
        <f>AF53*Inputs!$H$60</f>
        <v>773.47908549371346</v>
      </c>
      <c r="AG71" s="19">
        <f>AG53*Inputs!$H$60</f>
        <v>773.01726141993879</v>
      </c>
      <c r="AH71" s="19">
        <f>AH53*Inputs!$H$60</f>
        <v>772.4995886578414</v>
      </c>
    </row>
    <row r="72" spans="1:34" s="20" customFormat="1" ht="15">
      <c r="A72" s="27" t="s">
        <v>222</v>
      </c>
      <c r="B72" s="39"/>
      <c r="C72" s="334">
        <f>C54*Inputs!$H$61</f>
        <v>2041.875</v>
      </c>
      <c r="D72" s="334">
        <f>D54*Inputs!$H$61</f>
        <v>2465.2979999999998</v>
      </c>
      <c r="E72" s="334">
        <f>E54*Inputs!$H$61</f>
        <v>2429.4915314999998</v>
      </c>
      <c r="F72" s="334">
        <f>F54*Inputs!$H$61</f>
        <v>3459.7997775000003</v>
      </c>
      <c r="G72" s="334">
        <f>G54*Inputs!$H$61</f>
        <v>2810.0633715000004</v>
      </c>
      <c r="H72" s="19">
        <f>H54*Inputs!$H$61</f>
        <v>2701.8496395000002</v>
      </c>
      <c r="I72" s="19">
        <f>I54*Inputs!$H$61</f>
        <v>2987.5278015000004</v>
      </c>
      <c r="J72" s="19">
        <f>J54*Inputs!$H$61</f>
        <v>3429.2719395000004</v>
      </c>
      <c r="K72" s="19">
        <f>K54*Inputs!$H$61</f>
        <v>3524.1781657499996</v>
      </c>
      <c r="L72" s="19">
        <f>L54*Inputs!$H$61</f>
        <v>3609.01233</v>
      </c>
      <c r="M72" s="19">
        <f>M54*Inputs!$H$61</f>
        <v>3665.7593280000006</v>
      </c>
      <c r="N72" s="190">
        <f>N54*Inputs!$H$61</f>
        <v>3696.7470705000005</v>
      </c>
      <c r="O72" s="19">
        <f>O54*Inputs!$H$61</f>
        <v>3626.6907352500002</v>
      </c>
      <c r="P72" s="19">
        <f>P54*Inputs!$H$61</f>
        <v>3677.2970602500004</v>
      </c>
      <c r="Q72" s="19">
        <f>Q54*Inputs!$H$61</f>
        <v>3823.4293514999999</v>
      </c>
      <c r="R72" s="19">
        <f>R54*Inputs!$H$61</f>
        <v>3805.7898532500008</v>
      </c>
      <c r="S72" s="19">
        <f>S54*Inputs!$H$61</f>
        <v>3807.5684130000004</v>
      </c>
      <c r="T72" s="19">
        <f>T54*Inputs!$H$61</f>
        <v>4017.4077240000001</v>
      </c>
      <c r="U72" s="19">
        <f>U54*Inputs!$H$61</f>
        <v>4088.4231959999997</v>
      </c>
      <c r="V72" s="19">
        <f>V54*Inputs!$H$61</f>
        <v>4062.8403585000001</v>
      </c>
      <c r="W72" s="19">
        <f>W54*Inputs!$H$61</f>
        <v>4117.8098609999997</v>
      </c>
      <c r="X72" s="182">
        <f>X54*Inputs!$H$61</f>
        <v>4082.4095152500004</v>
      </c>
      <c r="Y72" s="19">
        <f>Y54*Inputs!$H$61</f>
        <v>4314.8014222499996</v>
      </c>
      <c r="Z72" s="19">
        <f>Z54*Inputs!$H$61</f>
        <v>4525.2100327500002</v>
      </c>
      <c r="AA72" s="19">
        <f>AA54*Inputs!$H$61</f>
        <v>4757.8362727499998</v>
      </c>
      <c r="AB72" s="19">
        <f>AB54*Inputs!$H$61</f>
        <v>4935.4162605000001</v>
      </c>
      <c r="AC72" s="19">
        <f>AC54*Inputs!$H$61</f>
        <v>5071.4217675000009</v>
      </c>
      <c r="AD72" s="19">
        <f>AD54*Inputs!$H$61</f>
        <v>5227.5541725000003</v>
      </c>
      <c r="AE72" s="19">
        <f>AE54*Inputs!$H$61</f>
        <v>5347.0636807500005</v>
      </c>
      <c r="AF72" s="19">
        <f>AF54*Inputs!$H$61</f>
        <v>5429.8050592499994</v>
      </c>
      <c r="AG72" s="19">
        <f>AG54*Inputs!$H$61</f>
        <v>5436.4814212500005</v>
      </c>
      <c r="AH72" s="19">
        <f>AH54*Inputs!$H$61</f>
        <v>5481.8413897500004</v>
      </c>
    </row>
    <row r="73" spans="1:34" ht="15">
      <c r="A73" s="27" t="s">
        <v>58</v>
      </c>
      <c r="C73" s="331">
        <f>SUM(C70:C72)</f>
        <v>7004.5120799999995</v>
      </c>
      <c r="D73" s="331">
        <f t="shared" ref="D73:AH73" si="27">SUM(D70:D72)</f>
        <v>7344.4060799999997</v>
      </c>
      <c r="E73" s="331">
        <f t="shared" si="27"/>
        <v>7195.8919478108264</v>
      </c>
      <c r="F73" s="331">
        <f t="shared" si="27"/>
        <v>8170.6438227122826</v>
      </c>
      <c r="G73" s="331">
        <f t="shared" si="27"/>
        <v>7527.0504220690855</v>
      </c>
      <c r="H73" s="14">
        <f t="shared" si="27"/>
        <v>8423.1625747135513</v>
      </c>
      <c r="I73" s="14">
        <f t="shared" si="27"/>
        <v>9060.7191724459244</v>
      </c>
      <c r="J73" s="14">
        <f t="shared" si="27"/>
        <v>9786.8060116747019</v>
      </c>
      <c r="K73" s="14">
        <f t="shared" si="27"/>
        <v>9985.3129848779063</v>
      </c>
      <c r="L73" s="14">
        <f t="shared" si="27"/>
        <v>10069.116706132636</v>
      </c>
      <c r="M73" s="14">
        <f t="shared" si="27"/>
        <v>10052.936521714846</v>
      </c>
      <c r="N73" s="190">
        <f t="shared" si="27"/>
        <v>10059.682685890155</v>
      </c>
      <c r="O73" s="14">
        <f t="shared" si="27"/>
        <v>10030.724597361168</v>
      </c>
      <c r="P73" s="14">
        <f t="shared" si="27"/>
        <v>10148.90878169361</v>
      </c>
      <c r="Q73" s="14">
        <f t="shared" si="27"/>
        <v>10385.342303001904</v>
      </c>
      <c r="R73" s="14">
        <f t="shared" si="27"/>
        <v>10423.158352542147</v>
      </c>
      <c r="S73" s="14">
        <f t="shared" si="27"/>
        <v>10481.33951383613</v>
      </c>
      <c r="T73" s="14">
        <f t="shared" si="27"/>
        <v>10803.80405749274</v>
      </c>
      <c r="U73" s="14">
        <f t="shared" si="27"/>
        <v>10951.500628760572</v>
      </c>
      <c r="V73" s="14">
        <f t="shared" si="27"/>
        <v>10974.617224216343</v>
      </c>
      <c r="W73" s="14">
        <f t="shared" si="27"/>
        <v>11209.179187653477</v>
      </c>
      <c r="X73" s="187">
        <f t="shared" si="27"/>
        <v>11237.1337491222</v>
      </c>
      <c r="Y73" s="14">
        <f t="shared" si="27"/>
        <v>11622.6786268183</v>
      </c>
      <c r="Z73" s="14">
        <f t="shared" si="27"/>
        <v>11984.645607494844</v>
      </c>
      <c r="AA73" s="14">
        <f t="shared" si="27"/>
        <v>12381.557758643454</v>
      </c>
      <c r="AB73" s="14">
        <f t="shared" si="27"/>
        <v>12715.0424814002</v>
      </c>
      <c r="AC73" s="14">
        <f t="shared" si="27"/>
        <v>12989.364020144018</v>
      </c>
      <c r="AD73" s="14">
        <f t="shared" si="27"/>
        <v>13294.367296249527</v>
      </c>
      <c r="AE73" s="14">
        <f t="shared" si="27"/>
        <v>13551.585888758738</v>
      </c>
      <c r="AF73" s="14">
        <f t="shared" si="27"/>
        <v>13760.077031707831</v>
      </c>
      <c r="AG73" s="14">
        <f t="shared" si="27"/>
        <v>13864.28684462359</v>
      </c>
      <c r="AH73" s="14">
        <f t="shared" si="27"/>
        <v>14024.050607896832</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zoomScale="85" zoomScaleNormal="85" zoomScalePageLayoutView="85" workbookViewId="0">
      <selection activeCell="A11"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50"/>
      <c r="B1" s="550"/>
      <c r="C1" s="550"/>
      <c r="D1" s="550"/>
      <c r="E1" s="550"/>
      <c r="F1" s="550"/>
      <c r="G1" s="550"/>
      <c r="H1" s="550"/>
      <c r="I1" s="550"/>
      <c r="J1" s="550"/>
      <c r="K1" s="550"/>
      <c r="L1" s="550"/>
      <c r="M1" s="550"/>
      <c r="N1" s="550"/>
      <c r="O1" s="550"/>
      <c r="P1" s="550"/>
    </row>
    <row r="2" spans="1:16">
      <c r="A2" s="550"/>
      <c r="B2" s="550"/>
      <c r="C2" s="550"/>
      <c r="D2" s="550"/>
      <c r="E2" s="550"/>
      <c r="F2" s="550"/>
      <c r="G2" s="550"/>
      <c r="H2" s="550"/>
      <c r="I2" s="550"/>
      <c r="J2" s="550"/>
      <c r="K2" s="550"/>
      <c r="L2" s="550"/>
      <c r="M2" s="550"/>
      <c r="N2" s="550"/>
      <c r="O2" s="550"/>
      <c r="P2" s="550"/>
    </row>
    <row r="3" spans="1:16">
      <c r="A3" s="550"/>
      <c r="B3" s="550"/>
      <c r="C3" s="550"/>
      <c r="D3" s="550"/>
      <c r="E3" s="550"/>
      <c r="F3" s="550"/>
      <c r="G3" s="550"/>
      <c r="H3" s="550"/>
      <c r="I3" s="550"/>
      <c r="J3" s="550"/>
      <c r="K3" s="550"/>
      <c r="L3" s="550"/>
      <c r="M3" s="550"/>
      <c r="N3" s="550"/>
      <c r="O3" s="550"/>
      <c r="P3" s="550"/>
    </row>
    <row r="4" spans="1:16">
      <c r="A4" s="550"/>
      <c r="B4" s="550"/>
      <c r="C4" s="550"/>
      <c r="D4" s="550"/>
      <c r="E4" s="550"/>
      <c r="F4" s="550"/>
      <c r="G4" s="550"/>
      <c r="H4" s="550"/>
      <c r="I4" s="550"/>
      <c r="J4" s="550"/>
      <c r="K4" s="550"/>
      <c r="L4" s="550"/>
      <c r="M4" s="550"/>
      <c r="N4" s="550"/>
      <c r="O4" s="550"/>
      <c r="P4" s="550"/>
    </row>
    <row r="5" spans="1:16">
      <c r="A5" s="550"/>
      <c r="B5" s="550"/>
      <c r="C5" s="550"/>
      <c r="D5" s="550"/>
      <c r="E5" s="550"/>
      <c r="F5" s="550"/>
      <c r="G5" s="550"/>
      <c r="H5" s="550"/>
      <c r="I5" s="550"/>
      <c r="J5" s="550"/>
      <c r="K5" s="550"/>
      <c r="L5" s="550"/>
      <c r="M5" s="550"/>
      <c r="N5" s="550"/>
      <c r="O5" s="550"/>
      <c r="P5" s="550"/>
    </row>
    <row r="6" spans="1:16">
      <c r="A6" s="550"/>
      <c r="B6" s="550"/>
      <c r="C6" s="550"/>
      <c r="D6" s="550"/>
      <c r="E6" s="550"/>
      <c r="F6" s="550"/>
      <c r="G6" s="550"/>
      <c r="H6" s="550"/>
      <c r="I6" s="550"/>
      <c r="J6" s="550"/>
      <c r="K6" s="550"/>
      <c r="L6" s="550"/>
      <c r="M6" s="550"/>
      <c r="N6" s="550"/>
      <c r="O6" s="550"/>
      <c r="P6" s="550"/>
    </row>
    <row r="7" spans="1:16">
      <c r="A7" s="550"/>
      <c r="B7" s="550"/>
      <c r="C7" s="550"/>
      <c r="D7" s="550"/>
      <c r="E7" s="550"/>
      <c r="F7" s="550"/>
      <c r="G7" s="550"/>
      <c r="H7" s="550"/>
      <c r="I7" s="550"/>
      <c r="J7" s="550"/>
      <c r="K7" s="550"/>
      <c r="L7" s="550"/>
      <c r="M7" s="550"/>
      <c r="N7" s="550"/>
      <c r="O7" s="550"/>
      <c r="P7" s="550"/>
    </row>
    <row r="8" spans="1:16">
      <c r="A8" s="550"/>
      <c r="B8" s="550"/>
      <c r="C8" s="550"/>
      <c r="D8" s="550"/>
      <c r="E8" s="550"/>
      <c r="F8" s="550"/>
      <c r="G8" s="550"/>
      <c r="H8" s="550"/>
      <c r="I8" s="550"/>
      <c r="J8" s="550"/>
      <c r="K8" s="550"/>
      <c r="L8" s="550"/>
      <c r="M8" s="550"/>
      <c r="N8" s="550"/>
      <c r="O8" s="550"/>
      <c r="P8" s="550"/>
    </row>
    <row r="9" spans="1:16" ht="2.25" customHeight="1">
      <c r="A9" s="550"/>
      <c r="B9" s="550"/>
      <c r="C9" s="550"/>
      <c r="D9" s="550"/>
      <c r="E9" s="550"/>
      <c r="F9" s="550"/>
      <c r="G9" s="550"/>
      <c r="H9" s="550"/>
      <c r="I9" s="550"/>
      <c r="J9" s="550"/>
      <c r="K9" s="550"/>
      <c r="L9" s="550"/>
      <c r="M9" s="550"/>
      <c r="N9" s="550"/>
      <c r="O9" s="550"/>
      <c r="P9" s="550"/>
    </row>
    <row r="10" spans="1:16" hidden="1">
      <c r="A10" s="550"/>
      <c r="B10" s="550"/>
      <c r="C10" s="550"/>
      <c r="D10" s="550"/>
      <c r="E10" s="550"/>
      <c r="F10" s="550"/>
      <c r="G10" s="550"/>
      <c r="H10" s="550"/>
      <c r="I10" s="550"/>
      <c r="J10" s="550"/>
      <c r="K10" s="550"/>
      <c r="L10" s="550"/>
      <c r="M10" s="550"/>
      <c r="N10" s="550"/>
      <c r="O10" s="550"/>
      <c r="P10" s="550"/>
    </row>
    <row r="11" spans="1:16">
      <c r="A11" s="551" t="s">
        <v>212</v>
      </c>
      <c r="B11" s="553">
        <v>2000</v>
      </c>
      <c r="C11" s="555" t="s">
        <v>219</v>
      </c>
      <c r="D11" s="555" t="s">
        <v>555</v>
      </c>
      <c r="E11" s="558" t="s">
        <v>213</v>
      </c>
      <c r="F11" s="559"/>
      <c r="G11" s="553"/>
      <c r="H11" s="562" t="s">
        <v>556</v>
      </c>
      <c r="I11" s="563"/>
      <c r="J11" s="563"/>
      <c r="K11" s="563"/>
      <c r="L11" s="563"/>
      <c r="M11" s="563"/>
      <c r="N11" s="563"/>
      <c r="O11" s="564"/>
    </row>
    <row r="12" spans="1:16">
      <c r="A12" s="552"/>
      <c r="B12" s="554"/>
      <c r="C12" s="556"/>
      <c r="D12" s="556"/>
      <c r="E12" s="560"/>
      <c r="F12" s="561"/>
      <c r="G12" s="554"/>
      <c r="H12" s="561" t="s">
        <v>214</v>
      </c>
      <c r="I12" s="554"/>
      <c r="J12" s="560" t="s">
        <v>215</v>
      </c>
      <c r="K12" s="554"/>
      <c r="L12" s="560" t="s">
        <v>216</v>
      </c>
      <c r="M12" s="561"/>
      <c r="N12" s="561"/>
      <c r="O12" s="554"/>
    </row>
    <row r="13" spans="1:16" ht="67" thickBot="1">
      <c r="A13" s="211" t="s">
        <v>217</v>
      </c>
      <c r="B13" s="211" t="s">
        <v>218</v>
      </c>
      <c r="C13" s="557"/>
      <c r="D13" s="557"/>
      <c r="E13" s="411" t="s">
        <v>557</v>
      </c>
      <c r="F13" s="435" t="s">
        <v>558</v>
      </c>
      <c r="G13" s="212" t="s">
        <v>308</v>
      </c>
      <c r="H13" s="423" t="s">
        <v>359</v>
      </c>
      <c r="I13" s="435" t="s">
        <v>559</v>
      </c>
      <c r="J13" s="411" t="s">
        <v>359</v>
      </c>
      <c r="K13" s="435" t="s">
        <v>559</v>
      </c>
      <c r="L13" s="411" t="s">
        <v>359</v>
      </c>
      <c r="M13" s="435" t="s">
        <v>559</v>
      </c>
      <c r="N13" s="212" t="s">
        <v>58</v>
      </c>
      <c r="O13" s="212" t="s">
        <v>560</v>
      </c>
    </row>
    <row r="14" spans="1:16" ht="13" thickTop="1">
      <c r="A14" s="443" t="s">
        <v>561</v>
      </c>
      <c r="B14" s="443" t="s">
        <v>562</v>
      </c>
      <c r="C14" s="444">
        <v>0.85</v>
      </c>
      <c r="D14" s="445">
        <v>40</v>
      </c>
      <c r="E14" s="433">
        <v>4.29</v>
      </c>
      <c r="F14" s="446">
        <v>1.53</v>
      </c>
      <c r="G14" s="434">
        <v>0</v>
      </c>
      <c r="H14" s="447">
        <f t="shared" ref="H14:H32" si="0">E14/D14</f>
        <v>0.10725</v>
      </c>
      <c r="I14" s="434">
        <f t="shared" ref="I14:I32" si="1">F14+G14*8760/1000*C14</f>
        <v>1.53</v>
      </c>
      <c r="J14" s="448">
        <f t="shared" ref="J14:J32" si="2">H14/C14</f>
        <v>0.12617647058823531</v>
      </c>
      <c r="K14" s="434">
        <f t="shared" ref="K14:K32" si="3">I14/C14</f>
        <v>1.8</v>
      </c>
      <c r="L14" s="448">
        <f t="shared" ref="L14:M31" si="4">J14/8760*1000</f>
        <v>1.4403706688154716E-2</v>
      </c>
      <c r="M14" s="434">
        <f t="shared" si="4"/>
        <v>0.20547945205479454</v>
      </c>
      <c r="N14" s="449">
        <f t="shared" ref="N14:N32" si="5">SUM(L14:M14)</f>
        <v>0.21988315874294925</v>
      </c>
      <c r="O14" s="546">
        <f>AVERAGE(N14:N15)</f>
        <v>0.20532702121944668</v>
      </c>
    </row>
    <row r="15" spans="1:16" ht="13" thickBot="1">
      <c r="A15" s="223" t="s">
        <v>563</v>
      </c>
      <c r="B15" s="223" t="s">
        <v>564</v>
      </c>
      <c r="C15" s="224">
        <v>0.85</v>
      </c>
      <c r="D15" s="225">
        <v>40</v>
      </c>
      <c r="E15" s="226">
        <v>8.5</v>
      </c>
      <c r="F15" s="432">
        <v>0.24</v>
      </c>
      <c r="G15" s="532">
        <v>0.13</v>
      </c>
      <c r="H15" s="414">
        <f t="shared" si="0"/>
        <v>0.21249999999999999</v>
      </c>
      <c r="I15" s="532">
        <f t="shared" si="1"/>
        <v>1.2079800000000001</v>
      </c>
      <c r="J15" s="427">
        <f t="shared" si="2"/>
        <v>0.25</v>
      </c>
      <c r="K15" s="532">
        <f t="shared" si="3"/>
        <v>1.4211529411764707</v>
      </c>
      <c r="L15" s="427">
        <f t="shared" si="4"/>
        <v>2.8538812785388126E-2</v>
      </c>
      <c r="M15" s="532">
        <f t="shared" si="4"/>
        <v>0.16223207091055603</v>
      </c>
      <c r="N15" s="419">
        <f t="shared" si="5"/>
        <v>0.19077088369594414</v>
      </c>
      <c r="O15" s="547"/>
    </row>
    <row r="16" spans="1:16">
      <c r="A16" s="227" t="s">
        <v>565</v>
      </c>
      <c r="B16" s="227" t="s">
        <v>566</v>
      </c>
      <c r="C16" s="228">
        <v>0.9</v>
      </c>
      <c r="D16" s="229">
        <v>40</v>
      </c>
      <c r="E16" s="230">
        <f>36000/5600</f>
        <v>6.4285714285714288</v>
      </c>
      <c r="F16" s="464">
        <f>10000/5600</f>
        <v>1.7857142857142858</v>
      </c>
      <c r="G16" s="230">
        <v>0</v>
      </c>
      <c r="H16" s="412">
        <f t="shared" si="0"/>
        <v>0.16071428571428573</v>
      </c>
      <c r="I16" s="533">
        <f t="shared" si="1"/>
        <v>1.7857142857142858</v>
      </c>
      <c r="J16" s="428">
        <f t="shared" si="2"/>
        <v>0.17857142857142858</v>
      </c>
      <c r="K16" s="533">
        <f t="shared" si="3"/>
        <v>1.9841269841269842</v>
      </c>
      <c r="L16" s="428">
        <f t="shared" si="4"/>
        <v>2.0384866275277233E-2</v>
      </c>
      <c r="M16" s="533">
        <f t="shared" si="4"/>
        <v>0.22649851416974706</v>
      </c>
      <c r="N16" s="421">
        <f t="shared" si="5"/>
        <v>0.24688338044502428</v>
      </c>
      <c r="O16" s="548">
        <f>AVERAGE(N16:N18)</f>
        <v>0.24750247638375492</v>
      </c>
    </row>
    <row r="17" spans="1:15">
      <c r="A17" s="217" t="s">
        <v>567</v>
      </c>
      <c r="B17" s="217" t="s">
        <v>312</v>
      </c>
      <c r="C17" s="218">
        <v>0.9</v>
      </c>
      <c r="D17" s="219">
        <v>40</v>
      </c>
      <c r="E17" s="216">
        <v>17.5</v>
      </c>
      <c r="F17" s="531">
        <v>1.7</v>
      </c>
      <c r="G17" s="216">
        <v>0</v>
      </c>
      <c r="H17" s="530">
        <f>E17/D17</f>
        <v>0.4375</v>
      </c>
      <c r="I17" s="534">
        <f>F17+G17*8760/1000*C17</f>
        <v>1.7</v>
      </c>
      <c r="J17" s="429">
        <f>H17/C17</f>
        <v>0.4861111111111111</v>
      </c>
      <c r="K17" s="534">
        <f>I17/C17</f>
        <v>1.8888888888888888</v>
      </c>
      <c r="L17" s="429">
        <f t="shared" si="4"/>
        <v>5.5492135971588023E-2</v>
      </c>
      <c r="M17" s="534">
        <f t="shared" si="4"/>
        <v>0.21562658548959918</v>
      </c>
      <c r="N17" s="420">
        <f>SUM(L17:M17)</f>
        <v>0.27111872146118721</v>
      </c>
      <c r="O17" s="549"/>
    </row>
    <row r="18" spans="1:15" ht="13" thickBot="1">
      <c r="A18" s="451" t="s">
        <v>568</v>
      </c>
      <c r="B18" s="451" t="s">
        <v>562</v>
      </c>
      <c r="C18" s="452">
        <v>0.9</v>
      </c>
      <c r="D18" s="453">
        <v>40</v>
      </c>
      <c r="E18" s="438">
        <v>4</v>
      </c>
      <c r="F18" s="450">
        <v>1.67</v>
      </c>
      <c r="G18" s="438">
        <v>0</v>
      </c>
      <c r="H18" s="454">
        <f>E18/D18</f>
        <v>0.1</v>
      </c>
      <c r="I18" s="439">
        <f>F18+G18*8760/1000*C18</f>
        <v>1.67</v>
      </c>
      <c r="J18" s="441">
        <f>H18/C18</f>
        <v>0.11111111111111112</v>
      </c>
      <c r="K18" s="439">
        <f>I18/C18</f>
        <v>1.8555555555555554</v>
      </c>
      <c r="L18" s="441">
        <f t="shared" si="4"/>
        <v>1.2683916793505836E-2</v>
      </c>
      <c r="M18" s="439">
        <f t="shared" si="4"/>
        <v>0.21182141045154743</v>
      </c>
      <c r="N18" s="442">
        <f>SUM(L18:M18)</f>
        <v>0.22450532724505326</v>
      </c>
      <c r="O18" s="547"/>
    </row>
    <row r="19" spans="1:15">
      <c r="A19" s="227" t="s">
        <v>569</v>
      </c>
      <c r="B19" s="227" t="s">
        <v>312</v>
      </c>
      <c r="C19" s="228">
        <v>0.85</v>
      </c>
      <c r="D19" s="229">
        <v>40</v>
      </c>
      <c r="E19" s="230">
        <v>21.3</v>
      </c>
      <c r="F19" s="464">
        <v>7.8</v>
      </c>
      <c r="G19" s="230">
        <v>0</v>
      </c>
      <c r="H19" s="412">
        <f>E19/D19</f>
        <v>0.53249999999999997</v>
      </c>
      <c r="I19" s="533">
        <f>F19+G19*8760/1000*C19</f>
        <v>7.8</v>
      </c>
      <c r="J19" s="428">
        <f>H19/C19</f>
        <v>0.62647058823529411</v>
      </c>
      <c r="K19" s="533">
        <f>I19/C19</f>
        <v>9.1764705882352935</v>
      </c>
      <c r="L19" s="428">
        <f t="shared" si="4"/>
        <v>7.1514907332796127E-2</v>
      </c>
      <c r="M19" s="533">
        <f t="shared" si="4"/>
        <v>1.0475423045930701</v>
      </c>
      <c r="N19" s="421">
        <f>SUM(L19:M19)</f>
        <v>1.1190572119258662</v>
      </c>
      <c r="O19" s="548">
        <f>AVERAGE(N19:N20)</f>
        <v>0.71885911899006172</v>
      </c>
    </row>
    <row r="20" spans="1:15" ht="13" thickBot="1">
      <c r="A20" s="451" t="s">
        <v>570</v>
      </c>
      <c r="B20" s="451" t="s">
        <v>562</v>
      </c>
      <c r="C20" s="452">
        <v>0.85</v>
      </c>
      <c r="D20" s="453">
        <v>40</v>
      </c>
      <c r="E20" s="438">
        <v>3.71</v>
      </c>
      <c r="F20" s="450">
        <v>2.2799999999999998</v>
      </c>
      <c r="G20" s="438">
        <v>0</v>
      </c>
      <c r="H20" s="454">
        <f t="shared" si="0"/>
        <v>9.2749999999999999E-2</v>
      </c>
      <c r="I20" s="439">
        <f t="shared" si="1"/>
        <v>2.2799999999999998</v>
      </c>
      <c r="J20" s="441">
        <f t="shared" si="2"/>
        <v>0.10911764705882353</v>
      </c>
      <c r="K20" s="439">
        <f t="shared" si="3"/>
        <v>2.6823529411764704</v>
      </c>
      <c r="L20" s="441">
        <f t="shared" si="4"/>
        <v>1.2456352403975288E-2</v>
      </c>
      <c r="M20" s="439">
        <f t="shared" si="4"/>
        <v>0.30620467365028203</v>
      </c>
      <c r="N20" s="442">
        <f t="shared" si="5"/>
        <v>0.31866102605425733</v>
      </c>
      <c r="O20" s="547"/>
    </row>
    <row r="21" spans="1:15" ht="13" thickBot="1">
      <c r="A21" s="231" t="s">
        <v>571</v>
      </c>
      <c r="B21" s="231" t="s">
        <v>562</v>
      </c>
      <c r="C21" s="232">
        <v>0.55000000000000004</v>
      </c>
      <c r="D21" s="233">
        <v>40</v>
      </c>
      <c r="E21" s="234">
        <v>5.71</v>
      </c>
      <c r="F21" s="462">
        <v>1.1399999999999999</v>
      </c>
      <c r="G21" s="234">
        <v>0</v>
      </c>
      <c r="H21" s="413">
        <f t="shared" si="0"/>
        <v>0.14274999999999999</v>
      </c>
      <c r="I21" s="235">
        <f t="shared" si="1"/>
        <v>1.1399999999999999</v>
      </c>
      <c r="J21" s="430">
        <f t="shared" si="2"/>
        <v>0.25954545454545452</v>
      </c>
      <c r="K21" s="235">
        <f t="shared" si="3"/>
        <v>2.0727272727272723</v>
      </c>
      <c r="L21" s="430">
        <f t="shared" si="4"/>
        <v>2.9628476546284761E-2</v>
      </c>
      <c r="M21" s="235">
        <f t="shared" si="4"/>
        <v>0.236612702366127</v>
      </c>
      <c r="N21" s="422">
        <f t="shared" si="5"/>
        <v>0.26624117891241178</v>
      </c>
      <c r="O21" s="235">
        <f>N21</f>
        <v>0.26624117891241178</v>
      </c>
    </row>
    <row r="22" spans="1:15">
      <c r="A22" s="236" t="s">
        <v>309</v>
      </c>
      <c r="B22" s="236" t="s">
        <v>572</v>
      </c>
      <c r="C22" s="237">
        <v>0.2</v>
      </c>
      <c r="D22" s="238">
        <v>25</v>
      </c>
      <c r="E22" s="239">
        <v>37</v>
      </c>
      <c r="F22" s="468">
        <v>1</v>
      </c>
      <c r="G22" s="239">
        <v>0</v>
      </c>
      <c r="H22" s="424">
        <f>E22/D22</f>
        <v>1.48</v>
      </c>
      <c r="I22" s="535">
        <f>F22+G22*8760/1000*C22</f>
        <v>1</v>
      </c>
      <c r="J22" s="431">
        <f>H22/C22</f>
        <v>7.3999999999999995</v>
      </c>
      <c r="K22" s="535">
        <f>I22/C22</f>
        <v>5</v>
      </c>
      <c r="L22" s="431">
        <f>J22/8760*1000</f>
        <v>0.84474885844748848</v>
      </c>
      <c r="M22" s="535">
        <f>K22/8760*1000</f>
        <v>0.57077625570776247</v>
      </c>
      <c r="N22" s="426">
        <f>SUM(L22:M22)</f>
        <v>1.415525114155251</v>
      </c>
      <c r="O22" s="568">
        <f>N39</f>
        <v>0.79313246811604099</v>
      </c>
    </row>
    <row r="23" spans="1:15">
      <c r="A23" s="455" t="s">
        <v>310</v>
      </c>
      <c r="B23" s="455" t="s">
        <v>221</v>
      </c>
      <c r="C23" s="456">
        <v>0.2</v>
      </c>
      <c r="D23" s="457">
        <v>25</v>
      </c>
      <c r="E23" s="458">
        <v>32.340000000000003</v>
      </c>
      <c r="F23" s="467">
        <v>0.37</v>
      </c>
      <c r="G23" s="458">
        <v>0</v>
      </c>
      <c r="H23" s="459">
        <f t="shared" si="0"/>
        <v>1.2936000000000001</v>
      </c>
      <c r="I23" s="529">
        <f t="shared" si="1"/>
        <v>0.37</v>
      </c>
      <c r="J23" s="460">
        <f t="shared" si="2"/>
        <v>6.468</v>
      </c>
      <c r="K23" s="529">
        <f t="shared" si="3"/>
        <v>1.8499999999999999</v>
      </c>
      <c r="L23" s="460">
        <f t="shared" si="4"/>
        <v>0.73835616438356166</v>
      </c>
      <c r="M23" s="529">
        <f t="shared" si="4"/>
        <v>0.21118721461187212</v>
      </c>
      <c r="N23" s="461">
        <f t="shared" si="5"/>
        <v>0.94954337899543373</v>
      </c>
      <c r="O23" s="569"/>
    </row>
    <row r="24" spans="1:15" ht="13" thickBot="1">
      <c r="A24" s="451" t="s">
        <v>311</v>
      </c>
      <c r="B24" s="451" t="s">
        <v>562</v>
      </c>
      <c r="C24" s="452">
        <v>0.2</v>
      </c>
      <c r="D24" s="451">
        <v>25</v>
      </c>
      <c r="E24" s="438">
        <v>7.14</v>
      </c>
      <c r="F24" s="450">
        <v>0.12</v>
      </c>
      <c r="G24" s="465">
        <v>0</v>
      </c>
      <c r="H24" s="454">
        <f t="shared" si="0"/>
        <v>0.28559999999999997</v>
      </c>
      <c r="I24" s="438">
        <f t="shared" si="1"/>
        <v>0.12</v>
      </c>
      <c r="J24" s="450">
        <f t="shared" si="2"/>
        <v>1.4279999999999997</v>
      </c>
      <c r="K24" s="438">
        <f t="shared" si="3"/>
        <v>0.6</v>
      </c>
      <c r="L24" s="450">
        <f t="shared" si="4"/>
        <v>0.16301369863013696</v>
      </c>
      <c r="M24" s="438">
        <f t="shared" si="4"/>
        <v>6.8493150684931503E-2</v>
      </c>
      <c r="N24" s="466">
        <f t="shared" si="5"/>
        <v>0.23150684931506846</v>
      </c>
      <c r="O24" s="570"/>
    </row>
    <row r="25" spans="1:15">
      <c r="A25" s="227" t="s">
        <v>433</v>
      </c>
      <c r="B25" s="227" t="s">
        <v>437</v>
      </c>
      <c r="C25" s="240">
        <v>0.4</v>
      </c>
      <c r="D25" s="229">
        <v>25</v>
      </c>
      <c r="E25" s="230">
        <f>10310/1000</f>
        <v>10.31</v>
      </c>
      <c r="F25" s="464">
        <v>1</v>
      </c>
      <c r="G25" s="230">
        <v>0</v>
      </c>
      <c r="H25" s="424">
        <f t="shared" si="0"/>
        <v>0.41240000000000004</v>
      </c>
      <c r="I25" s="535">
        <f t="shared" si="1"/>
        <v>1</v>
      </c>
      <c r="J25" s="431">
        <f t="shared" si="2"/>
        <v>1.0310000000000001</v>
      </c>
      <c r="K25" s="535">
        <f t="shared" si="3"/>
        <v>2.5</v>
      </c>
      <c r="L25" s="431">
        <f t="shared" si="4"/>
        <v>0.11769406392694066</v>
      </c>
      <c r="M25" s="535">
        <f t="shared" si="4"/>
        <v>0.28538812785388123</v>
      </c>
      <c r="N25" s="426">
        <f t="shared" si="5"/>
        <v>0.40308219178082189</v>
      </c>
      <c r="O25" s="548">
        <f>AVERAGE(N25:N26,N27)</f>
        <v>0.23028919330289191</v>
      </c>
    </row>
    <row r="26" spans="1:15">
      <c r="A26" s="214" t="s">
        <v>434</v>
      </c>
      <c r="B26" s="214" t="s">
        <v>436</v>
      </c>
      <c r="C26" s="220">
        <v>0.4</v>
      </c>
      <c r="D26" s="215">
        <v>25</v>
      </c>
      <c r="E26" s="216">
        <v>4.5</v>
      </c>
      <c r="F26" s="531">
        <v>0.38</v>
      </c>
      <c r="G26" s="534">
        <v>0</v>
      </c>
      <c r="H26" s="415">
        <f t="shared" si="0"/>
        <v>0.18</v>
      </c>
      <c r="I26" s="534">
        <f t="shared" si="1"/>
        <v>0.38</v>
      </c>
      <c r="J26" s="429">
        <f t="shared" si="2"/>
        <v>0.44999999999999996</v>
      </c>
      <c r="K26" s="534">
        <f t="shared" si="3"/>
        <v>0.95</v>
      </c>
      <c r="L26" s="429">
        <f t="shared" si="4"/>
        <v>5.1369863013698627E-2</v>
      </c>
      <c r="M26" s="534">
        <f t="shared" si="4"/>
        <v>0.10844748858447488</v>
      </c>
      <c r="N26" s="420">
        <f t="shared" si="5"/>
        <v>0.15981735159817351</v>
      </c>
      <c r="O26" s="549"/>
    </row>
    <row r="27" spans="1:15" ht="13" thickBot="1">
      <c r="A27" s="436" t="s">
        <v>435</v>
      </c>
      <c r="B27" s="436" t="s">
        <v>562</v>
      </c>
      <c r="C27" s="463">
        <v>0.4</v>
      </c>
      <c r="D27" s="436">
        <v>25</v>
      </c>
      <c r="E27" s="439">
        <v>5.71</v>
      </c>
      <c r="F27" s="441">
        <v>0.22</v>
      </c>
      <c r="G27" s="465">
        <v>0</v>
      </c>
      <c r="H27" s="440">
        <f t="shared" si="0"/>
        <v>0.22839999999999999</v>
      </c>
      <c r="I27" s="439">
        <f t="shared" si="1"/>
        <v>0.22</v>
      </c>
      <c r="J27" s="441">
        <f t="shared" si="2"/>
        <v>0.57099999999999995</v>
      </c>
      <c r="K27" s="439">
        <f t="shared" si="3"/>
        <v>0.54999999999999993</v>
      </c>
      <c r="L27" s="441">
        <f t="shared" si="4"/>
        <v>6.5182648401826485E-2</v>
      </c>
      <c r="M27" s="439">
        <f t="shared" si="4"/>
        <v>6.2785388127853878E-2</v>
      </c>
      <c r="N27" s="442">
        <f t="shared" si="5"/>
        <v>0.12796803652968036</v>
      </c>
      <c r="O27" s="547"/>
    </row>
    <row r="28" spans="1:15">
      <c r="A28" s="241" t="s">
        <v>573</v>
      </c>
      <c r="B28" s="241" t="s">
        <v>361</v>
      </c>
      <c r="C28" s="240">
        <v>0.35</v>
      </c>
      <c r="D28" s="229">
        <v>25</v>
      </c>
      <c r="E28" s="230">
        <v>10.1</v>
      </c>
      <c r="F28" s="464">
        <v>0.4</v>
      </c>
      <c r="G28" s="533">
        <v>0</v>
      </c>
      <c r="H28" s="425">
        <f t="shared" si="0"/>
        <v>0.40399999999999997</v>
      </c>
      <c r="I28" s="533">
        <f t="shared" si="1"/>
        <v>0.4</v>
      </c>
      <c r="J28" s="428">
        <f t="shared" si="2"/>
        <v>1.1542857142857144</v>
      </c>
      <c r="K28" s="533">
        <f t="shared" si="3"/>
        <v>1.142857142857143</v>
      </c>
      <c r="L28" s="428">
        <f t="shared" si="4"/>
        <v>0.13176777560339206</v>
      </c>
      <c r="M28" s="533">
        <f t="shared" si="4"/>
        <v>0.13046314416177432</v>
      </c>
      <c r="N28" s="421">
        <f t="shared" si="5"/>
        <v>0.26223091976516638</v>
      </c>
      <c r="O28" s="548">
        <f>AVERAGE(N28,N29,N30:N32)</f>
        <v>0.16974559686888452</v>
      </c>
    </row>
    <row r="29" spans="1:15">
      <c r="A29" s="214" t="s">
        <v>220</v>
      </c>
      <c r="B29" s="214" t="s">
        <v>221</v>
      </c>
      <c r="C29" s="220">
        <v>0.35</v>
      </c>
      <c r="D29" s="219">
        <v>25</v>
      </c>
      <c r="E29" s="216">
        <v>3.8</v>
      </c>
      <c r="F29" s="531">
        <v>0.14399999999999999</v>
      </c>
      <c r="G29" s="534">
        <v>0</v>
      </c>
      <c r="H29" s="415">
        <f t="shared" si="0"/>
        <v>0.152</v>
      </c>
      <c r="I29" s="534">
        <f t="shared" si="1"/>
        <v>0.14399999999999999</v>
      </c>
      <c r="J29" s="429">
        <f t="shared" si="2"/>
        <v>0.43428571428571427</v>
      </c>
      <c r="K29" s="534">
        <f t="shared" si="3"/>
        <v>0.41142857142857142</v>
      </c>
      <c r="L29" s="429">
        <f t="shared" si="4"/>
        <v>4.9575994781474238E-2</v>
      </c>
      <c r="M29" s="534">
        <f t="shared" si="4"/>
        <v>4.6966731898238752E-2</v>
      </c>
      <c r="N29" s="420">
        <f t="shared" si="5"/>
        <v>9.654272667971299E-2</v>
      </c>
      <c r="O29" s="549"/>
    </row>
    <row r="30" spans="1:15">
      <c r="A30" s="214" t="s">
        <v>360</v>
      </c>
      <c r="B30" s="214" t="s">
        <v>574</v>
      </c>
      <c r="C30" s="220">
        <v>0.35</v>
      </c>
      <c r="D30" s="215">
        <v>25</v>
      </c>
      <c r="E30" s="534">
        <v>10.96</v>
      </c>
      <c r="F30" s="429">
        <v>0.17499999999999999</v>
      </c>
      <c r="G30" s="534">
        <v>0</v>
      </c>
      <c r="H30" s="415">
        <f t="shared" si="0"/>
        <v>0.43840000000000001</v>
      </c>
      <c r="I30" s="534">
        <f t="shared" si="1"/>
        <v>0.17499999999999999</v>
      </c>
      <c r="J30" s="429">
        <f t="shared" si="2"/>
        <v>1.2525714285714287</v>
      </c>
      <c r="K30" s="534">
        <f t="shared" si="3"/>
        <v>0.5</v>
      </c>
      <c r="L30" s="429">
        <f t="shared" si="4"/>
        <v>0.14298760600130464</v>
      </c>
      <c r="M30" s="534">
        <f t="shared" si="4"/>
        <v>5.7077625570776253E-2</v>
      </c>
      <c r="N30" s="420">
        <f t="shared" si="5"/>
        <v>0.20006523157208089</v>
      </c>
      <c r="O30" s="549"/>
    </row>
    <row r="31" spans="1:15">
      <c r="A31" s="214" t="s">
        <v>575</v>
      </c>
      <c r="B31" s="214" t="s">
        <v>312</v>
      </c>
      <c r="C31" s="220">
        <v>0.35</v>
      </c>
      <c r="D31" s="215">
        <v>25</v>
      </c>
      <c r="E31" s="534">
        <v>7.4</v>
      </c>
      <c r="F31" s="429">
        <v>0.2</v>
      </c>
      <c r="G31" s="534">
        <v>0</v>
      </c>
      <c r="H31" s="415">
        <f t="shared" si="0"/>
        <v>0.29600000000000004</v>
      </c>
      <c r="I31" s="534">
        <f t="shared" si="1"/>
        <v>0.2</v>
      </c>
      <c r="J31" s="429">
        <f t="shared" si="2"/>
        <v>0.84571428571428586</v>
      </c>
      <c r="K31" s="534">
        <f t="shared" si="3"/>
        <v>0.57142857142857151</v>
      </c>
      <c r="L31" s="429">
        <f t="shared" si="4"/>
        <v>9.6542726679713003E-2</v>
      </c>
      <c r="M31" s="534">
        <f t="shared" si="4"/>
        <v>6.523157208088716E-2</v>
      </c>
      <c r="N31" s="420">
        <f t="shared" si="5"/>
        <v>0.16177429876060018</v>
      </c>
      <c r="O31" s="549"/>
    </row>
    <row r="32" spans="1:15" ht="13" thickBot="1">
      <c r="A32" s="436" t="s">
        <v>576</v>
      </c>
      <c r="B32" s="436" t="s">
        <v>562</v>
      </c>
      <c r="C32" s="463">
        <v>0.35</v>
      </c>
      <c r="D32" s="437">
        <v>25</v>
      </c>
      <c r="E32" s="439">
        <v>2.57</v>
      </c>
      <c r="F32" s="441">
        <v>0.28999999999999998</v>
      </c>
      <c r="G32" s="439">
        <v>0</v>
      </c>
      <c r="H32" s="440">
        <f t="shared" si="0"/>
        <v>0.10279999999999999</v>
      </c>
      <c r="I32" s="439">
        <f t="shared" si="1"/>
        <v>0.28999999999999998</v>
      </c>
      <c r="J32" s="441">
        <f t="shared" si="2"/>
        <v>0.29371428571428571</v>
      </c>
      <c r="K32" s="439">
        <f t="shared" si="3"/>
        <v>0.82857142857142851</v>
      </c>
      <c r="L32" s="441">
        <f>J32/8760*1000</f>
        <v>3.3529028049575992E-2</v>
      </c>
      <c r="M32" s="439">
        <f>K32/8760*1000</f>
        <v>9.4585779517286361E-2</v>
      </c>
      <c r="N32" s="442">
        <f t="shared" si="5"/>
        <v>0.12811480756686236</v>
      </c>
      <c r="O32" s="547"/>
    </row>
    <row r="33" spans="1:15" ht="23" thickBot="1">
      <c r="A33" s="231" t="s">
        <v>430</v>
      </c>
      <c r="B33" s="231" t="s">
        <v>431</v>
      </c>
      <c r="C33" s="232">
        <v>0.8</v>
      </c>
      <c r="D33" s="233">
        <v>40</v>
      </c>
      <c r="E33" s="234">
        <v>20.48</v>
      </c>
      <c r="F33" s="462">
        <v>0.31</v>
      </c>
      <c r="G33" s="234">
        <v>0.06</v>
      </c>
      <c r="H33" s="413">
        <v>0.51200000000000001</v>
      </c>
      <c r="I33" s="235">
        <v>0.73048000000000002</v>
      </c>
      <c r="J33" s="430">
        <v>0.64</v>
      </c>
      <c r="K33" s="235">
        <v>0.91310000000000002</v>
      </c>
      <c r="L33" s="430">
        <v>7.3059360730593603E-2</v>
      </c>
      <c r="M33" s="235">
        <v>0.10423515981735161</v>
      </c>
      <c r="N33" s="422">
        <v>0.1772945205479452</v>
      </c>
      <c r="O33" s="235">
        <f>N33</f>
        <v>0.1772945205479452</v>
      </c>
    </row>
    <row r="34" spans="1:15" ht="13" thickBot="1">
      <c r="A34" s="231" t="s">
        <v>225</v>
      </c>
      <c r="B34" s="231" t="s">
        <v>432</v>
      </c>
      <c r="C34" s="232">
        <v>0.9</v>
      </c>
      <c r="D34" s="233">
        <v>40</v>
      </c>
      <c r="E34" s="234">
        <v>15.2</v>
      </c>
      <c r="F34" s="462">
        <v>0.7</v>
      </c>
      <c r="G34" s="234">
        <v>0</v>
      </c>
      <c r="H34" s="416">
        <f>E34/D34</f>
        <v>0.38</v>
      </c>
      <c r="I34" s="235">
        <f>F34+G34*8760/1000*C34</f>
        <v>0.7</v>
      </c>
      <c r="J34" s="430">
        <f>H34/C34</f>
        <v>0.42222222222222222</v>
      </c>
      <c r="K34" s="235">
        <f>I34/C34</f>
        <v>0.77777777777777768</v>
      </c>
      <c r="L34" s="430">
        <f t="shared" ref="L34:M36" si="6">J34/8760*1000</f>
        <v>4.8198883815322169E-2</v>
      </c>
      <c r="M34" s="235">
        <f t="shared" si="6"/>
        <v>8.8787417554540837E-2</v>
      </c>
      <c r="N34" s="422">
        <f>SUM(L34:M34)</f>
        <v>0.13698630136986301</v>
      </c>
      <c r="O34" s="235">
        <f>N34</f>
        <v>0.13698630136986301</v>
      </c>
    </row>
    <row r="35" spans="1:15" ht="13" thickBot="1">
      <c r="A35" s="242" t="s">
        <v>142</v>
      </c>
      <c r="B35" s="242" t="s">
        <v>223</v>
      </c>
      <c r="C35" s="243">
        <v>0.8</v>
      </c>
      <c r="D35" s="244">
        <v>40</v>
      </c>
      <c r="E35" s="235">
        <v>8.5</v>
      </c>
      <c r="F35" s="430">
        <v>0.18</v>
      </c>
      <c r="G35" s="235">
        <v>5.8999999999999997E-2</v>
      </c>
      <c r="H35" s="416">
        <f>E35/D35</f>
        <v>0.21249999999999999</v>
      </c>
      <c r="I35" s="235">
        <v>0.59</v>
      </c>
      <c r="J35" s="430">
        <f>H35/C35</f>
        <v>0.265625</v>
      </c>
      <c r="K35" s="235">
        <f>I35/C35</f>
        <v>0.73749999999999993</v>
      </c>
      <c r="L35" s="430">
        <f t="shared" si="6"/>
        <v>3.0322488584474887E-2</v>
      </c>
      <c r="M35" s="235">
        <f t="shared" si="6"/>
        <v>8.4189497716894962E-2</v>
      </c>
      <c r="N35" s="422">
        <f>SUM(L35:M35)</f>
        <v>0.11451198630136986</v>
      </c>
      <c r="O35" s="235">
        <f>N35</f>
        <v>0.11451198630136986</v>
      </c>
    </row>
    <row r="36" spans="1:15" ht="13" thickBot="1">
      <c r="A36" s="242" t="s">
        <v>222</v>
      </c>
      <c r="B36" s="242" t="s">
        <v>312</v>
      </c>
      <c r="C36" s="243">
        <v>0.85</v>
      </c>
      <c r="D36" s="244">
        <v>40</v>
      </c>
      <c r="E36" s="235">
        <v>1.02</v>
      </c>
      <c r="F36" s="430">
        <v>0.1</v>
      </c>
      <c r="G36" s="235">
        <v>0.09</v>
      </c>
      <c r="H36" s="416">
        <f>E36/D36</f>
        <v>2.5500000000000002E-2</v>
      </c>
      <c r="I36" s="235">
        <f>F36+G36*8760/1000*C36</f>
        <v>0.77013999999999994</v>
      </c>
      <c r="J36" s="430">
        <f>H36/C36</f>
        <v>3.0000000000000002E-2</v>
      </c>
      <c r="K36" s="235">
        <f>I36/C36</f>
        <v>0.90604705882352932</v>
      </c>
      <c r="L36" s="430">
        <f t="shared" si="6"/>
        <v>3.4246575342465756E-3</v>
      </c>
      <c r="M36" s="235">
        <f t="shared" si="6"/>
        <v>0.10343002954606499</v>
      </c>
      <c r="N36" s="422">
        <f>SUM(L36:M36)</f>
        <v>0.10685468708031157</v>
      </c>
      <c r="O36" s="235">
        <f>N36</f>
        <v>0.10685468708031157</v>
      </c>
    </row>
    <row r="37" spans="1:15">
      <c r="A37" s="213" t="s">
        <v>426</v>
      </c>
      <c r="B37" s="213" t="s">
        <v>428</v>
      </c>
      <c r="C37" s="245">
        <v>1</v>
      </c>
      <c r="D37" s="222">
        <v>20</v>
      </c>
      <c r="E37" s="538" t="s">
        <v>0</v>
      </c>
      <c r="F37" s="539"/>
      <c r="G37" s="539"/>
      <c r="H37" s="539"/>
      <c r="I37" s="539"/>
      <c r="J37" s="539"/>
      <c r="K37" s="539"/>
      <c r="L37" s="539"/>
      <c r="M37" s="540"/>
      <c r="N37" s="418">
        <v>0.17</v>
      </c>
      <c r="O37" s="541">
        <f>AVERAGE(N37,N38)</f>
        <v>0.38</v>
      </c>
    </row>
    <row r="38" spans="1:15">
      <c r="A38" s="214" t="s">
        <v>427</v>
      </c>
      <c r="B38" s="214" t="s">
        <v>429</v>
      </c>
      <c r="C38" s="221">
        <v>1</v>
      </c>
      <c r="D38" s="215">
        <v>20</v>
      </c>
      <c r="E38" s="543" t="s">
        <v>0</v>
      </c>
      <c r="F38" s="544"/>
      <c r="G38" s="544"/>
      <c r="H38" s="544"/>
      <c r="I38" s="544"/>
      <c r="J38" s="544"/>
      <c r="K38" s="544"/>
      <c r="L38" s="544"/>
      <c r="M38" s="545"/>
      <c r="N38" s="420">
        <v>0.59</v>
      </c>
      <c r="O38" s="542"/>
    </row>
    <row r="39" spans="1:15">
      <c r="A39" s="81" t="s">
        <v>758</v>
      </c>
      <c r="B39" s="81" t="s">
        <v>759</v>
      </c>
      <c r="C39" s="571">
        <v>0.2</v>
      </c>
      <c r="D39" s="81">
        <v>25</v>
      </c>
      <c r="E39" s="417">
        <f>(97031+32490+15112+20185)/B40</f>
        <v>14.698366579021558</v>
      </c>
      <c r="F39" s="417">
        <f>(8989)/B40</f>
        <v>0.80163342097844159</v>
      </c>
      <c r="G39" s="81">
        <v>0</v>
      </c>
      <c r="H39" s="417">
        <f>E39/D39</f>
        <v>0.58793466316086229</v>
      </c>
      <c r="I39" s="417">
        <f>F39</f>
        <v>0.80163342097844159</v>
      </c>
      <c r="J39" s="417">
        <f>H39/C39</f>
        <v>2.9396733158043111</v>
      </c>
      <c r="K39" s="417">
        <f>I39/C39</f>
        <v>4.0081671048922081</v>
      </c>
      <c r="L39" s="417">
        <f>J39/8760*1000</f>
        <v>0.33557914563976154</v>
      </c>
      <c r="M39" s="417">
        <f>K39/8760*1000</f>
        <v>0.4575533224762795</v>
      </c>
      <c r="N39" s="81">
        <f>L39+M39</f>
        <v>0.79313246811604099</v>
      </c>
    </row>
    <row r="40" spans="1:15">
      <c r="B40" s="81">
        <f>173807/15.5</f>
        <v>11213.354838709678</v>
      </c>
    </row>
    <row r="41" spans="1:15">
      <c r="N41" s="572"/>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5"/>
      <c r="C1" s="565"/>
      <c r="D1" s="565"/>
      <c r="E1" s="565"/>
      <c r="F1" s="565"/>
      <c r="G1" s="565"/>
      <c r="H1" s="565"/>
      <c r="I1" s="565"/>
      <c r="J1" s="565"/>
      <c r="K1" s="565"/>
      <c r="L1" s="565"/>
    </row>
    <row r="2" spans="1:12">
      <c r="B2" s="565"/>
      <c r="C2" s="565"/>
      <c r="D2" s="565"/>
      <c r="E2" s="565"/>
      <c r="F2" s="565"/>
      <c r="G2" s="565"/>
      <c r="H2" s="565"/>
      <c r="I2" s="565"/>
      <c r="J2" s="565"/>
      <c r="K2" s="565"/>
      <c r="L2" s="565"/>
    </row>
    <row r="3" spans="1:12">
      <c r="B3" s="565"/>
      <c r="C3" s="565"/>
      <c r="D3" s="565"/>
      <c r="E3" s="565"/>
      <c r="F3" s="565"/>
      <c r="G3" s="565"/>
      <c r="H3" s="565"/>
      <c r="I3" s="565"/>
      <c r="J3" s="565"/>
      <c r="K3" s="565"/>
      <c r="L3" s="565"/>
    </row>
    <row r="4" spans="1:12">
      <c r="B4" s="565"/>
      <c r="C4" s="565"/>
      <c r="D4" s="565"/>
      <c r="E4" s="565"/>
      <c r="F4" s="565"/>
      <c r="G4" s="565"/>
      <c r="H4" s="565"/>
      <c r="I4" s="565"/>
      <c r="J4" s="565"/>
      <c r="K4" s="565"/>
      <c r="L4" s="565"/>
    </row>
    <row r="5" spans="1:12">
      <c r="B5" s="565"/>
      <c r="C5" s="565"/>
      <c r="D5" s="565"/>
      <c r="E5" s="565"/>
      <c r="F5" s="565"/>
      <c r="G5" s="565"/>
      <c r="H5" s="565"/>
      <c r="I5" s="565"/>
      <c r="J5" s="565"/>
      <c r="K5" s="565"/>
      <c r="L5" s="565"/>
    </row>
    <row r="6" spans="1:12">
      <c r="B6" s="565"/>
      <c r="C6" s="565"/>
      <c r="D6" s="565"/>
      <c r="E6" s="565"/>
      <c r="F6" s="565"/>
      <c r="G6" s="565"/>
      <c r="H6" s="565"/>
      <c r="I6" s="565"/>
      <c r="J6" s="565"/>
      <c r="K6" s="565"/>
      <c r="L6" s="565"/>
    </row>
    <row r="7" spans="1:12">
      <c r="B7" s="565"/>
      <c r="C7" s="565"/>
      <c r="D7" s="565"/>
      <c r="E7" s="565"/>
      <c r="F7" s="565"/>
      <c r="G7" s="565"/>
      <c r="H7" s="565"/>
      <c r="I7" s="565"/>
      <c r="J7" s="565"/>
      <c r="K7" s="565"/>
      <c r="L7" s="565"/>
    </row>
    <row r="8" spans="1:12">
      <c r="B8" s="565"/>
      <c r="C8" s="565"/>
      <c r="D8" s="565"/>
      <c r="E8" s="565"/>
      <c r="F8" s="565"/>
      <c r="G8" s="565"/>
      <c r="H8" s="565"/>
      <c r="I8" s="565"/>
      <c r="J8" s="565"/>
      <c r="K8" s="565"/>
      <c r="L8" s="565"/>
    </row>
    <row r="9" spans="1:12" ht="48" customHeight="1">
      <c r="B9" s="565"/>
      <c r="C9" s="565"/>
      <c r="D9" s="565"/>
      <c r="E9" s="565"/>
      <c r="F9" s="565"/>
      <c r="G9" s="565"/>
      <c r="H9" s="565"/>
      <c r="I9" s="565"/>
      <c r="J9" s="565"/>
      <c r="K9" s="565"/>
      <c r="L9" s="565"/>
    </row>
    <row r="10" spans="1:12" s="144" customFormat="1" ht="15" thickBot="1">
      <c r="A10" s="139" t="s">
        <v>149</v>
      </c>
      <c r="B10" s="140" t="s">
        <v>459</v>
      </c>
      <c r="C10" s="141" t="s">
        <v>144</v>
      </c>
      <c r="D10" s="141" t="s">
        <v>460</v>
      </c>
      <c r="E10" s="141" t="s">
        <v>265</v>
      </c>
      <c r="F10" s="141" t="s">
        <v>460</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552</v>
      </c>
      <c r="I11" s="147" t="s">
        <v>461</v>
      </c>
      <c r="J11" s="145" t="s">
        <v>462</v>
      </c>
    </row>
    <row r="12" spans="1:12" s="145" customFormat="1" ht="28">
      <c r="B12" s="148">
        <f>B11+1</f>
        <v>2</v>
      </c>
      <c r="C12" s="149">
        <v>2009</v>
      </c>
      <c r="D12" s="149" t="s">
        <v>463</v>
      </c>
      <c r="E12" s="149" t="s">
        <v>464</v>
      </c>
      <c r="F12" s="147" t="str">
        <f t="shared" ref="F12:F26" si="0">D12 &amp; " - " &amp; E12</f>
        <v>Julio Friedmann - Lawrence Livermore National Laboratory</v>
      </c>
      <c r="G12" s="149" t="s">
        <v>465</v>
      </c>
      <c r="H12" s="149" t="s">
        <v>466</v>
      </c>
      <c r="I12" s="149" t="s">
        <v>467</v>
      </c>
    </row>
    <row r="13" spans="1:12" s="145" customFormat="1" ht="28">
      <c r="B13" s="148">
        <f>B12+1</f>
        <v>3</v>
      </c>
      <c r="C13" s="149">
        <v>2009</v>
      </c>
      <c r="D13" s="149" t="s">
        <v>468</v>
      </c>
      <c r="E13" s="149" t="s">
        <v>469</v>
      </c>
      <c r="F13" s="147" t="str">
        <f t="shared" si="0"/>
        <v>José Goldemberg  - State of São Paulo, Brazil</v>
      </c>
      <c r="G13" s="149" t="s">
        <v>470</v>
      </c>
      <c r="H13" s="149"/>
      <c r="I13" s="149"/>
    </row>
    <row r="14" spans="1:12" s="145" customFormat="1" ht="42">
      <c r="B14" s="150">
        <f>B13+1</f>
        <v>4</v>
      </c>
      <c r="C14" s="151">
        <v>2009</v>
      </c>
      <c r="D14" s="151" t="s">
        <v>471</v>
      </c>
      <c r="E14" s="151" t="s">
        <v>472</v>
      </c>
      <c r="F14" s="147" t="str">
        <f t="shared" si="0"/>
        <v xml:space="preserve">SkyFuels - National Renewable Energy Laboratory </v>
      </c>
      <c r="G14" s="151" t="s">
        <v>473</v>
      </c>
      <c r="H14" s="151" t="s">
        <v>474</v>
      </c>
      <c r="I14" s="151" t="s">
        <v>475</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476</v>
      </c>
      <c r="J15" s="145" t="s">
        <v>477</v>
      </c>
    </row>
    <row r="16" spans="1:12" s="152" customFormat="1" ht="42">
      <c r="A16" s="149"/>
      <c r="B16" s="148">
        <f>B15+1</f>
        <v>6</v>
      </c>
      <c r="C16" s="149">
        <v>2008</v>
      </c>
      <c r="D16" s="149" t="s">
        <v>478</v>
      </c>
      <c r="E16" s="149" t="s">
        <v>479</v>
      </c>
      <c r="F16" s="147" t="str">
        <f t="shared" si="0"/>
        <v>David Roland-Holst - University of California, Berkeley</v>
      </c>
      <c r="G16" s="149" t="s">
        <v>480</v>
      </c>
      <c r="H16" s="149" t="s">
        <v>481</v>
      </c>
      <c r="I16" s="149" t="s">
        <v>482</v>
      </c>
      <c r="J16" s="145"/>
    </row>
    <row r="17" spans="1:10" s="152" customFormat="1" ht="28">
      <c r="A17" s="149"/>
      <c r="B17" s="148">
        <v>7</v>
      </c>
      <c r="C17" s="149">
        <v>2007</v>
      </c>
      <c r="D17" s="149" t="s">
        <v>496</v>
      </c>
      <c r="E17" s="149" t="s">
        <v>0</v>
      </c>
      <c r="F17" s="147" t="str">
        <f>D17</f>
        <v>Vestas</v>
      </c>
      <c r="G17" s="149" t="s">
        <v>497</v>
      </c>
      <c r="H17" s="149" t="s">
        <v>498</v>
      </c>
      <c r="I17" s="149" t="s">
        <v>499</v>
      </c>
      <c r="J17" s="145"/>
    </row>
    <row r="18" spans="1:10" s="152" customFormat="1" ht="42">
      <c r="A18" s="149"/>
      <c r="B18" s="148">
        <v>8</v>
      </c>
      <c r="C18" s="149">
        <v>2006</v>
      </c>
      <c r="D18" s="149" t="s">
        <v>483</v>
      </c>
      <c r="E18" s="149" t="s">
        <v>484</v>
      </c>
      <c r="F18" s="147" t="str">
        <f t="shared" si="0"/>
        <v>Winfried Hoffman, Sven Teske - European Photovoltaic Industry Association (EPIA) and Greenpeace</v>
      </c>
      <c r="G18" s="149" t="s">
        <v>485</v>
      </c>
      <c r="H18" s="149" t="s">
        <v>486</v>
      </c>
      <c r="I18" s="149" t="s">
        <v>487</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532</v>
      </c>
      <c r="H19" s="149" t="s">
        <v>533</v>
      </c>
      <c r="I19" s="149"/>
      <c r="J19" s="145" t="s">
        <v>488</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489</v>
      </c>
      <c r="I20" s="149" t="s">
        <v>0</v>
      </c>
      <c r="J20" s="145" t="s">
        <v>325</v>
      </c>
    </row>
    <row r="21" spans="1:10" s="152" customFormat="1" ht="70">
      <c r="A21" s="149" t="s">
        <v>490</v>
      </c>
      <c r="B21" s="148">
        <v>11</v>
      </c>
      <c r="C21" s="149">
        <v>2006</v>
      </c>
      <c r="D21" s="149" t="s">
        <v>491</v>
      </c>
      <c r="E21" s="149" t="s">
        <v>492</v>
      </c>
      <c r="F21" s="147" t="str">
        <f t="shared" si="0"/>
        <v>L. Stoddard, J. Abiecunas, R. O'Connell - National Renewable Energy Laboratory</v>
      </c>
      <c r="G21" s="149" t="s">
        <v>493</v>
      </c>
      <c r="H21" s="149" t="s">
        <v>553</v>
      </c>
      <c r="I21" s="149" t="s">
        <v>494</v>
      </c>
      <c r="J21" s="145" t="s">
        <v>495</v>
      </c>
    </row>
    <row r="22" spans="1:10" s="152" customFormat="1" ht="42">
      <c r="A22" s="149" t="s">
        <v>500</v>
      </c>
      <c r="B22" s="148">
        <v>12</v>
      </c>
      <c r="C22" s="149">
        <v>2005</v>
      </c>
      <c r="D22" s="149" t="s">
        <v>501</v>
      </c>
      <c r="E22" s="149" t="s">
        <v>502</v>
      </c>
      <c r="F22" s="147" t="str">
        <f t="shared" si="0"/>
        <v>Doug Arent, John Tschirhart, Dick Watsson - Western Governors' Association: Geothermal Task Force</v>
      </c>
      <c r="G22" s="149" t="s">
        <v>503</v>
      </c>
      <c r="H22" s="149" t="s">
        <v>504</v>
      </c>
      <c r="I22" s="149"/>
      <c r="J22" s="145" t="s">
        <v>505</v>
      </c>
    </row>
    <row r="23" spans="1:10" s="152" customFormat="1" ht="70">
      <c r="A23" s="153"/>
      <c r="B23" s="148">
        <v>13</v>
      </c>
      <c r="C23" s="149">
        <v>2005</v>
      </c>
      <c r="D23" s="149" t="s">
        <v>506</v>
      </c>
      <c r="E23" s="149" t="s">
        <v>507</v>
      </c>
      <c r="F23" s="147" t="str">
        <f t="shared" si="0"/>
        <v>Jose Gil and Hugo Lucas - Institute for Diversification and Saving of Energy (Instituto para la Diversificacion y Ahorro de la Energia, IDAE)</v>
      </c>
      <c r="G23" s="149" t="s">
        <v>508</v>
      </c>
      <c r="H23" s="149" t="s">
        <v>531</v>
      </c>
      <c r="I23" s="149" t="s">
        <v>529</v>
      </c>
      <c r="J23" s="145" t="s">
        <v>530</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509</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510</v>
      </c>
      <c r="H25" s="149" t="s">
        <v>511</v>
      </c>
      <c r="I25" s="149" t="s">
        <v>512</v>
      </c>
      <c r="J25" s="145" t="s">
        <v>513</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514</v>
      </c>
      <c r="I26" s="149" t="s">
        <v>515</v>
      </c>
      <c r="J26" s="145" t="s">
        <v>318</v>
      </c>
    </row>
    <row r="27" spans="1:10" s="152" customFormat="1" ht="112">
      <c r="A27" s="149" t="s">
        <v>314</v>
      </c>
      <c r="B27" s="148">
        <f>B26+1</f>
        <v>17</v>
      </c>
      <c r="C27" s="149">
        <v>2001</v>
      </c>
      <c r="D27" s="149" t="s">
        <v>319</v>
      </c>
      <c r="E27" s="149" t="s">
        <v>320</v>
      </c>
      <c r="F27" s="149" t="s">
        <v>535</v>
      </c>
      <c r="G27" s="149" t="s">
        <v>321</v>
      </c>
      <c r="H27" s="149" t="s">
        <v>516</v>
      </c>
      <c r="I27" s="149" t="s">
        <v>517</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B1" activePane="topRight" state="frozen"/>
      <selection activeCell="A33" sqref="A33"/>
      <selection pane="topRight" activeCell="AM39" sqref="AM39"/>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704</v>
      </c>
    </row>
    <row r="3" spans="1:37">
      <c r="A3" s="272" t="s">
        <v>656</v>
      </c>
    </row>
    <row r="4" spans="1:37">
      <c r="A4" s="272" t="s">
        <v>591</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581</v>
      </c>
      <c r="AB11" s="319" t="s">
        <v>582</v>
      </c>
      <c r="AC11" s="319" t="s">
        <v>583</v>
      </c>
      <c r="AD11" s="319" t="s">
        <v>584</v>
      </c>
      <c r="AE11" s="319" t="s">
        <v>585</v>
      </c>
      <c r="AF11" s="319" t="s">
        <v>586</v>
      </c>
      <c r="AG11" s="319" t="s">
        <v>587</v>
      </c>
      <c r="AH11" s="319" t="s">
        <v>588</v>
      </c>
      <c r="AI11" s="319" t="s">
        <v>589</v>
      </c>
      <c r="AJ11" s="319" t="s">
        <v>590</v>
      </c>
      <c r="AK11" s="319" t="s">
        <v>593</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754</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719</v>
      </c>
      <c r="G36" s="499">
        <v>466.70600899999999</v>
      </c>
      <c r="H36" s="499">
        <v>394.832787</v>
      </c>
      <c r="I36" s="499">
        <v>454.68913199999997</v>
      </c>
      <c r="J36" s="499">
        <v>454.42544500000002</v>
      </c>
      <c r="K36" s="499">
        <v>444.23985299999998</v>
      </c>
      <c r="L36" s="499">
        <v>440.08721199999997</v>
      </c>
      <c r="M36" s="499">
        <v>447.35079200000001</v>
      </c>
      <c r="N36" s="499">
        <v>452.70209499999999</v>
      </c>
      <c r="O36" s="499">
        <v>456.67362200000002</v>
      </c>
      <c r="P36" s="499">
        <v>458.62900500000001</v>
      </c>
      <c r="Q36" s="499">
        <v>461.96567600000003</v>
      </c>
      <c r="R36" s="499">
        <v>463.53699499999999</v>
      </c>
      <c r="S36" s="499">
        <v>463.25244900000001</v>
      </c>
      <c r="T36" s="499">
        <v>465.26831899999996</v>
      </c>
      <c r="U36" s="499">
        <v>466.23992199999998</v>
      </c>
      <c r="V36" s="499">
        <v>466.077202</v>
      </c>
      <c r="W36" s="499">
        <v>466.37215400000002</v>
      </c>
      <c r="X36" s="499">
        <v>466.26424399999996</v>
      </c>
      <c r="Y36" s="499">
        <v>466.10289</v>
      </c>
      <c r="Z36" s="499">
        <v>463.98463500000003</v>
      </c>
      <c r="AA36" s="499">
        <v>462.46893399999999</v>
      </c>
      <c r="AB36" s="499">
        <v>461.67210399999999</v>
      </c>
      <c r="AC36" s="499">
        <v>461.26215300000001</v>
      </c>
      <c r="AD36" s="499">
        <v>461.032692</v>
      </c>
      <c r="AE36" s="499">
        <v>460.73717499999998</v>
      </c>
      <c r="AF36" s="499">
        <v>460.50507400000004</v>
      </c>
      <c r="AG36" s="499">
        <v>460.05059799999998</v>
      </c>
      <c r="AH36" s="499">
        <v>459.62494700000002</v>
      </c>
      <c r="AI36" s="499">
        <v>459.35051700000002</v>
      </c>
      <c r="AJ36" s="499">
        <v>459.04289999999997</v>
      </c>
      <c r="AK36" s="503">
        <v>0.03</v>
      </c>
      <c r="AL36" s="515" t="s">
        <v>68</v>
      </c>
      <c r="AM36" s="518">
        <v>1.6998468221726126E-2</v>
      </c>
    </row>
    <row r="37" spans="1:44" s="251" customFormat="1">
      <c r="A37" s="501" t="s">
        <v>720</v>
      </c>
      <c r="G37" s="499">
        <v>3.8765020000000003</v>
      </c>
      <c r="H37" s="499">
        <v>2.9012790000000002</v>
      </c>
      <c r="I37" s="499">
        <v>2.014859</v>
      </c>
      <c r="J37" s="499">
        <v>2.0150620000000004</v>
      </c>
      <c r="K37" s="499">
        <v>1.988092</v>
      </c>
      <c r="L37" s="499">
        <v>1.919505</v>
      </c>
      <c r="M37" s="499">
        <v>1.9605079999999999</v>
      </c>
      <c r="N37" s="499">
        <v>1.9991500000000002</v>
      </c>
      <c r="O37" s="499">
        <v>2.0217320000000001</v>
      </c>
      <c r="P37" s="499">
        <v>2.0314860000000001</v>
      </c>
      <c r="Q37" s="499">
        <v>2.0498069999999999</v>
      </c>
      <c r="R37" s="499">
        <v>2.0618590000000001</v>
      </c>
      <c r="S37" s="499">
        <v>2.065544</v>
      </c>
      <c r="T37" s="499">
        <v>2.0542639999999999</v>
      </c>
      <c r="U37" s="499">
        <v>2.0473330000000001</v>
      </c>
      <c r="V37" s="499">
        <v>2.0375070000000002</v>
      </c>
      <c r="W37" s="499">
        <v>2.0314540000000001</v>
      </c>
      <c r="X37" s="499">
        <v>2.0260889999999998</v>
      </c>
      <c r="Y37" s="499">
        <v>2.0263150000000003</v>
      </c>
      <c r="Z37" s="499">
        <v>2.0362960000000001</v>
      </c>
      <c r="AA37" s="499">
        <v>2.0238670000000001</v>
      </c>
      <c r="AB37" s="499">
        <v>2.0177739999999997</v>
      </c>
      <c r="AC37" s="499">
        <v>2.0179869999999998</v>
      </c>
      <c r="AD37" s="499">
        <v>2.0208620000000002</v>
      </c>
      <c r="AE37" s="499">
        <v>2.019288</v>
      </c>
      <c r="AF37" s="499">
        <v>2.0179169999999997</v>
      </c>
      <c r="AG37" s="499">
        <v>2.0172620000000001</v>
      </c>
      <c r="AH37" s="499">
        <v>2.0158770000000001</v>
      </c>
      <c r="AI37" s="499">
        <v>2.0174270000000001</v>
      </c>
      <c r="AJ37" s="499">
        <v>2.0156619999999998</v>
      </c>
      <c r="AK37" s="503">
        <v>-3.7999999999999999E-2</v>
      </c>
      <c r="AL37" s="516" t="s">
        <v>69</v>
      </c>
      <c r="AM37" s="518">
        <v>8.2399068039128845E-2</v>
      </c>
    </row>
    <row r="38" spans="1:44" s="251" customFormat="1">
      <c r="A38" s="501" t="s">
        <v>721</v>
      </c>
      <c r="G38" s="499">
        <v>98.161273999999992</v>
      </c>
      <c r="H38" s="499">
        <v>139.78989000000001</v>
      </c>
      <c r="I38" s="499">
        <v>113.537914</v>
      </c>
      <c r="J38" s="499">
        <v>109.16564200000001</v>
      </c>
      <c r="K38" s="499">
        <v>120.70819400000001</v>
      </c>
      <c r="L38" s="499">
        <v>138.556442</v>
      </c>
      <c r="M38" s="499">
        <v>142.39103699999998</v>
      </c>
      <c r="N38" s="499">
        <v>145.81868</v>
      </c>
      <c r="O38" s="499">
        <v>148.11148800000001</v>
      </c>
      <c r="P38" s="499">
        <v>149.363518</v>
      </c>
      <c r="Q38" s="499">
        <v>146.53295900000001</v>
      </c>
      <c r="R38" s="499">
        <v>148.57765900000001</v>
      </c>
      <c r="S38" s="499">
        <v>154.48199399999999</v>
      </c>
      <c r="T38" s="499">
        <v>153.76928700000002</v>
      </c>
      <c r="U38" s="499">
        <v>153.841148</v>
      </c>
      <c r="V38" s="499">
        <v>162.31950399999999</v>
      </c>
      <c r="W38" s="499">
        <v>165.188816</v>
      </c>
      <c r="X38" s="499">
        <v>164.15516600000001</v>
      </c>
      <c r="Y38" s="499">
        <v>166.37615599999998</v>
      </c>
      <c r="Z38" s="499">
        <v>164.94583900000001</v>
      </c>
      <c r="AA38" s="499">
        <v>174.33541099999999</v>
      </c>
      <c r="AB38" s="499">
        <v>182.836769</v>
      </c>
      <c r="AC38" s="499">
        <v>192.23580899999999</v>
      </c>
      <c r="AD38" s="499">
        <v>199.41075799999999</v>
      </c>
      <c r="AE38" s="499">
        <v>204.90593000000001</v>
      </c>
      <c r="AF38" s="499">
        <v>211.21431000000001</v>
      </c>
      <c r="AG38" s="499">
        <v>216.04297700000001</v>
      </c>
      <c r="AH38" s="499">
        <v>219.38606299999998</v>
      </c>
      <c r="AI38" s="499">
        <v>219.65581499999999</v>
      </c>
      <c r="AJ38" s="499">
        <v>221.488541</v>
      </c>
      <c r="AK38" s="503">
        <v>-4.0000000000000001E-3</v>
      </c>
      <c r="AL38" s="516" t="s">
        <v>76</v>
      </c>
      <c r="AM38" s="518">
        <v>0.25</v>
      </c>
    </row>
    <row r="39" spans="1:44" s="251" customFormat="1">
      <c r="A39" s="501" t="s">
        <v>722</v>
      </c>
      <c r="G39" s="499">
        <v>250.515007</v>
      </c>
      <c r="H39" s="499">
        <v>253.48099500000001</v>
      </c>
      <c r="I39" s="499">
        <v>244.28305799999998</v>
      </c>
      <c r="J39" s="499">
        <v>244.729378</v>
      </c>
      <c r="K39" s="499">
        <v>251.80423000000002</v>
      </c>
      <c r="L39" s="499">
        <v>254.32607999999999</v>
      </c>
      <c r="M39" s="499">
        <v>250.32450799999998</v>
      </c>
      <c r="N39" s="499">
        <v>242.270172</v>
      </c>
      <c r="O39" s="499">
        <v>234.157791</v>
      </c>
      <c r="P39" s="499">
        <v>229.315369</v>
      </c>
      <c r="Q39" s="499">
        <v>229.31537600000001</v>
      </c>
      <c r="R39" s="499">
        <v>229.315369</v>
      </c>
      <c r="S39" s="499">
        <v>229.315369</v>
      </c>
      <c r="T39" s="499">
        <v>229.31537600000001</v>
      </c>
      <c r="U39" s="499">
        <v>229.315369</v>
      </c>
      <c r="V39" s="499">
        <v>229.31537600000001</v>
      </c>
      <c r="W39" s="499">
        <v>229.315369</v>
      </c>
      <c r="X39" s="499">
        <v>229.315369</v>
      </c>
      <c r="Y39" s="499">
        <v>229.31537600000001</v>
      </c>
      <c r="Z39" s="499">
        <v>229.31537600000001</v>
      </c>
      <c r="AA39" s="499">
        <v>229.31537600000001</v>
      </c>
      <c r="AB39" s="499">
        <v>229.31537600000001</v>
      </c>
      <c r="AC39" s="499">
        <v>229.315369</v>
      </c>
      <c r="AD39" s="499">
        <v>229.315369</v>
      </c>
      <c r="AE39" s="499">
        <v>229.315369</v>
      </c>
      <c r="AF39" s="499">
        <v>229.315369</v>
      </c>
      <c r="AG39" s="499">
        <v>229.315369</v>
      </c>
      <c r="AH39" s="499">
        <v>229.315369</v>
      </c>
      <c r="AI39" s="499">
        <v>229.315369</v>
      </c>
      <c r="AJ39" s="499">
        <v>229.31537600000001</v>
      </c>
      <c r="AK39" s="503">
        <v>-5.0000000000000001E-3</v>
      </c>
      <c r="AL39" s="516" t="s">
        <v>741</v>
      </c>
      <c r="AM39" s="518">
        <v>3.625838407955944E-2</v>
      </c>
    </row>
    <row r="40" spans="1:44" s="251" customFormat="1">
      <c r="A40" s="501" t="s">
        <v>723</v>
      </c>
      <c r="G40" s="499">
        <v>1.1216539999999999</v>
      </c>
      <c r="H40" s="499">
        <v>1.1742729999999999</v>
      </c>
      <c r="I40" s="499">
        <v>1.2392019999999999</v>
      </c>
      <c r="J40" s="499">
        <v>1.2401960000000001</v>
      </c>
      <c r="K40" s="499">
        <v>1.242693</v>
      </c>
      <c r="L40" s="499">
        <v>1.247854</v>
      </c>
      <c r="M40" s="499">
        <v>1.2495350000000001</v>
      </c>
      <c r="N40" s="499">
        <v>1.252043</v>
      </c>
      <c r="O40" s="499">
        <v>1.2540789999999999</v>
      </c>
      <c r="P40" s="499">
        <v>1.2553160000000001</v>
      </c>
      <c r="Q40" s="499">
        <v>1.255671</v>
      </c>
      <c r="R40" s="499">
        <v>1.256305</v>
      </c>
      <c r="S40" s="499">
        <v>1.256305</v>
      </c>
      <c r="T40" s="499">
        <v>1.256305</v>
      </c>
      <c r="U40" s="499">
        <v>1.256839</v>
      </c>
      <c r="V40" s="499">
        <v>1.257479</v>
      </c>
      <c r="W40" s="499">
        <v>1.2576700000000001</v>
      </c>
      <c r="X40" s="499">
        <v>1.257825</v>
      </c>
      <c r="Y40" s="499">
        <v>1.258419</v>
      </c>
      <c r="Z40" s="499">
        <v>1.2586060000000001</v>
      </c>
      <c r="AA40" s="499">
        <v>1.2587470000000001</v>
      </c>
      <c r="AB40" s="499">
        <v>1.2594460000000001</v>
      </c>
      <c r="AC40" s="499">
        <v>1.2596080000000001</v>
      </c>
      <c r="AD40" s="499">
        <v>1.260238</v>
      </c>
      <c r="AE40" s="499">
        <v>1.2604759999999999</v>
      </c>
      <c r="AF40" s="499">
        <v>1.26065</v>
      </c>
      <c r="AG40" s="499">
        <v>1.2613179999999999</v>
      </c>
      <c r="AH40" s="499">
        <v>1.261584</v>
      </c>
      <c r="AI40" s="499">
        <v>1.2617670000000001</v>
      </c>
      <c r="AJ40" s="499">
        <v>1.2624420000000001</v>
      </c>
      <c r="AK40" s="503">
        <v>1E-3</v>
      </c>
      <c r="AL40" s="517" t="s">
        <v>225</v>
      </c>
      <c r="AM40" s="518">
        <v>0.12</v>
      </c>
    </row>
    <row r="41" spans="1:44" s="251" customFormat="1">
      <c r="A41" s="501" t="s">
        <v>724</v>
      </c>
      <c r="G41" s="499">
        <v>26.159147999999998</v>
      </c>
      <c r="H41" s="499">
        <v>26.527506000000002</v>
      </c>
      <c r="I41" s="499">
        <v>32.151673000000002</v>
      </c>
      <c r="J41" s="499">
        <v>33.079904999999997</v>
      </c>
      <c r="K41" s="499">
        <v>33.930774999999997</v>
      </c>
      <c r="L41" s="499">
        <v>34.862210000000005</v>
      </c>
      <c r="M41" s="499">
        <v>38.372319000000005</v>
      </c>
      <c r="N41" s="499">
        <v>41.74973</v>
      </c>
      <c r="O41" s="499">
        <v>41.744782999999998</v>
      </c>
      <c r="P41" s="499">
        <v>42.435341000000001</v>
      </c>
      <c r="Q41" s="499">
        <v>42.959477</v>
      </c>
      <c r="R41" s="499">
        <v>43.643675999999999</v>
      </c>
      <c r="S41" s="499">
        <v>46.549590999999999</v>
      </c>
      <c r="T41" s="499">
        <v>46.692823000000004</v>
      </c>
      <c r="U41" s="499">
        <v>48.034289000000001</v>
      </c>
      <c r="V41" s="499">
        <v>48.235068999999996</v>
      </c>
      <c r="W41" s="499">
        <v>48.209007</v>
      </c>
      <c r="X41" s="499">
        <v>48.586047999999998</v>
      </c>
      <c r="Y41" s="499">
        <v>48.785858000000005</v>
      </c>
      <c r="Z41" s="499">
        <v>50.721764999999998</v>
      </c>
      <c r="AA41" s="499">
        <v>52.061912</v>
      </c>
      <c r="AB41" s="499">
        <v>52.588653999999998</v>
      </c>
      <c r="AC41" s="499">
        <v>52.633077999999998</v>
      </c>
      <c r="AD41" s="499">
        <v>52.997431000000006</v>
      </c>
      <c r="AE41" s="499">
        <v>53.151576999999996</v>
      </c>
      <c r="AF41" s="499">
        <v>53.086759999999998</v>
      </c>
      <c r="AG41" s="499">
        <v>53.204861999999999</v>
      </c>
      <c r="AH41" s="499">
        <v>53.295262000000001</v>
      </c>
      <c r="AI41" s="499">
        <v>53.332768000000002</v>
      </c>
      <c r="AJ41" s="499">
        <v>53.496878000000002</v>
      </c>
      <c r="AK41" s="503">
        <v>2.1000000000000001E-2</v>
      </c>
      <c r="AL41" s="517" t="s">
        <v>378</v>
      </c>
      <c r="AM41" s="518">
        <v>6.8931851400020547E-2</v>
      </c>
    </row>
    <row r="42" spans="1:44" s="251" customFormat="1">
      <c r="A42" s="501" t="s">
        <v>725</v>
      </c>
      <c r="G42" s="499">
        <v>0</v>
      </c>
      <c r="H42" s="499">
        <v>0</v>
      </c>
      <c r="I42" s="499">
        <v>0</v>
      </c>
      <c r="J42" s="499">
        <v>0</v>
      </c>
      <c r="K42" s="499">
        <v>8.0227999999999994E-2</v>
      </c>
      <c r="L42" s="499">
        <v>9.2133000000000007E-2</v>
      </c>
      <c r="M42" s="499">
        <v>0.10668800000000001</v>
      </c>
      <c r="N42" s="499">
        <v>0.11908299999999999</v>
      </c>
      <c r="O42" s="499">
        <v>0.12914</v>
      </c>
      <c r="P42" s="499">
        <v>0.14005899999999999</v>
      </c>
      <c r="Q42" s="499">
        <v>0.15401400000000001</v>
      </c>
      <c r="R42" s="499">
        <v>0.170649</v>
      </c>
      <c r="S42" s="499">
        <v>0.18828700000000001</v>
      </c>
      <c r="T42" s="499">
        <v>0.20347299999999999</v>
      </c>
      <c r="U42" s="499">
        <v>0.217555</v>
      </c>
      <c r="V42" s="499">
        <v>0.233436</v>
      </c>
      <c r="W42" s="499">
        <v>0.24860399999999999</v>
      </c>
      <c r="X42" s="499">
        <v>0.26478000000000002</v>
      </c>
      <c r="Y42" s="499">
        <v>0.27862900000000002</v>
      </c>
      <c r="Z42" s="499">
        <v>0.29204999999999998</v>
      </c>
      <c r="AA42" s="499">
        <v>0.30543900000000002</v>
      </c>
      <c r="AB42" s="499">
        <v>0.32067699999999999</v>
      </c>
      <c r="AC42" s="499">
        <v>0.338337</v>
      </c>
      <c r="AD42" s="499">
        <v>0.35491099999999998</v>
      </c>
      <c r="AE42" s="499">
        <v>0.37067499999999998</v>
      </c>
      <c r="AF42" s="499">
        <v>0.38635999999999998</v>
      </c>
      <c r="AG42" s="499">
        <v>0.40147500000000003</v>
      </c>
      <c r="AH42" s="499">
        <v>0.41661700000000002</v>
      </c>
      <c r="AI42" s="499">
        <v>0.43158299999999999</v>
      </c>
      <c r="AJ42" s="499">
        <v>0.44530999999999998</v>
      </c>
      <c r="AK42" s="499" t="s">
        <v>41</v>
      </c>
      <c r="AL42" s="517" t="s">
        <v>742</v>
      </c>
      <c r="AM42" s="518">
        <v>0.28797089240202778</v>
      </c>
    </row>
    <row r="43" spans="1:44" s="251" customFormat="1">
      <c r="A43" s="502" t="s">
        <v>726</v>
      </c>
      <c r="G43" s="500">
        <v>846.53961200000003</v>
      </c>
      <c r="H43" s="500">
        <v>818.706726</v>
      </c>
      <c r="I43" s="500">
        <v>847.91586299999994</v>
      </c>
      <c r="J43" s="500">
        <v>844.65560900000003</v>
      </c>
      <c r="K43" s="500">
        <v>853.99410999999998</v>
      </c>
      <c r="L43" s="500">
        <v>871.09140100000002</v>
      </c>
      <c r="M43" s="500">
        <v>881.75540100000001</v>
      </c>
      <c r="N43" s="500">
        <v>885.91094999999996</v>
      </c>
      <c r="O43" s="500">
        <v>884.09268100000008</v>
      </c>
      <c r="P43" s="500">
        <v>883.170075</v>
      </c>
      <c r="Q43" s="500">
        <v>884.23303299999998</v>
      </c>
      <c r="R43" s="500">
        <v>888.56247000000008</v>
      </c>
      <c r="S43" s="500">
        <v>897.10949700000003</v>
      </c>
      <c r="T43" s="500">
        <v>898.559845</v>
      </c>
      <c r="U43" s="500">
        <v>900.95248400000003</v>
      </c>
      <c r="V43" s="500">
        <v>909.47561699999994</v>
      </c>
      <c r="W43" s="500">
        <v>912.62301600000001</v>
      </c>
      <c r="X43" s="500">
        <v>911.869507</v>
      </c>
      <c r="Y43" s="500">
        <v>914.14361600000007</v>
      </c>
      <c r="Z43" s="500">
        <v>912.55459599999995</v>
      </c>
      <c r="AA43" s="500">
        <v>921.76971500000002</v>
      </c>
      <c r="AB43" s="500">
        <v>930.01083399999993</v>
      </c>
      <c r="AC43" s="500">
        <v>939.06237800000008</v>
      </c>
      <c r="AD43" s="500">
        <v>946.39227300000005</v>
      </c>
      <c r="AE43" s="500">
        <v>951.76043700000002</v>
      </c>
      <c r="AF43" s="500">
        <v>957.78640700000005</v>
      </c>
      <c r="AG43" s="500">
        <v>962.29388399999993</v>
      </c>
      <c r="AH43" s="500">
        <v>965.31582600000002</v>
      </c>
      <c r="AI43" s="500">
        <v>965.36529599999994</v>
      </c>
      <c r="AJ43" s="500">
        <v>967.06710799999996</v>
      </c>
      <c r="AK43" s="504">
        <v>1E-3</v>
      </c>
      <c r="AL43" s="517" t="s">
        <v>743</v>
      </c>
      <c r="AM43" s="518">
        <v>0.26993376619056875</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8.9857780623703226E-2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581</v>
      </c>
      <c r="AB47" s="323" t="s">
        <v>582</v>
      </c>
      <c r="AC47" s="323" t="s">
        <v>583</v>
      </c>
      <c r="AD47" s="323" t="s">
        <v>584</v>
      </c>
      <c r="AE47" s="323" t="s">
        <v>585</v>
      </c>
      <c r="AF47" s="323" t="s">
        <v>586</v>
      </c>
      <c r="AG47" s="323" t="s">
        <v>587</v>
      </c>
      <c r="AH47" s="323" t="s">
        <v>588</v>
      </c>
      <c r="AI47" s="323" t="s">
        <v>589</v>
      </c>
      <c r="AJ47" s="323" t="s">
        <v>590</v>
      </c>
      <c r="AK47" s="323" t="s">
        <v>593</v>
      </c>
    </row>
    <row r="48" spans="1:44" s="255" customFormat="1">
      <c r="A48" s="254" t="s">
        <v>755</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751</v>
      </c>
      <c r="AN48" s="255">
        <v>2006</v>
      </c>
      <c r="AO48" s="255">
        <v>2007</v>
      </c>
      <c r="AP48" s="255">
        <v>2008</v>
      </c>
      <c r="AQ48" s="255">
        <v>2009</v>
      </c>
      <c r="AR48" s="255">
        <v>2010</v>
      </c>
    </row>
    <row r="49" spans="1:44" s="255" customFormat="1">
      <c r="A49" s="254" t="s">
        <v>68</v>
      </c>
      <c r="B49" s="505">
        <f>AN51</f>
        <v>10.862</v>
      </c>
      <c r="C49" s="505">
        <f t="shared" ref="C49:F49" si="0">AO51</f>
        <v>10.211</v>
      </c>
      <c r="D49" s="505">
        <f t="shared" si="0"/>
        <v>9.0280000000000005</v>
      </c>
      <c r="E49" s="505">
        <f t="shared" si="0"/>
        <v>5.0999999999999996</v>
      </c>
      <c r="F49" s="505">
        <f t="shared" si="0"/>
        <v>6.4180000000000001</v>
      </c>
      <c r="G49" s="484">
        <f t="shared" ref="G49:AJ49" si="1">G36*$AM36</f>
        <v>7.933287262875127</v>
      </c>
      <c r="H49" s="484">
        <f t="shared" si="1"/>
        <v>6.7115525827150604</v>
      </c>
      <c r="I49" s="484">
        <f t="shared" si="1"/>
        <v>7.7290187610662358</v>
      </c>
      <c r="J49" s="484">
        <f t="shared" si="1"/>
        <v>7.7245364859762544</v>
      </c>
      <c r="K49" s="484">
        <f t="shared" si="1"/>
        <v>7.5513970240447854</v>
      </c>
      <c r="L49" s="484">
        <f t="shared" si="1"/>
        <v>7.480808487970048</v>
      </c>
      <c r="M49" s="484">
        <f t="shared" si="1"/>
        <v>7.6042782217760143</v>
      </c>
      <c r="N49" s="484">
        <f t="shared" si="1"/>
        <v>7.6952421757663414</v>
      </c>
      <c r="O49" s="484">
        <f t="shared" si="1"/>
        <v>7.7627520512675696</v>
      </c>
      <c r="P49" s="484">
        <f t="shared" si="1"/>
        <v>7.795990567054373</v>
      </c>
      <c r="Q49" s="484">
        <f t="shared" si="1"/>
        <v>7.8527088630142279</v>
      </c>
      <c r="R49" s="484">
        <f t="shared" si="1"/>
        <v>7.8794188791019222</v>
      </c>
      <c r="S49" s="484">
        <f t="shared" si="1"/>
        <v>7.8745820329633034</v>
      </c>
      <c r="T49" s="484">
        <f t="shared" si="1"/>
        <v>7.9088487350974335</v>
      </c>
      <c r="U49" s="484">
        <f t="shared" si="1"/>
        <v>7.9253644978170676</v>
      </c>
      <c r="V49" s="484">
        <f t="shared" si="1"/>
        <v>7.9225985070680283</v>
      </c>
      <c r="W49" s="484">
        <f t="shared" si="1"/>
        <v>7.9276122392669635</v>
      </c>
      <c r="X49" s="484">
        <f t="shared" si="1"/>
        <v>7.9257779345611556</v>
      </c>
      <c r="Y49" s="484">
        <f t="shared" si="1"/>
        <v>7.9230351637197085</v>
      </c>
      <c r="Z49" s="484">
        <f t="shared" si="1"/>
        <v>7.8870280734166958</v>
      </c>
      <c r="AA49" s="484">
        <f t="shared" si="1"/>
        <v>7.8612634781345569</v>
      </c>
      <c r="AB49" s="484">
        <f t="shared" si="1"/>
        <v>7.8477185887014391</v>
      </c>
      <c r="AC49" s="484">
        <f t="shared" si="1"/>
        <v>7.8407500496554743</v>
      </c>
      <c r="AD49" s="484">
        <f t="shared" si="1"/>
        <v>7.8368495641388485</v>
      </c>
      <c r="AE49" s="484">
        <f t="shared" si="1"/>
        <v>7.8318262278053687</v>
      </c>
      <c r="AF49" s="484">
        <f t="shared" si="1"/>
        <v>7.8278808663326389</v>
      </c>
      <c r="AG49" s="484">
        <f t="shared" si="1"/>
        <v>7.8201554704891008</v>
      </c>
      <c r="AH49" s="484">
        <f t="shared" si="1"/>
        <v>7.8129200554920555</v>
      </c>
      <c r="AI49" s="484">
        <f t="shared" si="1"/>
        <v>7.8082551658579673</v>
      </c>
      <c r="AJ49" s="484">
        <f t="shared" si="1"/>
        <v>7.8030261480590033</v>
      </c>
      <c r="AK49"/>
    </row>
    <row r="50" spans="1:44" s="255" customFormat="1">
      <c r="A50" s="254" t="s">
        <v>69</v>
      </c>
      <c r="B50" s="505">
        <f t="shared" ref="B50:B51" si="2">AN52</f>
        <v>0.27</v>
      </c>
      <c r="C50" s="505">
        <f t="shared" ref="C50:C51" si="3">AO52</f>
        <v>0.45300000000000001</v>
      </c>
      <c r="D50" s="505">
        <f t="shared" ref="D50:D51" si="4">AP52</f>
        <v>0.32500000000000001</v>
      </c>
      <c r="E50" s="505">
        <f t="shared" ref="E50:E51" si="5">AQ52</f>
        <v>0.27800000000000002</v>
      </c>
      <c r="F50" s="505">
        <f t="shared" ref="F50:F51" si="6">AR52</f>
        <v>0.23499999999999999</v>
      </c>
      <c r="G50" s="484">
        <f t="shared" ref="G50:AJ50" si="7">G37*$AM37</f>
        <v>0.31942015205181906</v>
      </c>
      <c r="H50" s="484">
        <f t="shared" si="7"/>
        <v>0.23906268572149572</v>
      </c>
      <c r="I50" s="484">
        <f t="shared" si="7"/>
        <v>0.16602250383025111</v>
      </c>
      <c r="J50" s="484">
        <f t="shared" si="7"/>
        <v>0.16603923084106309</v>
      </c>
      <c r="K50" s="484">
        <f t="shared" si="7"/>
        <v>0.16381692797604774</v>
      </c>
      <c r="L50" s="484">
        <f t="shared" si="7"/>
        <v>0.15816542309644802</v>
      </c>
      <c r="M50" s="484">
        <f t="shared" si="7"/>
        <v>0.16154403208325641</v>
      </c>
      <c r="N50" s="484">
        <f t="shared" si="7"/>
        <v>0.16472809687042445</v>
      </c>
      <c r="O50" s="484">
        <f t="shared" si="7"/>
        <v>0.16658883262488405</v>
      </c>
      <c r="P50" s="484">
        <f t="shared" si="7"/>
        <v>0.16739255313453771</v>
      </c>
      <c r="Q50" s="484">
        <f t="shared" si="7"/>
        <v>0.16890218646008257</v>
      </c>
      <c r="R50" s="484">
        <f t="shared" si="7"/>
        <v>0.16989526002809016</v>
      </c>
      <c r="S50" s="484">
        <f t="shared" si="7"/>
        <v>0.17019890059381435</v>
      </c>
      <c r="T50" s="484">
        <f t="shared" si="7"/>
        <v>0.16926943910633296</v>
      </c>
      <c r="U50" s="484">
        <f t="shared" si="7"/>
        <v>0.16869833116575378</v>
      </c>
      <c r="V50" s="484">
        <f t="shared" si="7"/>
        <v>0.16788867792320131</v>
      </c>
      <c r="W50" s="484">
        <f t="shared" si="7"/>
        <v>0.16738991636436046</v>
      </c>
      <c r="X50" s="484">
        <f t="shared" si="7"/>
        <v>0.16694784536433049</v>
      </c>
      <c r="Y50" s="484">
        <f t="shared" si="7"/>
        <v>0.16696646755370739</v>
      </c>
      <c r="Z50" s="484">
        <f t="shared" si="7"/>
        <v>0.16778889265180591</v>
      </c>
      <c r="AA50" s="484">
        <f t="shared" si="7"/>
        <v>0.16676475463514759</v>
      </c>
      <c r="AB50" s="484">
        <f t="shared" si="7"/>
        <v>0.16626269711358516</v>
      </c>
      <c r="AC50" s="484">
        <f t="shared" si="7"/>
        <v>0.16628024811507747</v>
      </c>
      <c r="AD50" s="484">
        <f t="shared" si="7"/>
        <v>0.16651714543569002</v>
      </c>
      <c r="AE50" s="484">
        <f t="shared" si="7"/>
        <v>0.16638744930259641</v>
      </c>
      <c r="AF50" s="484">
        <f t="shared" si="7"/>
        <v>0.16627448018031474</v>
      </c>
      <c r="AG50" s="484">
        <f t="shared" si="7"/>
        <v>0.16622050879074915</v>
      </c>
      <c r="AH50" s="484">
        <f t="shared" si="7"/>
        <v>0.16610638608151496</v>
      </c>
      <c r="AI50" s="484">
        <f t="shared" si="7"/>
        <v>0.1662341046369756</v>
      </c>
      <c r="AJ50" s="484">
        <f t="shared" si="7"/>
        <v>0.16608867028188651</v>
      </c>
      <c r="AK50"/>
      <c r="AM50" s="255" t="s">
        <v>748</v>
      </c>
      <c r="AN50" s="255">
        <v>26.91</v>
      </c>
      <c r="AO50" s="255">
        <v>29.576000000000001</v>
      </c>
      <c r="AP50" s="255">
        <v>30.263999999999999</v>
      </c>
      <c r="AQ50" s="255">
        <v>26.172999999999998</v>
      </c>
      <c r="AR50" s="255">
        <v>31.661999999999999</v>
      </c>
    </row>
    <row r="51" spans="1:44" s="255" customFormat="1">
      <c r="A51" s="254" t="s">
        <v>76</v>
      </c>
      <c r="B51" s="505">
        <f t="shared" si="2"/>
        <v>15.667999999999999</v>
      </c>
      <c r="C51" s="505">
        <f t="shared" si="3"/>
        <v>18.751999999999999</v>
      </c>
      <c r="D51" s="505">
        <f t="shared" si="4"/>
        <v>20.751999999999999</v>
      </c>
      <c r="E51" s="505">
        <f t="shared" si="5"/>
        <v>20.625</v>
      </c>
      <c r="F51" s="505">
        <f t="shared" si="6"/>
        <v>24.902000000000001</v>
      </c>
      <c r="G51" s="484">
        <f t="shared" ref="G51:AJ51" si="8">G38*$AM38</f>
        <v>24.540318499999998</v>
      </c>
      <c r="H51" s="484">
        <f t="shared" si="8"/>
        <v>34.947472500000003</v>
      </c>
      <c r="I51" s="484">
        <f t="shared" si="8"/>
        <v>28.3844785</v>
      </c>
      <c r="J51" s="484">
        <f t="shared" si="8"/>
        <v>27.291410500000001</v>
      </c>
      <c r="K51" s="484">
        <f t="shared" si="8"/>
        <v>30.177048500000001</v>
      </c>
      <c r="L51" s="484">
        <f t="shared" si="8"/>
        <v>34.639110500000001</v>
      </c>
      <c r="M51" s="484">
        <f t="shared" si="8"/>
        <v>35.597759249999996</v>
      </c>
      <c r="N51" s="484">
        <f t="shared" si="8"/>
        <v>36.45467</v>
      </c>
      <c r="O51" s="484">
        <f t="shared" si="8"/>
        <v>37.027872000000002</v>
      </c>
      <c r="P51" s="484">
        <f t="shared" si="8"/>
        <v>37.3408795</v>
      </c>
      <c r="Q51" s="484">
        <f t="shared" si="8"/>
        <v>36.633239750000001</v>
      </c>
      <c r="R51" s="484">
        <f t="shared" si="8"/>
        <v>37.144414750000003</v>
      </c>
      <c r="S51" s="484">
        <f t="shared" si="8"/>
        <v>38.620498499999997</v>
      </c>
      <c r="T51" s="484">
        <f t="shared" si="8"/>
        <v>38.442321750000005</v>
      </c>
      <c r="U51" s="484">
        <f t="shared" si="8"/>
        <v>38.460287000000001</v>
      </c>
      <c r="V51" s="484">
        <f t="shared" si="8"/>
        <v>40.579875999999999</v>
      </c>
      <c r="W51" s="484">
        <f t="shared" si="8"/>
        <v>41.297204000000001</v>
      </c>
      <c r="X51" s="484">
        <f t="shared" si="8"/>
        <v>41.038791500000002</v>
      </c>
      <c r="Y51" s="484">
        <f t="shared" si="8"/>
        <v>41.594038999999995</v>
      </c>
      <c r="Z51" s="484">
        <f t="shared" si="8"/>
        <v>41.236459750000002</v>
      </c>
      <c r="AA51" s="484">
        <f t="shared" si="8"/>
        <v>43.583852749999998</v>
      </c>
      <c r="AB51" s="484">
        <f t="shared" si="8"/>
        <v>45.709192250000001</v>
      </c>
      <c r="AC51" s="484">
        <f t="shared" si="8"/>
        <v>48.058952249999997</v>
      </c>
      <c r="AD51" s="484">
        <f t="shared" si="8"/>
        <v>49.852689499999997</v>
      </c>
      <c r="AE51" s="484">
        <f t="shared" si="8"/>
        <v>51.226482500000003</v>
      </c>
      <c r="AF51" s="484">
        <f t="shared" si="8"/>
        <v>52.803577500000003</v>
      </c>
      <c r="AG51" s="484">
        <f t="shared" si="8"/>
        <v>54.010744250000002</v>
      </c>
      <c r="AH51" s="484">
        <f t="shared" si="8"/>
        <v>54.846515749999995</v>
      </c>
      <c r="AI51" s="484">
        <f t="shared" si="8"/>
        <v>54.913953749999997</v>
      </c>
      <c r="AJ51" s="484">
        <f t="shared" si="8"/>
        <v>55.372135249999999</v>
      </c>
      <c r="AK51"/>
      <c r="AM51" s="255" t="s">
        <v>68</v>
      </c>
      <c r="AN51" s="255">
        <v>10.862</v>
      </c>
      <c r="AO51" s="255">
        <v>10.211</v>
      </c>
      <c r="AP51" s="255">
        <v>9.0280000000000005</v>
      </c>
      <c r="AQ51" s="255">
        <v>5.0999999999999996</v>
      </c>
      <c r="AR51" s="255">
        <v>6.4180000000000001</v>
      </c>
    </row>
    <row r="52" spans="1:44" s="255" customFormat="1">
      <c r="A52" s="254" t="s">
        <v>71</v>
      </c>
      <c r="B52" s="506">
        <f>AN55</f>
        <v>32.567999999999998</v>
      </c>
      <c r="C52" s="506">
        <f t="shared" ref="C52:F52" si="9">AO55</f>
        <v>32.01</v>
      </c>
      <c r="D52" s="506">
        <f t="shared" si="9"/>
        <v>32.195</v>
      </c>
      <c r="E52" s="506">
        <f t="shared" si="9"/>
        <v>34.328000000000003</v>
      </c>
      <c r="F52" s="506">
        <f t="shared" si="9"/>
        <v>32.771000000000001</v>
      </c>
      <c r="G52" s="484">
        <f>G39*$AM40</f>
        <v>30.06180084</v>
      </c>
      <c r="H52" s="484">
        <f t="shared" ref="H52:AJ52" si="10">H39*$AM40</f>
        <v>30.417719399999999</v>
      </c>
      <c r="I52" s="484">
        <f t="shared" si="10"/>
        <v>29.313966959999998</v>
      </c>
      <c r="J52" s="484">
        <f t="shared" si="10"/>
        <v>29.367525359999998</v>
      </c>
      <c r="K52" s="484">
        <f t="shared" si="10"/>
        <v>30.2165076</v>
      </c>
      <c r="L52" s="484">
        <f t="shared" si="10"/>
        <v>30.519129599999999</v>
      </c>
      <c r="M52" s="484">
        <f t="shared" si="10"/>
        <v>30.038940959999998</v>
      </c>
      <c r="N52" s="484">
        <f t="shared" si="10"/>
        <v>29.072420640000001</v>
      </c>
      <c r="O52" s="484">
        <f t="shared" si="10"/>
        <v>28.098934919999998</v>
      </c>
      <c r="P52" s="484">
        <f t="shared" si="10"/>
        <v>27.517844279999998</v>
      </c>
      <c r="Q52" s="484">
        <f t="shared" si="10"/>
        <v>27.51784512</v>
      </c>
      <c r="R52" s="484">
        <f t="shared" si="10"/>
        <v>27.517844279999998</v>
      </c>
      <c r="S52" s="484">
        <f t="shared" si="10"/>
        <v>27.517844279999998</v>
      </c>
      <c r="T52" s="484">
        <f t="shared" si="10"/>
        <v>27.51784512</v>
      </c>
      <c r="U52" s="484">
        <f t="shared" si="10"/>
        <v>27.517844279999998</v>
      </c>
      <c r="V52" s="484">
        <f t="shared" si="10"/>
        <v>27.51784512</v>
      </c>
      <c r="W52" s="484">
        <f t="shared" si="10"/>
        <v>27.517844279999998</v>
      </c>
      <c r="X52" s="484">
        <f t="shared" si="10"/>
        <v>27.517844279999998</v>
      </c>
      <c r="Y52" s="484">
        <f t="shared" si="10"/>
        <v>27.51784512</v>
      </c>
      <c r="Z52" s="484">
        <f t="shared" si="10"/>
        <v>27.51784512</v>
      </c>
      <c r="AA52" s="484">
        <f t="shared" si="10"/>
        <v>27.51784512</v>
      </c>
      <c r="AB52" s="484">
        <f t="shared" si="10"/>
        <v>27.51784512</v>
      </c>
      <c r="AC52" s="484">
        <f t="shared" si="10"/>
        <v>27.517844279999998</v>
      </c>
      <c r="AD52" s="484">
        <f t="shared" si="10"/>
        <v>27.517844279999998</v>
      </c>
      <c r="AE52" s="484">
        <f t="shared" si="10"/>
        <v>27.517844279999998</v>
      </c>
      <c r="AF52" s="484">
        <f t="shared" si="10"/>
        <v>27.517844279999998</v>
      </c>
      <c r="AG52" s="484">
        <f t="shared" si="10"/>
        <v>27.517844279999998</v>
      </c>
      <c r="AH52" s="484">
        <f t="shared" si="10"/>
        <v>27.517844279999998</v>
      </c>
      <c r="AI52" s="484">
        <f t="shared" si="10"/>
        <v>27.517844279999998</v>
      </c>
      <c r="AJ52" s="484">
        <f t="shared" si="10"/>
        <v>27.51784512</v>
      </c>
      <c r="AK52"/>
      <c r="AM52" s="255" t="s">
        <v>69</v>
      </c>
      <c r="AN52" s="255">
        <v>0.27</v>
      </c>
      <c r="AO52" s="255">
        <v>0.45300000000000001</v>
      </c>
      <c r="AP52" s="255">
        <v>0.32500000000000001</v>
      </c>
      <c r="AQ52" s="255">
        <v>0.27800000000000002</v>
      </c>
      <c r="AR52" s="255">
        <v>0.23499999999999999</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15.667999999999999</v>
      </c>
      <c r="AO53" s="255">
        <v>18.751999999999999</v>
      </c>
      <c r="AP53" s="255">
        <v>20.751999999999999</v>
      </c>
      <c r="AQ53" s="255">
        <v>20.625</v>
      </c>
      <c r="AR53" s="255">
        <v>24.902000000000001</v>
      </c>
    </row>
    <row r="54" spans="1:44" s="255" customFormat="1">
      <c r="A54" s="254" t="s">
        <v>627</v>
      </c>
      <c r="B54" s="506">
        <f>AN56</f>
        <v>0.95199999999999996</v>
      </c>
      <c r="C54" s="506">
        <f t="shared" ref="C54:F54" si="11">AO56</f>
        <v>0.86399999999999999</v>
      </c>
      <c r="D54" s="506">
        <f t="shared" si="11"/>
        <v>0.93100000000000005</v>
      </c>
      <c r="E54" s="506">
        <f t="shared" si="11"/>
        <v>0.99199999999999999</v>
      </c>
      <c r="F54" s="506">
        <f t="shared" si="11"/>
        <v>0.86799999999999999</v>
      </c>
      <c r="G54" s="484">
        <f>EIA_RE_aeo2014!G79</f>
        <v>1.8406371913320347</v>
      </c>
      <c r="H54" s="484">
        <f>EIA_RE_aeo2014!H79</f>
        <v>2.4202988536941525</v>
      </c>
      <c r="I54" s="484">
        <f>EIA_RE_aeo2014!I79</f>
        <v>3.1279598747650788</v>
      </c>
      <c r="J54" s="484">
        <f>EIA_RE_aeo2014!J79</f>
        <v>3.4954808445775769</v>
      </c>
      <c r="K54" s="484">
        <f>EIA_RE_aeo2014!K79</f>
        <v>3.851060291203396</v>
      </c>
      <c r="L54" s="484">
        <f>EIA_RE_aeo2014!L79</f>
        <v>4.1967450156453072</v>
      </c>
      <c r="M54" s="484">
        <f>EIA_RE_aeo2014!M79</f>
        <v>4.217450256576468</v>
      </c>
      <c r="N54" s="484">
        <f>EIA_RE_aeo2014!N79</f>
        <v>4.243322146362372</v>
      </c>
      <c r="O54" s="484">
        <f>EIA_RE_aeo2014!O79</f>
        <v>4.2813429161994492</v>
      </c>
      <c r="P54" s="484">
        <f>EIA_RE_aeo2014!P79</f>
        <v>4.3424170165126377</v>
      </c>
      <c r="Q54" s="484">
        <f>EIA_RE_aeo2014!Q79</f>
        <v>4.4135997899859349</v>
      </c>
      <c r="R54" s="484">
        <f>EIA_RE_aeo2014!R79</f>
        <v>4.4899559822927637</v>
      </c>
      <c r="S54" s="484">
        <f>EIA_RE_aeo2014!S79</f>
        <v>4.5764420443547911</v>
      </c>
      <c r="T54" s="484">
        <f>EIA_RE_aeo2014!T79</f>
        <v>4.6863125946105324</v>
      </c>
      <c r="U54" s="484">
        <f>EIA_RE_aeo2014!U79</f>
        <v>4.794799232554448</v>
      </c>
      <c r="V54" s="484">
        <f>EIA_RE_aeo2014!V79</f>
        <v>4.9073440467718301</v>
      </c>
      <c r="W54" s="484">
        <f>EIA_RE_aeo2014!W79</f>
        <v>5.027801992264834</v>
      </c>
      <c r="X54" s="484">
        <f>EIA_RE_aeo2014!X79</f>
        <v>5.1536657415735148</v>
      </c>
      <c r="Y54" s="484">
        <f>EIA_RE_aeo2014!Y79</f>
        <v>5.2848674357338279</v>
      </c>
      <c r="Z54" s="484">
        <f>EIA_RE_aeo2014!Z79</f>
        <v>5.4283943091474525</v>
      </c>
      <c r="AA54" s="484">
        <f>EIA_RE_aeo2014!AA79</f>
        <v>5.5751717594864845</v>
      </c>
      <c r="AB54" s="484">
        <f>EIA_RE_aeo2014!AB79</f>
        <v>5.7216187973374186</v>
      </c>
      <c r="AC54" s="484">
        <f>EIA_RE_aeo2014!AC79</f>
        <v>5.8703549118364462</v>
      </c>
      <c r="AD54" s="484">
        <f>EIA_RE_aeo2014!AD79</f>
        <v>6.0679047206615202</v>
      </c>
      <c r="AE54" s="484">
        <f>EIA_RE_aeo2014!AE79</f>
        <v>6.2372807982852381</v>
      </c>
      <c r="AF54" s="484">
        <f>EIA_RE_aeo2014!AF79</f>
        <v>6.4111709883280206</v>
      </c>
      <c r="AG54" s="484">
        <f>EIA_RE_aeo2014!AG79</f>
        <v>6.5903051719018633</v>
      </c>
      <c r="AH54" s="484">
        <f>EIA_RE_aeo2014!AH79</f>
        <v>6.7722488910739456</v>
      </c>
      <c r="AI54" s="484">
        <f>EIA_RE_aeo2014!AI79</f>
        <v>6.9595459669893867</v>
      </c>
      <c r="AJ54" s="484">
        <f>EIA_RE_aeo2014!AJ79</f>
        <v>7.1548601649036829</v>
      </c>
      <c r="AK54"/>
      <c r="AM54" s="255" t="s">
        <v>749</v>
      </c>
      <c r="AN54" s="255">
        <v>0.11</v>
      </c>
      <c r="AO54" s="255">
        <v>0.161</v>
      </c>
      <c r="AP54" s="255">
        <v>0.159</v>
      </c>
      <c r="AQ54" s="255">
        <v>0.17</v>
      </c>
      <c r="AR54" s="255">
        <v>0.106</v>
      </c>
    </row>
    <row r="55" spans="1:44" s="255" customFormat="1">
      <c r="A55" s="254" t="s">
        <v>628</v>
      </c>
      <c r="B55" s="506">
        <f>AN58</f>
        <v>0.56899999999999995</v>
      </c>
      <c r="C55" s="506">
        <f t="shared" ref="C55:F55" si="12">AO58</f>
        <v>0.48899999999999999</v>
      </c>
      <c r="D55" s="506">
        <f t="shared" si="12"/>
        <v>0.55900000000000005</v>
      </c>
      <c r="E55" s="506">
        <f t="shared" si="12"/>
        <v>0.52</v>
      </c>
      <c r="F55" s="506">
        <f t="shared" si="12"/>
        <v>0.57499999999999996</v>
      </c>
      <c r="G55" s="484">
        <f>G40*$AM43</f>
        <v>0.30277228858271615</v>
      </c>
      <c r="H55" s="484">
        <f t="shared" ref="H55:AJ55" si="13">H40*$AM43</f>
        <v>0.31697593342589769</v>
      </c>
      <c r="I55" s="484">
        <f t="shared" si="13"/>
        <v>0.33450246293088515</v>
      </c>
      <c r="J55" s="484">
        <f t="shared" si="13"/>
        <v>0.33477077709447861</v>
      </c>
      <c r="K55" s="484">
        <f t="shared" si="13"/>
        <v>0.33544480170865648</v>
      </c>
      <c r="L55" s="484">
        <f t="shared" si="13"/>
        <v>0.336837929875966</v>
      </c>
      <c r="M55" s="484">
        <f t="shared" si="13"/>
        <v>0.33729168853693231</v>
      </c>
      <c r="N55" s="484">
        <f t="shared" si="13"/>
        <v>0.33796868242253825</v>
      </c>
      <c r="O55" s="484">
        <f t="shared" si="13"/>
        <v>0.33851826757050224</v>
      </c>
      <c r="P55" s="484">
        <f t="shared" si="13"/>
        <v>0.33885217563928005</v>
      </c>
      <c r="Q55" s="484">
        <f t="shared" si="13"/>
        <v>0.33894800212627763</v>
      </c>
      <c r="R55" s="484">
        <f t="shared" si="13"/>
        <v>0.33911914013404248</v>
      </c>
      <c r="S55" s="484">
        <f t="shared" si="13"/>
        <v>0.33911914013404248</v>
      </c>
      <c r="T55" s="484">
        <f t="shared" si="13"/>
        <v>0.33911914013404248</v>
      </c>
      <c r="U55" s="484">
        <f t="shared" si="13"/>
        <v>0.33926328476518824</v>
      </c>
      <c r="V55" s="484">
        <f t="shared" si="13"/>
        <v>0.3394360423755502</v>
      </c>
      <c r="W55" s="484">
        <f t="shared" si="13"/>
        <v>0.33948759972489262</v>
      </c>
      <c r="X55" s="484">
        <f t="shared" si="13"/>
        <v>0.3395294394586521</v>
      </c>
      <c r="Y55" s="484">
        <f t="shared" si="13"/>
        <v>0.33968978011576934</v>
      </c>
      <c r="Z55" s="484">
        <f t="shared" si="13"/>
        <v>0.33974025773004701</v>
      </c>
      <c r="AA55" s="484">
        <f t="shared" si="13"/>
        <v>0.33977831839107986</v>
      </c>
      <c r="AB55" s="484">
        <f t="shared" si="13"/>
        <v>0.33996700209364705</v>
      </c>
      <c r="AC55" s="484">
        <f t="shared" si="13"/>
        <v>0.34001073136376991</v>
      </c>
      <c r="AD55" s="484">
        <f t="shared" si="13"/>
        <v>0.34018078963646997</v>
      </c>
      <c r="AE55" s="484">
        <f t="shared" si="13"/>
        <v>0.34024503387282329</v>
      </c>
      <c r="AF55" s="484">
        <f t="shared" si="13"/>
        <v>0.3402920023481405</v>
      </c>
      <c r="AG55" s="484">
        <f t="shared" si="13"/>
        <v>0.34047231810395578</v>
      </c>
      <c r="AH55" s="484">
        <f t="shared" si="13"/>
        <v>0.34054412048576249</v>
      </c>
      <c r="AI55" s="484">
        <f t="shared" si="13"/>
        <v>0.34059351836497537</v>
      </c>
      <c r="AJ55" s="484">
        <f t="shared" si="13"/>
        <v>0.34077572365715403</v>
      </c>
      <c r="AK55"/>
      <c r="AM55" s="255" t="s">
        <v>225</v>
      </c>
      <c r="AN55" s="255">
        <v>32.567999999999998</v>
      </c>
      <c r="AO55" s="255">
        <v>32.01</v>
      </c>
      <c r="AP55" s="255">
        <v>32.195</v>
      </c>
      <c r="AQ55" s="255">
        <v>34.328000000000003</v>
      </c>
      <c r="AR55" s="255">
        <v>32.771000000000001</v>
      </c>
    </row>
    <row r="56" spans="1:44" s="255" customFormat="1">
      <c r="A56" s="254" t="s">
        <v>82</v>
      </c>
      <c r="B56" s="506">
        <f>AN59</f>
        <v>60.7</v>
      </c>
      <c r="C56" s="506">
        <f t="shared" ref="C56" si="14">AO59</f>
        <v>62.670999999999999</v>
      </c>
      <c r="D56" s="506">
        <f t="shared" ref="D56" si="15">AP59</f>
        <v>63.674999999999997</v>
      </c>
      <c r="E56" s="506">
        <f t="shared" ref="E56" si="16">AQ59</f>
        <v>61.811</v>
      </c>
      <c r="F56" s="506">
        <f t="shared" ref="F56" si="17">AR59</f>
        <v>65.682000000000002</v>
      </c>
      <c r="G56" s="536">
        <f>G58</f>
        <v>64.998236234841698</v>
      </c>
      <c r="H56" s="536">
        <f t="shared" ref="H56:AJ56" si="18">H58</f>
        <v>75.053081955556607</v>
      </c>
      <c r="I56" s="536">
        <f t="shared" si="18"/>
        <v>69.055949062592447</v>
      </c>
      <c r="J56" s="536">
        <f t="shared" si="18"/>
        <v>68.379763198489371</v>
      </c>
      <c r="K56" s="536">
        <f t="shared" si="18"/>
        <v>72.295275144932901</v>
      </c>
      <c r="L56" s="536">
        <f t="shared" si="18"/>
        <v>77.330796956587776</v>
      </c>
      <c r="M56" s="536">
        <f t="shared" si="18"/>
        <v>77.957264408972677</v>
      </c>
      <c r="N56" s="536">
        <f t="shared" si="18"/>
        <v>77.968351741421685</v>
      </c>
      <c r="O56" s="536">
        <f t="shared" si="18"/>
        <v>77.676008987662414</v>
      </c>
      <c r="P56" s="536">
        <f t="shared" si="18"/>
        <v>77.503376092340829</v>
      </c>
      <c r="Q56" s="536">
        <f t="shared" si="18"/>
        <v>76.925243711586518</v>
      </c>
      <c r="R56" s="536">
        <f t="shared" si="18"/>
        <v>77.540648291556835</v>
      </c>
      <c r="S56" s="536">
        <f t="shared" si="18"/>
        <v>79.098684898045946</v>
      </c>
      <c r="T56" s="536">
        <f t="shared" si="18"/>
        <v>79.063716778948347</v>
      </c>
      <c r="U56" s="536">
        <f t="shared" si="18"/>
        <v>79.206256626302462</v>
      </c>
      <c r="V56" s="536">
        <f t="shared" si="18"/>
        <v>81.434988394138614</v>
      </c>
      <c r="W56" s="536">
        <f t="shared" si="18"/>
        <v>82.277340027621051</v>
      </c>
      <c r="X56" s="536">
        <f t="shared" si="18"/>
        <v>82.142556740957673</v>
      </c>
      <c r="Y56" s="536">
        <f t="shared" si="18"/>
        <v>82.826442967123015</v>
      </c>
      <c r="Z56" s="536">
        <f t="shared" si="18"/>
        <v>82.577256402945991</v>
      </c>
      <c r="AA56" s="536">
        <f t="shared" si="18"/>
        <v>85.044676180647272</v>
      </c>
      <c r="AB56" s="536">
        <f t="shared" si="18"/>
        <v>87.302604455246083</v>
      </c>
      <c r="AC56" s="536">
        <f t="shared" si="18"/>
        <v>89.794192470970756</v>
      </c>
      <c r="AD56" s="536">
        <f t="shared" si="18"/>
        <v>91.781985999872518</v>
      </c>
      <c r="AE56" s="536">
        <f t="shared" si="18"/>
        <v>93.320066289266023</v>
      </c>
      <c r="AF56" s="536">
        <f t="shared" si="18"/>
        <v>95.067040117189109</v>
      </c>
      <c r="AG56" s="536">
        <f t="shared" si="18"/>
        <v>96.445741999285673</v>
      </c>
      <c r="AH56" s="536">
        <f t="shared" si="18"/>
        <v>97.456179483133269</v>
      </c>
      <c r="AI56" s="536">
        <f t="shared" si="18"/>
        <v>97.706426785849288</v>
      </c>
      <c r="AJ56" s="536">
        <f t="shared" si="18"/>
        <v>98.354731076901729</v>
      </c>
      <c r="AK56"/>
      <c r="AM56" s="255" t="s">
        <v>378</v>
      </c>
      <c r="AN56" s="255">
        <v>0.95199999999999996</v>
      </c>
      <c r="AO56" s="255">
        <v>0.86399999999999999</v>
      </c>
      <c r="AP56" s="255">
        <v>0.93100000000000005</v>
      </c>
      <c r="AQ56" s="255">
        <v>0.99199999999999999</v>
      </c>
      <c r="AR56" s="255">
        <v>0.86799999999999999</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750</v>
      </c>
      <c r="AN57" s="255">
        <v>0.29899999999999999</v>
      </c>
      <c r="AO57" s="255">
        <v>0.26900000000000002</v>
      </c>
      <c r="AP57" s="255">
        <v>0.27500000000000002</v>
      </c>
      <c r="AQ57" s="255">
        <v>0.20200000000000001</v>
      </c>
      <c r="AR57" s="255">
        <v>0.19400000000000001</v>
      </c>
    </row>
    <row r="58" spans="1:44" s="255" customFormat="1">
      <c r="A58" s="254" t="s">
        <v>83</v>
      </c>
      <c r="B58" s="483">
        <f>SUM(B49:B52,B54,B55)</f>
        <v>60.888999999999996</v>
      </c>
      <c r="C58" s="483">
        <f t="shared" ref="C58:AJ58" si="19">SUM(C49:C52,C54,C55)</f>
        <v>62.778999999999989</v>
      </c>
      <c r="D58" s="483">
        <f t="shared" si="19"/>
        <v>63.789999999999992</v>
      </c>
      <c r="E58" s="483">
        <f t="shared" si="19"/>
        <v>61.843000000000004</v>
      </c>
      <c r="F58" s="483">
        <f t="shared" si="19"/>
        <v>65.768999999999991</v>
      </c>
      <c r="G58" s="483">
        <f t="shared" si="19"/>
        <v>64.998236234841698</v>
      </c>
      <c r="H58" s="483">
        <f t="shared" si="19"/>
        <v>75.053081955556607</v>
      </c>
      <c r="I58" s="483">
        <f t="shared" si="19"/>
        <v>69.055949062592447</v>
      </c>
      <c r="J58" s="483">
        <f t="shared" si="19"/>
        <v>68.379763198489371</v>
      </c>
      <c r="K58" s="483">
        <f t="shared" si="19"/>
        <v>72.295275144932901</v>
      </c>
      <c r="L58" s="483">
        <f t="shared" si="19"/>
        <v>77.330796956587776</v>
      </c>
      <c r="M58" s="483">
        <f t="shared" si="19"/>
        <v>77.957264408972677</v>
      </c>
      <c r="N58" s="483">
        <f t="shared" si="19"/>
        <v>77.968351741421685</v>
      </c>
      <c r="O58" s="483">
        <f t="shared" si="19"/>
        <v>77.676008987662414</v>
      </c>
      <c r="P58" s="483">
        <f t="shared" si="19"/>
        <v>77.503376092340829</v>
      </c>
      <c r="Q58" s="483">
        <f t="shared" si="19"/>
        <v>76.925243711586518</v>
      </c>
      <c r="R58" s="483">
        <f t="shared" si="19"/>
        <v>77.540648291556835</v>
      </c>
      <c r="S58" s="483">
        <f t="shared" si="19"/>
        <v>79.098684898045946</v>
      </c>
      <c r="T58" s="483">
        <f t="shared" si="19"/>
        <v>79.063716778948347</v>
      </c>
      <c r="U58" s="483">
        <f t="shared" si="19"/>
        <v>79.206256626302462</v>
      </c>
      <c r="V58" s="483">
        <f t="shared" si="19"/>
        <v>81.434988394138614</v>
      </c>
      <c r="W58" s="483">
        <f t="shared" si="19"/>
        <v>82.277340027621051</v>
      </c>
      <c r="X58" s="483">
        <f t="shared" si="19"/>
        <v>82.142556740957673</v>
      </c>
      <c r="Y58" s="483">
        <f t="shared" si="19"/>
        <v>82.826442967123015</v>
      </c>
      <c r="Z58" s="483">
        <f t="shared" si="19"/>
        <v>82.577256402945991</v>
      </c>
      <c r="AA58" s="483">
        <f t="shared" si="19"/>
        <v>85.044676180647272</v>
      </c>
      <c r="AB58" s="483">
        <f t="shared" si="19"/>
        <v>87.302604455246083</v>
      </c>
      <c r="AC58" s="483">
        <f t="shared" si="19"/>
        <v>89.794192470970756</v>
      </c>
      <c r="AD58" s="483">
        <f t="shared" si="19"/>
        <v>91.781985999872518</v>
      </c>
      <c r="AE58" s="483">
        <f t="shared" si="19"/>
        <v>93.320066289266023</v>
      </c>
      <c r="AF58" s="483">
        <f t="shared" si="19"/>
        <v>95.067040117189109</v>
      </c>
      <c r="AG58" s="483">
        <f t="shared" si="19"/>
        <v>96.445741999285673</v>
      </c>
      <c r="AH58" s="483">
        <f t="shared" si="19"/>
        <v>97.456179483133269</v>
      </c>
      <c r="AI58" s="483">
        <f t="shared" si="19"/>
        <v>97.706426785849288</v>
      </c>
      <c r="AJ58" s="483">
        <f t="shared" si="19"/>
        <v>98.354731076901729</v>
      </c>
      <c r="AK58" s="490">
        <v>8.9999999999999993E-3</v>
      </c>
      <c r="AM58" s="255" t="s">
        <v>743</v>
      </c>
      <c r="AN58" s="255">
        <v>0.56899999999999995</v>
      </c>
      <c r="AO58" s="255">
        <v>0.48899999999999999</v>
      </c>
      <c r="AP58" s="255">
        <v>0.55900000000000005</v>
      </c>
      <c r="AQ58" s="255">
        <v>0.52</v>
      </c>
      <c r="AR58" s="255">
        <v>0.57499999999999996</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60.7</v>
      </c>
      <c r="AO59" s="5">
        <v>62.670999999999999</v>
      </c>
      <c r="AP59" s="5">
        <v>63.674999999999997</v>
      </c>
      <c r="AQ59" s="5">
        <v>61.811</v>
      </c>
      <c r="AR59" s="5">
        <v>65.682000000000002</v>
      </c>
    </row>
    <row r="60" spans="1:44" s="274" customFormat="1">
      <c r="A60" s="273" t="s">
        <v>331</v>
      </c>
      <c r="B60" s="367"/>
      <c r="C60" s="367"/>
      <c r="D60" s="367"/>
      <c r="E60" s="367">
        <f>E49/SUM(E49,E51)</f>
        <v>0.19825072886297374</v>
      </c>
      <c r="F60" s="367">
        <f t="shared" ref="F60:AJ60" si="20">F49/SUM(F49,F51)</f>
        <v>0.20491698595146871</v>
      </c>
      <c r="G60" s="324">
        <f t="shared" si="20"/>
        <v>0.24429954963439007</v>
      </c>
      <c r="H60" s="324">
        <f t="shared" si="20"/>
        <v>0.16110680865404559</v>
      </c>
      <c r="I60" s="324">
        <f t="shared" si="20"/>
        <v>0.21402022366299175</v>
      </c>
      <c r="J60" s="324">
        <f t="shared" si="20"/>
        <v>0.22060053064022228</v>
      </c>
      <c r="K60" s="324">
        <f t="shared" si="20"/>
        <v>0.20015128954179123</v>
      </c>
      <c r="L60" s="324">
        <f t="shared" si="20"/>
        <v>0.17760738072897661</v>
      </c>
      <c r="M60" s="324">
        <f t="shared" si="20"/>
        <v>0.17601665724085136</v>
      </c>
      <c r="N60" s="324">
        <f t="shared" si="20"/>
        <v>0.17429801774306181</v>
      </c>
      <c r="O60" s="324">
        <f t="shared" si="20"/>
        <v>0.17331198695473155</v>
      </c>
      <c r="P60" s="324">
        <f t="shared" si="20"/>
        <v>0.17271890043489535</v>
      </c>
      <c r="Q60" s="324">
        <f t="shared" si="20"/>
        <v>0.17652110627842027</v>
      </c>
      <c r="R60" s="324">
        <f t="shared" si="20"/>
        <v>0.17500550806071133</v>
      </c>
      <c r="S60" s="324">
        <f t="shared" si="20"/>
        <v>0.16936376800940295</v>
      </c>
      <c r="T60" s="324">
        <f t="shared" si="20"/>
        <v>0.17062888924542349</v>
      </c>
      <c r="U60" s="324">
        <f t="shared" si="20"/>
        <v>0.17085810464880588</v>
      </c>
      <c r="V60" s="324">
        <f t="shared" si="20"/>
        <v>0.1633442125909165</v>
      </c>
      <c r="W60" s="324">
        <f t="shared" si="20"/>
        <v>0.16104909768953193</v>
      </c>
      <c r="X60" s="324">
        <f t="shared" si="20"/>
        <v>0.16186761215481707</v>
      </c>
      <c r="Y60" s="324">
        <f t="shared" si="20"/>
        <v>0.1600061251099682</v>
      </c>
      <c r="Z60" s="324">
        <f t="shared" si="20"/>
        <v>0.16055513203313354</v>
      </c>
      <c r="AA60" s="324">
        <f t="shared" si="20"/>
        <v>0.15280874171366632</v>
      </c>
      <c r="AB60" s="324">
        <f t="shared" si="20"/>
        <v>0.14653045640247234</v>
      </c>
      <c r="AC60" s="324">
        <f t="shared" si="20"/>
        <v>0.14026461192269712</v>
      </c>
      <c r="AD60" s="324">
        <f t="shared" si="20"/>
        <v>0.13584524493124986</v>
      </c>
      <c r="AE60" s="324">
        <f t="shared" si="20"/>
        <v>0.13261175940377123</v>
      </c>
      <c r="AF60" s="324">
        <f t="shared" si="20"/>
        <v>0.12910593077007848</v>
      </c>
      <c r="AG60" s="324">
        <f t="shared" si="20"/>
        <v>0.12647649485678941</v>
      </c>
      <c r="AH60" s="324">
        <f t="shared" si="20"/>
        <v>0.12468864353877981</v>
      </c>
      <c r="AI60" s="324">
        <f t="shared" si="20"/>
        <v>0.12448947989591319</v>
      </c>
      <c r="AJ60" s="324">
        <f t="shared" si="20"/>
        <v>0.12351414662628379</v>
      </c>
      <c r="AK60" s="324"/>
      <c r="AL60" s="274" t="s">
        <v>0</v>
      </c>
    </row>
    <row r="61" spans="1:44" s="265" customFormat="1">
      <c r="A61" s="262" t="s">
        <v>107</v>
      </c>
      <c r="B61" s="358">
        <f>B54/B58</f>
        <v>1.5635007965313932E-2</v>
      </c>
      <c r="C61" s="358">
        <f t="shared" ref="C61:AJ61" si="21">C54/C58</f>
        <v>1.3762563914684849E-2</v>
      </c>
      <c r="D61" s="358">
        <f t="shared" si="21"/>
        <v>1.4594764069603389E-2</v>
      </c>
      <c r="E61" s="358">
        <f t="shared" si="21"/>
        <v>1.6040618986789126E-2</v>
      </c>
      <c r="F61" s="358">
        <f t="shared" si="21"/>
        <v>1.3197707126457755E-2</v>
      </c>
      <c r="G61" s="309">
        <f t="shared" si="21"/>
        <v>2.8318263663058882E-2</v>
      </c>
      <c r="H61" s="309">
        <f t="shared" si="21"/>
        <v>3.2247827679179858E-2</v>
      </c>
      <c r="I61" s="309">
        <f t="shared" si="21"/>
        <v>4.5296023256879578E-2</v>
      </c>
      <c r="J61" s="309">
        <f t="shared" si="21"/>
        <v>5.1118645065076775E-2</v>
      </c>
      <c r="K61" s="309">
        <f t="shared" si="21"/>
        <v>5.3268492076183942E-2</v>
      </c>
      <c r="L61" s="309">
        <f t="shared" si="21"/>
        <v>5.4270034459896879E-2</v>
      </c>
      <c r="M61" s="309">
        <f t="shared" si="21"/>
        <v>5.4099515786639768E-2</v>
      </c>
      <c r="N61" s="309">
        <f t="shared" si="21"/>
        <v>5.4423648205814933E-2</v>
      </c>
      <c r="O61" s="309">
        <f t="shared" si="21"/>
        <v>5.5117956908412633E-2</v>
      </c>
      <c r="P61" s="309">
        <f t="shared" si="21"/>
        <v>5.6028746558587292E-2</v>
      </c>
      <c r="Q61" s="309">
        <f t="shared" si="21"/>
        <v>5.7375181111335972E-2</v>
      </c>
      <c r="R61" s="309">
        <f t="shared" si="21"/>
        <v>5.7904545309065483E-2</v>
      </c>
      <c r="S61" s="309">
        <f t="shared" si="21"/>
        <v>5.7857372094790006E-2</v>
      </c>
      <c r="T61" s="309">
        <f t="shared" si="21"/>
        <v>5.927260677249515E-2</v>
      </c>
      <c r="U61" s="309">
        <f t="shared" si="21"/>
        <v>6.0535612169837251E-2</v>
      </c>
      <c r="V61" s="309">
        <f t="shared" si="21"/>
        <v>6.0260879795557783E-2</v>
      </c>
      <c r="W61" s="309">
        <f t="shared" si="21"/>
        <v>6.1107979312128559E-2</v>
      </c>
      <c r="X61" s="309">
        <f t="shared" si="21"/>
        <v>6.2740508039285436E-2</v>
      </c>
      <c r="Y61" s="309">
        <f t="shared" si="21"/>
        <v>6.380652417769038E-2</v>
      </c>
      <c r="Z61" s="309">
        <f t="shared" si="21"/>
        <v>6.5737159910701407E-2</v>
      </c>
      <c r="AA61" s="309">
        <f t="shared" si="21"/>
        <v>6.5555799726299241E-2</v>
      </c>
      <c r="AB61" s="309">
        <f t="shared" si="21"/>
        <v>6.5537779004869109E-2</v>
      </c>
      <c r="AC61" s="309">
        <f t="shared" si="21"/>
        <v>6.5375663506682266E-2</v>
      </c>
      <c r="AD61" s="309">
        <f t="shared" si="21"/>
        <v>6.6112153213485139E-2</v>
      </c>
      <c r="AE61" s="309">
        <f t="shared" si="21"/>
        <v>6.683750929785473E-2</v>
      </c>
      <c r="AF61" s="309">
        <f t="shared" si="21"/>
        <v>6.7438420092021084E-2</v>
      </c>
      <c r="AG61" s="309">
        <f t="shared" si="21"/>
        <v>6.8331737983317861E-2</v>
      </c>
      <c r="AH61" s="309">
        <f t="shared" si="21"/>
        <v>6.94901947417918E-2</v>
      </c>
      <c r="AI61" s="309">
        <f t="shared" si="21"/>
        <v>7.1229152430711234E-2</v>
      </c>
      <c r="AJ61" s="309">
        <f t="shared" si="21"/>
        <v>7.2745460096977244E-2</v>
      </c>
      <c r="AK61" s="309"/>
    </row>
    <row r="62" spans="1:44" s="275" customFormat="1">
      <c r="A62" s="264" t="s">
        <v>108</v>
      </c>
      <c r="B62" s="368">
        <f>(B54-EIA_RE_aeo2014!B73)/B56</f>
        <v>1.5107084019769356E-2</v>
      </c>
      <c r="C62" s="368">
        <f>(C54-EIA_RE_aeo2014!C73)/C56</f>
        <v>1.3451197523575497E-2</v>
      </c>
      <c r="D62" s="368">
        <f>(D54-EIA_RE_aeo2014!D73)/D56</f>
        <v>1.4212799371809973E-2</v>
      </c>
      <c r="E62" s="368">
        <f>(E54-EIA_RE_aeo2014!E73)/E56</f>
        <v>1.5531216126579411E-2</v>
      </c>
      <c r="F62" s="368">
        <f>(F54-EIA_RE_aeo2014!F73)/F56</f>
        <v>1.2941140647361529E-2</v>
      </c>
      <c r="G62" s="325">
        <f>(G54-EIA_RE_aeo2014!G73)/G56</f>
        <v>2.7736801113016608E-2</v>
      </c>
      <c r="H62" s="325">
        <f>(H54-EIA_RE_aeo2014!H73)/H56</f>
        <v>3.1852754625094938E-2</v>
      </c>
      <c r="I62" s="325">
        <f>(I54-EIA_RE_aeo2014!I73)/I56</f>
        <v>4.4744736811064605E-2</v>
      </c>
      <c r="J62" s="325">
        <f>(J54-EIA_RE_aeo2014!J73)/J56</f>
        <v>5.0522480678660102E-2</v>
      </c>
      <c r="K62" s="325">
        <f>(K54-EIA_RE_aeo2014!K73)/K56</f>
        <v>5.2669982586822831E-2</v>
      </c>
      <c r="L62" s="325">
        <f>(L54-EIA_RE_aeo2014!L73)/L56</f>
        <v>5.370059550820197E-2</v>
      </c>
      <c r="M62" s="325">
        <f>(M54-EIA_RE_aeo2014!M73)/M56</f>
        <v>5.3477311488379219E-2</v>
      </c>
      <c r="N62" s="325">
        <f>(N54-EIA_RE_aeo2014!N73)/N56</f>
        <v>5.3801532386863637E-2</v>
      </c>
      <c r="O62" s="325">
        <f>(O54-EIA_RE_aeo2014!O73)/O56</f>
        <v>5.4493499683742383E-2</v>
      </c>
      <c r="P62" s="325">
        <f>(P54-EIA_RE_aeo2014!P73)/P56</f>
        <v>5.5402898452434748E-2</v>
      </c>
      <c r="Q62" s="325">
        <f>(Q54-EIA_RE_aeo2014!Q73)/Q56</f>
        <v>5.6736971125013622E-2</v>
      </c>
      <c r="R62" s="325">
        <f>(R54-EIA_RE_aeo2014!R73)/R56</f>
        <v>5.7271400502841824E-2</v>
      </c>
      <c r="S62" s="325">
        <f>(S54-EIA_RE_aeo2014!S73)/S56</f>
        <v>5.7210610564459606E-2</v>
      </c>
      <c r="T62" s="325">
        <f>(T54-EIA_RE_aeo2014!T73)/T56</f>
        <v>5.8625559193960321E-2</v>
      </c>
      <c r="U62" s="325">
        <f>(U54-EIA_RE_aeo2014!U73)/U56</f>
        <v>5.9889729020313504E-2</v>
      </c>
      <c r="V62" s="325">
        <f>(V54-EIA_RE_aeo2014!V73)/V56</f>
        <v>5.9632673326807745E-2</v>
      </c>
      <c r="W62" s="325">
        <f>(W54-EIA_RE_aeo2014!W73)/W56</f>
        <v>6.0486204392392356E-2</v>
      </c>
      <c r="X62" s="325">
        <f>(X54-EIA_RE_aeo2014!X73)/X56</f>
        <v>6.2113685971851816E-2</v>
      </c>
      <c r="Y62" s="325">
        <f>(Y54-EIA_RE_aeo2014!Y73)/Y56</f>
        <v>6.3184877691421629E-2</v>
      </c>
      <c r="Z62" s="325">
        <f>(Z54-EIA_RE_aeo2014!Z73)/Z56</f>
        <v>6.5111030697878977E-2</v>
      </c>
      <c r="AA62" s="325">
        <f>(AA54-EIA_RE_aeo2014!AK73)/AA56</f>
        <v>6.5555799726299241E-2</v>
      </c>
      <c r="AB62" s="325">
        <f>(AB54-EIA_RE_aeo2014!AL73)/AB56</f>
        <v>6.5537779004869109E-2</v>
      </c>
      <c r="AC62" s="325">
        <f>(AC54-EIA_RE_aeo2014!AM73)/AC56</f>
        <v>6.5375663506682266E-2</v>
      </c>
      <c r="AD62" s="325">
        <f>(AD54-EIA_RE_aeo2014!AN73)/AD56</f>
        <v>6.5730814766526188E-2</v>
      </c>
      <c r="AE62" s="325">
        <f>(AE54-EIA_RE_aeo2014!AO73)/AE56</f>
        <v>6.661247731025513E-2</v>
      </c>
      <c r="AF62" s="325">
        <f>(AF54-EIA_RE_aeo2014!AP73)/AF56</f>
        <v>6.7164928880262001E-2</v>
      </c>
      <c r="AG62" s="325">
        <f>(AG54-EIA_RE_aeo2014!AQ73)/AG56</f>
        <v>6.7999945212204774E-2</v>
      </c>
      <c r="AH62" s="325">
        <f>(AH54-EIA_RE_aeo2014!AR73)/AH56</f>
        <v>6.9305496346108081E-2</v>
      </c>
      <c r="AI62" s="325">
        <f>(AI54-EIA_RE_aeo2014!AS73)/AI56</f>
        <v>7.1229152430711234E-2</v>
      </c>
      <c r="AJ62" s="325">
        <f>(AJ54-EIA_RE_aeo2014!AT73)/AJ56</f>
        <v>7.2745460096977244E-2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1.5785819945834092</v>
      </c>
      <c r="H64" s="481">
        <f t="shared" ref="H64:O64" si="22">H63/1000/H58</f>
        <v>2.176605736813523</v>
      </c>
      <c r="I64" s="481">
        <f t="shared" si="22"/>
        <v>3.2723420159959873</v>
      </c>
      <c r="J64" s="481">
        <f t="shared" si="22"/>
        <v>4.2350508382924259</v>
      </c>
      <c r="K64" s="481">
        <f t="shared" si="22"/>
        <v>4.9597884745740792</v>
      </c>
      <c r="L64" s="481">
        <f t="shared" si="22"/>
        <v>5.5347375610557243</v>
      </c>
      <c r="M64" s="481">
        <f t="shared" si="22"/>
        <v>6.4074746157268674</v>
      </c>
      <c r="N64" s="481">
        <f t="shared" si="22"/>
        <v>7.3287889510485726</v>
      </c>
      <c r="O64" s="481">
        <f t="shared" si="22"/>
        <v>8.272595722136856</v>
      </c>
      <c r="P64" s="481">
        <f t="shared" ref="P64" si="23">P63/1000/P58</f>
        <v>9.1970738368962763</v>
      </c>
      <c r="Q64" s="481">
        <f t="shared" ref="Q64" si="24">Q63/1000/Q58</f>
        <v>10.216822447370717</v>
      </c>
      <c r="R64" s="481">
        <f t="shared" ref="R64" si="25">R63/1000/R58</f>
        <v>11.109729539955387</v>
      </c>
      <c r="S64" s="481">
        <f t="shared" ref="S64" si="26">S63/1000/S58</f>
        <v>11.883014805638322</v>
      </c>
      <c r="T64" s="481">
        <f t="shared" ref="T64" si="27">T63/1000/T58</f>
        <v>12.883721481219613</v>
      </c>
      <c r="U64" s="481">
        <f t="shared" ref="U64" si="28">U63/1000/U58</f>
        <v>13.84503202094065</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0.3788360340369481</v>
      </c>
      <c r="I65" s="481">
        <f t="shared" si="29"/>
        <v>0.50341513883289912</v>
      </c>
      <c r="J65" s="481">
        <f t="shared" si="29"/>
        <v>0.29419566096407057</v>
      </c>
      <c r="K65" s="481">
        <f t="shared" si="29"/>
        <v>0.17112843834806662</v>
      </c>
      <c r="L65" s="481">
        <f t="shared" si="29"/>
        <v>0.11592209817597487</v>
      </c>
      <c r="M65" s="481">
        <f t="shared" si="29"/>
        <v>0.15768354778228594</v>
      </c>
      <c r="N65" s="481">
        <f t="shared" si="29"/>
        <v>0.14378743429749677</v>
      </c>
      <c r="O65" s="481">
        <f t="shared" si="29"/>
        <v>0.12878072726507528</v>
      </c>
      <c r="P65" s="481">
        <f t="shared" si="29"/>
        <v>0.11175187883116119</v>
      </c>
      <c r="Q65" s="481">
        <f t="shared" si="29"/>
        <v>0.11087750610237286</v>
      </c>
      <c r="R65" s="481">
        <f t="shared" si="29"/>
        <v>8.7395772725252563E-2</v>
      </c>
      <c r="S65" s="481">
        <f t="shared" si="29"/>
        <v>6.9604328611409208E-2</v>
      </c>
      <c r="T65" s="481">
        <f t="shared" si="29"/>
        <v>8.4213197740565834E-2</v>
      </c>
      <c r="U65" s="481">
        <f t="shared" si="29"/>
        <v>7.4614352780159307E-2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0.53487493635960515</v>
      </c>
      <c r="C66" s="369">
        <f t="shared" ref="C66:AJ66" si="30">C52/C58</f>
        <v>0.50988387836696991</v>
      </c>
      <c r="D66" s="369">
        <f t="shared" si="30"/>
        <v>0.50470293149396461</v>
      </c>
      <c r="E66" s="369">
        <f t="shared" si="30"/>
        <v>0.55508303284122695</v>
      </c>
      <c r="F66" s="369">
        <f t="shared" si="30"/>
        <v>0.49827426295063032</v>
      </c>
      <c r="G66" s="326">
        <f t="shared" si="30"/>
        <v>0.46250179360844951</v>
      </c>
      <c r="H66" s="326">
        <f t="shared" si="30"/>
        <v>0.4052827493215021</v>
      </c>
      <c r="I66" s="326">
        <f t="shared" si="30"/>
        <v>0.42449589583411218</v>
      </c>
      <c r="J66" s="326">
        <f t="shared" si="30"/>
        <v>0.42947685084479464</v>
      </c>
      <c r="K66" s="326">
        <f t="shared" si="30"/>
        <v>0.41795964590250051</v>
      </c>
      <c r="L66" s="326">
        <f t="shared" si="30"/>
        <v>0.39465686118730847</v>
      </c>
      <c r="M66" s="326">
        <f t="shared" si="30"/>
        <v>0.3853257446594367</v>
      </c>
      <c r="N66" s="326">
        <f t="shared" si="30"/>
        <v>0.37287463426721262</v>
      </c>
      <c r="O66" s="326">
        <f t="shared" si="30"/>
        <v>0.36174534822538401</v>
      </c>
      <c r="P66" s="326">
        <f t="shared" si="30"/>
        <v>0.35505349144034792</v>
      </c>
      <c r="Q66" s="326">
        <f t="shared" si="30"/>
        <v>0.35772191015958066</v>
      </c>
      <c r="R66" s="326">
        <f t="shared" si="30"/>
        <v>0.35488282450943004</v>
      </c>
      <c r="S66" s="326">
        <f t="shared" si="30"/>
        <v>0.34789256376979033</v>
      </c>
      <c r="T66" s="326">
        <f t="shared" si="30"/>
        <v>0.34804643951834746</v>
      </c>
      <c r="U66" s="326">
        <f t="shared" si="30"/>
        <v>0.34742008336323771</v>
      </c>
      <c r="V66" s="326">
        <f t="shared" si="30"/>
        <v>0.33791181975511442</v>
      </c>
      <c r="W66" s="326">
        <f t="shared" si="30"/>
        <v>0.3344522838337029</v>
      </c>
      <c r="X66" s="326">
        <f t="shared" si="30"/>
        <v>0.33500106852991507</v>
      </c>
      <c r="Y66" s="326">
        <f t="shared" si="30"/>
        <v>0.33223502222500229</v>
      </c>
      <c r="Z66" s="326">
        <f t="shared" si="30"/>
        <v>0.33323758040256574</v>
      </c>
      <c r="AA66" s="326">
        <f t="shared" si="30"/>
        <v>0.32356928564873472</v>
      </c>
      <c r="AB66" s="326">
        <f t="shared" si="30"/>
        <v>0.31520073532407006</v>
      </c>
      <c r="AC66" s="326">
        <f t="shared" si="30"/>
        <v>0.30645461051276945</v>
      </c>
      <c r="AD66" s="326">
        <f t="shared" si="30"/>
        <v>0.29981748575410233</v>
      </c>
      <c r="AE66" s="326">
        <f t="shared" si="30"/>
        <v>0.29487596156117596</v>
      </c>
      <c r="AF66" s="326">
        <f t="shared" si="30"/>
        <v>0.28945725296673547</v>
      </c>
      <c r="AG66" s="326">
        <f t="shared" si="30"/>
        <v>0.2853194315224804</v>
      </c>
      <c r="AH66" s="326">
        <f t="shared" si="30"/>
        <v>0.2823612050661447</v>
      </c>
      <c r="AI66" s="326">
        <f t="shared" si="30"/>
        <v>0.28163801691687057</v>
      </c>
      <c r="AJ66" s="326">
        <f t="shared" si="30"/>
        <v>0.27978161109997152</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6" t="s">
        <v>631</v>
      </c>
      <c r="B109" s="566"/>
      <c r="C109" s="566"/>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row>
    <row r="110" spans="1:38">
      <c r="A110" s="567" t="s">
        <v>632</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8">
      <c r="A111" s="567" t="s">
        <v>633</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8">
      <c r="A112" s="567" t="s">
        <v>634</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635</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636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637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638</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639</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640</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641</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642</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643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644</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row r="123" spans="1:32">
      <c r="A123" s="567" t="s">
        <v>645</v>
      </c>
      <c r="B123" s="567"/>
      <c r="C123" s="567"/>
      <c r="D123" s="567"/>
      <c r="E123" s="567"/>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row>
    <row r="124" spans="1:32">
      <c r="A124" s="567" t="s">
        <v>646</v>
      </c>
      <c r="B124" s="567"/>
      <c r="C124" s="567"/>
      <c r="D124" s="567"/>
      <c r="E124" s="567"/>
      <c r="F124" s="567"/>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row>
    <row r="125" spans="1:32">
      <c r="A125" s="567" t="s">
        <v>639</v>
      </c>
      <c r="B125" s="567"/>
      <c r="C125" s="567"/>
      <c r="D125" s="567"/>
      <c r="E125" s="567"/>
      <c r="F125" s="567"/>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row>
    <row r="126" spans="1:32">
      <c r="A126" s="567" t="s">
        <v>647</v>
      </c>
      <c r="B126" s="567"/>
      <c r="C126" s="567"/>
      <c r="D126" s="567"/>
      <c r="E126" s="567"/>
      <c r="F126" s="567"/>
      <c r="G126" s="567"/>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row>
    <row r="127" spans="1:32">
      <c r="A127" s="567" t="s">
        <v>648</v>
      </c>
      <c r="B127" s="567"/>
      <c r="C127" s="567"/>
      <c r="D127" s="567"/>
      <c r="E127" s="567"/>
      <c r="F127" s="567"/>
      <c r="G127" s="567"/>
      <c r="H127" s="567"/>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7"/>
    </row>
    <row r="128" spans="1:32">
      <c r="A128" s="567" t="s">
        <v>649</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row>
    <row r="129" spans="1:32">
      <c r="A129" s="567" t="s">
        <v>619</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row>
    <row r="130" spans="1:32">
      <c r="A130" s="567" t="s">
        <v>620</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row>
    <row r="131" spans="1:32">
      <c r="A131" s="567" t="s">
        <v>621</v>
      </c>
      <c r="B131" s="567"/>
      <c r="C131" s="567"/>
      <c r="D131" s="567"/>
      <c r="E131" s="567"/>
      <c r="F131" s="567"/>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row>
    <row r="132" spans="1:32">
      <c r="A132" s="567" t="s">
        <v>650</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row>
    <row r="133" spans="1:32">
      <c r="A133" s="567" t="s">
        <v>651</v>
      </c>
      <c r="B133" s="567"/>
      <c r="C133" s="567"/>
      <c r="D133" s="567"/>
      <c r="E133" s="567"/>
      <c r="F133" s="567"/>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row>
    <row r="134" spans="1:32">
      <c r="A134" s="567" t="s">
        <v>652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row>
    <row r="135" spans="1:32">
      <c r="A135" s="567" t="s">
        <v>653</v>
      </c>
      <c r="B135" s="567"/>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row>
    <row r="136" spans="1:32">
      <c r="A136" s="567" t="s">
        <v>654</v>
      </c>
      <c r="B136" s="567"/>
      <c r="C136" s="567"/>
      <c r="D136" s="567"/>
      <c r="E136" s="567"/>
      <c r="F136" s="567"/>
      <c r="G136" s="567"/>
      <c r="H136" s="567"/>
      <c r="I136" s="567"/>
      <c r="J136" s="567"/>
      <c r="K136" s="567"/>
      <c r="L136" s="567"/>
      <c r="M136" s="567"/>
      <c r="N136" s="567"/>
      <c r="O136" s="567"/>
      <c r="P136" s="567"/>
      <c r="Q136" s="567"/>
      <c r="R136" s="567"/>
      <c r="S136" s="567"/>
      <c r="T136" s="567"/>
      <c r="U136" s="567"/>
      <c r="V136" s="567"/>
      <c r="W136" s="567"/>
      <c r="X136" s="567"/>
      <c r="Y136" s="567"/>
      <c r="Z136" s="567"/>
      <c r="AA136" s="567"/>
      <c r="AB136" s="567"/>
      <c r="AC136" s="567"/>
      <c r="AD136" s="567"/>
      <c r="AE136" s="567"/>
      <c r="AF136" s="567"/>
    </row>
    <row r="137" spans="1:32">
      <c r="A137" s="567" t="s">
        <v>655</v>
      </c>
      <c r="B137" s="567"/>
      <c r="C137" s="567"/>
      <c r="D137" s="567"/>
      <c r="E137" s="567"/>
      <c r="F137" s="567"/>
      <c r="G137" s="567"/>
      <c r="H137" s="567"/>
      <c r="I137" s="567"/>
      <c r="J137" s="567"/>
      <c r="K137" s="567"/>
      <c r="L137" s="567"/>
      <c r="M137" s="567"/>
      <c r="N137" s="567"/>
      <c r="O137" s="567"/>
      <c r="P137" s="567"/>
      <c r="Q137" s="567"/>
      <c r="R137" s="567"/>
      <c r="S137" s="567"/>
      <c r="T137" s="567"/>
      <c r="U137" s="567"/>
      <c r="V137" s="567"/>
      <c r="W137" s="567"/>
      <c r="X137" s="567"/>
      <c r="Y137" s="567"/>
      <c r="Z137" s="567"/>
      <c r="AA137" s="567"/>
      <c r="AB137" s="567"/>
      <c r="AC137" s="567"/>
      <c r="AD137" s="567"/>
      <c r="AE137" s="567"/>
      <c r="AF137" s="567"/>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J54" sqref="J54:AJ54"/>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704</v>
      </c>
    </row>
    <row r="3" spans="1:37">
      <c r="A3" s="272" t="s">
        <v>656</v>
      </c>
    </row>
    <row r="4" spans="1:37">
      <c r="A4" s="272" t="s">
        <v>657</v>
      </c>
    </row>
    <row r="6" spans="1:37">
      <c r="A6" s="6" t="s">
        <v>5</v>
      </c>
    </row>
    <row r="7" spans="1:37">
      <c r="A7" s="6" t="s">
        <v>6</v>
      </c>
    </row>
    <row r="8" spans="1:37">
      <c r="A8" s="78" t="s">
        <v>281</v>
      </c>
    </row>
    <row r="10" spans="1:37">
      <c r="AK10" s="300" t="s">
        <v>714</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581</v>
      </c>
      <c r="AB11" s="300" t="s">
        <v>582</v>
      </c>
      <c r="AC11" s="300" t="s">
        <v>583</v>
      </c>
      <c r="AD11" s="300" t="s">
        <v>584</v>
      </c>
      <c r="AE11" s="300" t="s">
        <v>585</v>
      </c>
      <c r="AF11" s="300" t="s">
        <v>586</v>
      </c>
      <c r="AG11" s="300" t="s">
        <v>587</v>
      </c>
      <c r="AH11" s="300" t="s">
        <v>588</v>
      </c>
      <c r="AI11" s="300" t="s">
        <v>589</v>
      </c>
      <c r="AJ11" s="300" t="s">
        <v>590</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1.0000000000000001E-5</v>
      </c>
      <c r="H33" s="499">
        <v>1.0000000000000001E-5</v>
      </c>
      <c r="I33" s="499">
        <v>1.0000000000000001E-5</v>
      </c>
      <c r="J33" s="499">
        <v>1.0000000000000001E-5</v>
      </c>
      <c r="K33" s="499">
        <v>1.0000000000000001E-5</v>
      </c>
      <c r="L33" s="499">
        <v>1.0000000000000001E-5</v>
      </c>
      <c r="M33" s="499">
        <v>1.0000000000000001E-5</v>
      </c>
      <c r="N33" s="499">
        <v>1.0000000000000001E-5</v>
      </c>
      <c r="O33" s="499">
        <v>1.0000000000000001E-5</v>
      </c>
      <c r="P33" s="499">
        <v>1.0000000000000001E-5</v>
      </c>
      <c r="Q33" s="499">
        <v>1.0000000000000001E-5</v>
      </c>
      <c r="R33" s="499">
        <v>1.0000000000000001E-5</v>
      </c>
      <c r="S33" s="499">
        <v>1.0000000000000001E-5</v>
      </c>
      <c r="T33" s="499">
        <v>1.0000000000000001E-5</v>
      </c>
      <c r="U33" s="499">
        <v>1.0000000000000001E-5</v>
      </c>
      <c r="V33" s="499">
        <v>1.0000000000000001E-5</v>
      </c>
      <c r="W33" s="499">
        <v>1.0000000000000001E-5</v>
      </c>
      <c r="X33" s="499">
        <v>1.0000000000000001E-5</v>
      </c>
      <c r="Y33" s="499">
        <v>1.0000000000000001E-5</v>
      </c>
      <c r="Z33" s="499">
        <v>1.0000000000000001E-5</v>
      </c>
      <c r="AA33" s="499">
        <v>1.0000000000000001E-5</v>
      </c>
      <c r="AB33" s="499">
        <v>1.0000000000000001E-5</v>
      </c>
      <c r="AC33" s="499">
        <v>1.0000000000000001E-5</v>
      </c>
      <c r="AD33" s="499">
        <v>1.0000000000000001E-5</v>
      </c>
      <c r="AE33" s="499">
        <v>1.0000000000000001E-5</v>
      </c>
      <c r="AF33" s="499">
        <v>1.0000000000000001E-5</v>
      </c>
      <c r="AG33" s="499">
        <v>1.0000000000000001E-5</v>
      </c>
      <c r="AH33" s="499">
        <v>1.0000000000000001E-5</v>
      </c>
      <c r="AI33" s="499">
        <v>1.0000000000000001E-5</v>
      </c>
      <c r="AJ33" s="499">
        <v>1.0000000000000001E-5</v>
      </c>
      <c r="AK33"/>
    </row>
    <row r="34" spans="1:39" s="18" customFormat="1">
      <c r="A34" s="17" t="s">
        <v>661</v>
      </c>
      <c r="B34"/>
      <c r="C34"/>
      <c r="D34"/>
      <c r="E34"/>
      <c r="F34"/>
      <c r="G34" s="525">
        <v>1.0000000000000001E-5</v>
      </c>
      <c r="H34" s="525">
        <v>1.0000000000000001E-5</v>
      </c>
      <c r="I34" s="525">
        <v>1.0000000000000001E-5</v>
      </c>
      <c r="J34" s="525">
        <v>1.0000000000000001E-5</v>
      </c>
      <c r="K34" s="525">
        <v>1.0000000000000001E-5</v>
      </c>
      <c r="L34" s="525">
        <v>1.0000000000000001E-5</v>
      </c>
      <c r="M34" s="525">
        <v>1.0000000000000001E-5</v>
      </c>
      <c r="N34" s="525">
        <v>1.0000000000000001E-5</v>
      </c>
      <c r="O34" s="525">
        <v>1.0000000000000001E-5</v>
      </c>
      <c r="P34" s="525">
        <v>1.0000000000000001E-5</v>
      </c>
      <c r="Q34" s="525">
        <v>1.0000000000000001E-5</v>
      </c>
      <c r="R34" s="525">
        <v>1.0000000000000001E-5</v>
      </c>
      <c r="S34" s="525">
        <v>1.0000000000000001E-5</v>
      </c>
      <c r="T34" s="525">
        <v>1.0000000000000001E-5</v>
      </c>
      <c r="U34" s="525">
        <v>1.0000000000000001E-5</v>
      </c>
      <c r="V34" s="525">
        <v>1.0000000000000001E-5</v>
      </c>
      <c r="W34" s="525">
        <v>1.0000000000000001E-5</v>
      </c>
      <c r="X34" s="525">
        <v>1.0000000000000001E-5</v>
      </c>
      <c r="Y34" s="525">
        <v>1.0000000000000001E-5</v>
      </c>
      <c r="Z34" s="525">
        <v>1.0000000000000001E-5</v>
      </c>
      <c r="AA34" s="525">
        <v>1.0000000000000001E-5</v>
      </c>
      <c r="AB34" s="525">
        <v>1.0000000000000001E-5</v>
      </c>
      <c r="AC34" s="525">
        <v>1.0000000000000001E-5</v>
      </c>
      <c r="AD34" s="525">
        <v>1.0000000000000001E-5</v>
      </c>
      <c r="AE34" s="525">
        <v>1.0000000000000001E-5</v>
      </c>
      <c r="AF34" s="525">
        <v>1.0000000000000001E-5</v>
      </c>
      <c r="AG34" s="525">
        <v>1.0000000000000001E-5</v>
      </c>
      <c r="AH34" s="525">
        <v>1.0000000000000001E-5</v>
      </c>
      <c r="AI34" s="525">
        <v>1.0000000000000001E-5</v>
      </c>
      <c r="AJ34" s="525">
        <v>1.0000000000000001E-5</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c r="D54"/>
      <c r="E54"/>
      <c r="F54"/>
      <c r="G54" s="499">
        <v>1.0000000000000001E-5</v>
      </c>
      <c r="H54" s="499">
        <v>1.0000000000000001E-5</v>
      </c>
      <c r="I54" s="499">
        <v>1.0000000000000001E-5</v>
      </c>
      <c r="J54" s="499">
        <f>J57*EIA_electricity_aeo2014!J58</f>
        <v>1.4017851455690322</v>
      </c>
      <c r="K54" s="499">
        <f>K57*EIA_electricity_aeo2014!K58</f>
        <v>1.7712342410508561</v>
      </c>
      <c r="L54" s="499">
        <f>L57*EIA_electricity_aeo2014!L58</f>
        <v>2.126596916306164</v>
      </c>
      <c r="M54" s="499">
        <f>M57*EIA_electricity_aeo2014!M58</f>
        <v>2.33871793226918</v>
      </c>
      <c r="N54" s="499">
        <f>N57*EIA_electricity_aeo2014!N58</f>
        <v>2.4949872557254942</v>
      </c>
      <c r="O54" s="499">
        <f>O57*EIA_electricity_aeo2014!O58</f>
        <v>2.5555406956940931</v>
      </c>
      <c r="P54" s="499">
        <f>P57*EIA_electricity_aeo2014!P58</f>
        <v>2.6196141119211198</v>
      </c>
      <c r="Q54" s="499">
        <f>Q57*EIA_electricity_aeo2014!Q58</f>
        <v>2.6693059567920523</v>
      </c>
      <c r="R54" s="499">
        <f>R57*EIA_electricity_aeo2014!R58</f>
        <v>2.7604470791794231</v>
      </c>
      <c r="S54" s="499">
        <f>S57*EIA_electricity_aeo2014!S58</f>
        <v>2.887101998778677</v>
      </c>
      <c r="T54" s="499">
        <f>T57*EIA_electricity_aeo2014!T58</f>
        <v>2.9569830075326684</v>
      </c>
      <c r="U54" s="499">
        <f>U57*EIA_electricity_aeo2014!U58</f>
        <v>3.0335996287873845</v>
      </c>
      <c r="V54" s="499">
        <f>V57*EIA_electricity_aeo2014!V58</f>
        <v>3.1922515450502336</v>
      </c>
      <c r="W54" s="499">
        <f>W57*EIA_electricity_aeo2014!W58</f>
        <v>3.2993213351076038</v>
      </c>
      <c r="X54" s="499">
        <f>X57*EIA_electricity_aeo2014!X58</f>
        <v>3.3678448263792649</v>
      </c>
      <c r="Y54" s="499">
        <f>Y57*EIA_electricity_aeo2014!Y58</f>
        <v>3.6206987925627963</v>
      </c>
      <c r="Z54" s="499">
        <f>Z57*EIA_electricity_aeo2014!Z58</f>
        <v>3.7142070254953357</v>
      </c>
      <c r="AA54" s="499">
        <f>AA57*EIA_electricity_aeo2014!AA58</f>
        <v>3.932708811382208</v>
      </c>
      <c r="AB54" s="499">
        <f>AB57*EIA_electricity_aeo2014!AB58</f>
        <v>4.1474973016559833</v>
      </c>
      <c r="AC54" s="499">
        <f>AC57*EIA_electricity_aeo2014!AC58</f>
        <v>4.3793910442270496</v>
      </c>
      <c r="AD54" s="499">
        <f>AD57*EIA_electricity_aeo2014!AD58</f>
        <v>4.5923772280650201</v>
      </c>
      <c r="AE54" s="499">
        <f>AE57*EIA_electricity_aeo2014!AE58</f>
        <v>4.7873194006393378</v>
      </c>
      <c r="AF54" s="499">
        <f>AF57*EIA_electricity_aeo2014!AF58</f>
        <v>4.9971310587313598</v>
      </c>
      <c r="AG54" s="499">
        <f>AG57*EIA_electricity_aeo2014!AG58</f>
        <v>5.1915365121901118</v>
      </c>
      <c r="AH54" s="499">
        <f>AH57*EIA_electricity_aeo2014!AH58</f>
        <v>5.3691393739528763</v>
      </c>
      <c r="AI54" s="499">
        <f>AI57*EIA_electricity_aeo2014!AI58</f>
        <v>5.5064550524310691</v>
      </c>
      <c r="AJ54" s="499">
        <f>AJ57*EIA_electricity_aeo2014!AJ58</f>
        <v>5.6673401114097288</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757</v>
      </c>
      <c r="B57"/>
      <c r="C57"/>
      <c r="D57"/>
      <c r="E57"/>
      <c r="F57"/>
      <c r="G57"/>
      <c r="H57"/>
      <c r="I57"/>
      <c r="J57" s="526">
        <v>2.0500000000000001E-2</v>
      </c>
      <c r="K57" s="526">
        <v>2.4500000000000001E-2</v>
      </c>
      <c r="L57" s="526">
        <v>2.75E-2</v>
      </c>
      <c r="M57" s="526">
        <v>0.03</v>
      </c>
      <c r="N57" s="526">
        <v>3.2000000000000001E-2</v>
      </c>
      <c r="O57" s="526">
        <v>3.2899999999999999E-2</v>
      </c>
      <c r="P57" s="526">
        <v>3.3799999999999997E-2</v>
      </c>
      <c r="Q57" s="526">
        <v>3.4700000000000002E-2</v>
      </c>
      <c r="R57" s="526">
        <v>3.56E-2</v>
      </c>
      <c r="S57" s="526">
        <v>3.6499999999999998E-2</v>
      </c>
      <c r="T57" s="526">
        <v>3.7400000000000003E-2</v>
      </c>
      <c r="U57" s="526">
        <v>3.8300000000000001E-2</v>
      </c>
      <c r="V57" s="526">
        <v>3.9199999999999999E-2</v>
      </c>
      <c r="W57" s="527">
        <v>4.0099999999999997E-2</v>
      </c>
      <c r="X57" s="527">
        <v>4.1000000000000002E-2</v>
      </c>
      <c r="Y57" s="528">
        <v>4.3714285714285595E-2</v>
      </c>
      <c r="Z57" s="528">
        <v>4.497857142857109E-2</v>
      </c>
      <c r="AA57" s="528">
        <v>4.624285714285703E-2</v>
      </c>
      <c r="AB57" s="528">
        <v>4.7507142857142526E-2</v>
      </c>
      <c r="AC57" s="528">
        <v>4.8771428571428466E-2</v>
      </c>
      <c r="AD57" s="528">
        <v>5.0035714285713961E-2</v>
      </c>
      <c r="AE57" s="528">
        <v>5.1299999999999901E-2</v>
      </c>
      <c r="AF57" s="528">
        <v>5.2564285714285397E-2</v>
      </c>
      <c r="AG57" s="528">
        <v>5.3828571428571337E-2</v>
      </c>
      <c r="AH57" s="528">
        <v>5.5092857142856833E-2</v>
      </c>
      <c r="AI57" s="528">
        <v>5.6357142857142772E-2</v>
      </c>
      <c r="AJ57" s="528">
        <v>5.7621428571428268E-2</v>
      </c>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744</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740</v>
      </c>
      <c r="AM59" s="18" t="s">
        <v>756</v>
      </c>
    </row>
    <row r="60" spans="1:39">
      <c r="A60" s="501" t="s">
        <v>733</v>
      </c>
      <c r="G60" s="499">
        <v>9.8215380000000003</v>
      </c>
      <c r="H60" s="499">
        <v>7.7055229999999995</v>
      </c>
      <c r="I60" s="499">
        <v>9.8931500000000003</v>
      </c>
      <c r="J60" s="499">
        <v>10.593752</v>
      </c>
      <c r="K60" s="499">
        <v>11.244422</v>
      </c>
      <c r="L60" s="499">
        <v>11.44342</v>
      </c>
      <c r="M60" s="499">
        <v>12.605084999999999</v>
      </c>
      <c r="N60" s="499">
        <v>12.605084999999999</v>
      </c>
      <c r="O60" s="499">
        <v>12.605084999999999</v>
      </c>
      <c r="P60" s="499">
        <v>12.605084000000002</v>
      </c>
      <c r="Q60" s="499">
        <v>12.758178000000001</v>
      </c>
      <c r="R60" s="499">
        <v>12.758178000000001</v>
      </c>
      <c r="S60" s="499">
        <v>13.294426999999999</v>
      </c>
      <c r="T60" s="499">
        <v>13.294426999999999</v>
      </c>
      <c r="U60" s="499">
        <v>13.294426999999999</v>
      </c>
      <c r="V60" s="499">
        <v>13.294426999999999</v>
      </c>
      <c r="W60" s="499">
        <v>13.294426999999999</v>
      </c>
      <c r="X60" s="499">
        <v>13.380386999999999</v>
      </c>
      <c r="Y60" s="499">
        <v>13.380386999999999</v>
      </c>
      <c r="Z60" s="499">
        <v>13.436328</v>
      </c>
      <c r="AA60" s="499">
        <v>13.601866000000001</v>
      </c>
      <c r="AB60" s="499">
        <v>13.746514999999999</v>
      </c>
      <c r="AC60" s="499">
        <v>13.746514999999999</v>
      </c>
      <c r="AD60" s="499">
        <v>13.944156</v>
      </c>
      <c r="AE60" s="499">
        <v>14.119804999999999</v>
      </c>
      <c r="AF60" s="499">
        <v>14.191604000000002</v>
      </c>
      <c r="AG60" s="499">
        <v>14.191604000000002</v>
      </c>
      <c r="AH60" s="499">
        <v>14.191604000000002</v>
      </c>
      <c r="AI60" s="499">
        <v>14.191604000000002</v>
      </c>
      <c r="AJ60" s="499">
        <v>14.191604000000002</v>
      </c>
      <c r="AK60" s="503">
        <v>4.0000000000000001E-3</v>
      </c>
      <c r="AL60" s="508" t="s">
        <v>727</v>
      </c>
      <c r="AM60" s="29">
        <v>9.9999999999999995E-8</v>
      </c>
    </row>
    <row r="61" spans="1:39">
      <c r="A61" s="501" t="s">
        <v>734</v>
      </c>
      <c r="G61" s="499">
        <v>1E-4</v>
      </c>
      <c r="H61" s="499">
        <v>1E-4</v>
      </c>
      <c r="I61" s="499">
        <v>1E-4</v>
      </c>
      <c r="J61" s="499">
        <v>1E-4</v>
      </c>
      <c r="K61" s="499">
        <v>1E-4</v>
      </c>
      <c r="L61" s="499">
        <v>1E-4</v>
      </c>
      <c r="M61" s="499">
        <v>1E-4</v>
      </c>
      <c r="N61" s="499">
        <v>1E-4</v>
      </c>
      <c r="O61" s="499">
        <v>1E-4</v>
      </c>
      <c r="P61" s="499">
        <v>1E-4</v>
      </c>
      <c r="Q61" s="499">
        <v>1E-4</v>
      </c>
      <c r="R61" s="499">
        <v>1E-4</v>
      </c>
      <c r="S61" s="499">
        <v>1E-4</v>
      </c>
      <c r="T61" s="499">
        <v>1E-4</v>
      </c>
      <c r="U61" s="499">
        <v>1E-4</v>
      </c>
      <c r="V61" s="499">
        <v>1E-4</v>
      </c>
      <c r="W61" s="499">
        <v>1E-4</v>
      </c>
      <c r="X61" s="499">
        <v>1E-4</v>
      </c>
      <c r="Y61" s="499">
        <v>1E-4</v>
      </c>
      <c r="Z61" s="499">
        <v>1E-4</v>
      </c>
      <c r="AA61" s="499">
        <v>1E-4</v>
      </c>
      <c r="AB61" s="499">
        <v>1E-4</v>
      </c>
      <c r="AC61" s="499">
        <v>1E-4</v>
      </c>
      <c r="AD61" s="499">
        <v>1E-4</v>
      </c>
      <c r="AE61" s="499">
        <v>1E-4</v>
      </c>
      <c r="AF61" s="499">
        <v>1E-4</v>
      </c>
      <c r="AG61" s="499">
        <v>1E-4</v>
      </c>
      <c r="AH61" s="499">
        <v>1E-4</v>
      </c>
      <c r="AI61" s="499">
        <v>1E-4</v>
      </c>
      <c r="AJ61" s="499">
        <v>1E-4</v>
      </c>
      <c r="AK61" s="499" t="s">
        <v>41</v>
      </c>
      <c r="AL61" s="508" t="s">
        <v>728</v>
      </c>
      <c r="AM61" s="29">
        <v>3.8480775810632766E-3</v>
      </c>
    </row>
    <row r="62" spans="1:39">
      <c r="A62" s="501" t="s">
        <v>735</v>
      </c>
      <c r="G62" s="499">
        <v>4.420585</v>
      </c>
      <c r="H62" s="499">
        <v>4.8728860000000003</v>
      </c>
      <c r="I62" s="499">
        <v>5.9408130000000003</v>
      </c>
      <c r="J62" s="499">
        <v>5.964995</v>
      </c>
      <c r="K62" s="499">
        <v>5.9276689999999999</v>
      </c>
      <c r="L62" s="499">
        <v>5.9280160000000004</v>
      </c>
      <c r="M62" s="499">
        <v>5.9282140000000005</v>
      </c>
      <c r="N62" s="499">
        <v>5.928134</v>
      </c>
      <c r="O62" s="499">
        <v>5.9278469999999999</v>
      </c>
      <c r="P62" s="499">
        <v>5.9270630000000004</v>
      </c>
      <c r="Q62" s="499">
        <v>5.9266079999999999</v>
      </c>
      <c r="R62" s="499">
        <v>5.9261970000000002</v>
      </c>
      <c r="S62" s="499">
        <v>5.9257340000000003</v>
      </c>
      <c r="T62" s="499">
        <v>5.9914560000000003</v>
      </c>
      <c r="U62" s="499">
        <v>5.9911790000000007</v>
      </c>
      <c r="V62" s="499">
        <v>5.9907900000000005</v>
      </c>
      <c r="W62" s="499">
        <v>5.9903769999999996</v>
      </c>
      <c r="X62" s="499">
        <v>5.9899379999999995</v>
      </c>
      <c r="Y62" s="499">
        <v>5.989026</v>
      </c>
      <c r="Z62" s="499">
        <v>5.9879519999999999</v>
      </c>
      <c r="AA62" s="499">
        <v>5.9869700000000003</v>
      </c>
      <c r="AB62" s="499">
        <v>5.9859590000000003</v>
      </c>
      <c r="AC62" s="499">
        <v>5.9849180000000004</v>
      </c>
      <c r="AD62" s="499">
        <v>6.1133790000000001</v>
      </c>
      <c r="AE62" s="499">
        <v>6.1128049999999998</v>
      </c>
      <c r="AF62" s="499">
        <v>6.1121630000000007</v>
      </c>
      <c r="AG62" s="499">
        <v>6.1114839999999999</v>
      </c>
      <c r="AH62" s="499">
        <v>6.1108529999999996</v>
      </c>
      <c r="AI62" s="499">
        <v>6.1102360000000004</v>
      </c>
      <c r="AJ62" s="499">
        <v>6.1096870000000001</v>
      </c>
      <c r="AK62" s="503">
        <v>4.0000000000000001E-3</v>
      </c>
      <c r="AL62" s="508" t="s">
        <v>729</v>
      </c>
      <c r="AM62" s="29">
        <v>0.5</v>
      </c>
    </row>
    <row r="63" spans="1:39">
      <c r="A63" s="501" t="s">
        <v>736</v>
      </c>
      <c r="G63" s="499">
        <v>1.399089</v>
      </c>
      <c r="H63" s="499">
        <v>1.3473730000000002</v>
      </c>
      <c r="I63" s="499">
        <v>1.4659610000000001</v>
      </c>
      <c r="J63" s="499">
        <v>1.6648689999999999</v>
      </c>
      <c r="K63" s="499">
        <v>1.9661019999999998</v>
      </c>
      <c r="L63" s="499">
        <v>2.7700170000000002</v>
      </c>
      <c r="M63" s="499">
        <v>5.180968</v>
      </c>
      <c r="N63" s="499">
        <v>8.601642</v>
      </c>
      <c r="O63" s="499">
        <v>8.6526069999999997</v>
      </c>
      <c r="P63" s="499">
        <v>9.4050900000000013</v>
      </c>
      <c r="Q63" s="499">
        <v>9.8504959999999997</v>
      </c>
      <c r="R63" s="499">
        <v>10.600919000000001</v>
      </c>
      <c r="S63" s="499">
        <v>13.035772</v>
      </c>
      <c r="T63" s="499">
        <v>13.165647999999999</v>
      </c>
      <c r="U63" s="499">
        <v>14.561133000000002</v>
      </c>
      <c r="V63" s="499">
        <v>14.825056999999999</v>
      </c>
      <c r="W63" s="499">
        <v>14.852137000000001</v>
      </c>
      <c r="X63" s="499">
        <v>15.195461999999999</v>
      </c>
      <c r="Y63" s="499">
        <v>15.447913</v>
      </c>
      <c r="Z63" s="499">
        <v>17.377988999999999</v>
      </c>
      <c r="AA63" s="499">
        <v>18.612911</v>
      </c>
      <c r="AB63" s="499">
        <v>19.046157000000001</v>
      </c>
      <c r="AC63" s="499">
        <v>19.126007999999999</v>
      </c>
      <c r="AD63" s="499">
        <v>19.178376</v>
      </c>
      <c r="AE63" s="499">
        <v>19.190023</v>
      </c>
      <c r="AF63" s="499">
        <v>19.109304999999999</v>
      </c>
      <c r="AG63" s="499">
        <v>19.221747000000001</v>
      </c>
      <c r="AH63" s="499">
        <v>19.334365000000002</v>
      </c>
      <c r="AI63" s="499">
        <v>19.320990000000002</v>
      </c>
      <c r="AJ63" s="499">
        <v>19.370069999999998</v>
      </c>
      <c r="AK63" s="503">
        <v>1.7999999999999999E-2</v>
      </c>
      <c r="AL63" s="508" t="s">
        <v>143</v>
      </c>
      <c r="AM63" s="29">
        <v>1.6359952596916371E-2</v>
      </c>
    </row>
    <row r="64" spans="1:39">
      <c r="A64" s="501" t="s">
        <v>737</v>
      </c>
      <c r="G64" s="499">
        <v>0.874865</v>
      </c>
      <c r="H64" s="499">
        <v>1.7395580000000002</v>
      </c>
      <c r="I64" s="499">
        <v>2.505557</v>
      </c>
      <c r="J64" s="499">
        <v>3.2208000000000001</v>
      </c>
      <c r="K64" s="499">
        <v>3.9420599999999997</v>
      </c>
      <c r="L64" s="499">
        <v>4.6265770000000002</v>
      </c>
      <c r="M64" s="499">
        <v>4.6541629999999996</v>
      </c>
      <c r="N64" s="499">
        <v>4.699179</v>
      </c>
      <c r="O64" s="499">
        <v>4.7753269999999999</v>
      </c>
      <c r="P64" s="499">
        <v>4.896191</v>
      </c>
      <c r="Q64" s="499">
        <v>5.0366669999999996</v>
      </c>
      <c r="R64" s="499">
        <v>5.1880280000000001</v>
      </c>
      <c r="S64" s="499">
        <v>5.3521670000000006</v>
      </c>
      <c r="T64" s="499">
        <v>5.536835</v>
      </c>
      <c r="U64" s="499">
        <v>5.7506490000000001</v>
      </c>
      <c r="V64" s="499">
        <v>5.9746129999999997</v>
      </c>
      <c r="W64" s="499">
        <v>6.2148059999999994</v>
      </c>
      <c r="X64" s="499">
        <v>6.4645420000000007</v>
      </c>
      <c r="Y64" s="499">
        <v>6.726013</v>
      </c>
      <c r="Z64" s="499">
        <v>7.0083009999999994</v>
      </c>
      <c r="AA64" s="499">
        <v>7.2977869999999996</v>
      </c>
      <c r="AB64" s="499">
        <v>7.5884020000000003</v>
      </c>
      <c r="AC64" s="499">
        <v>7.8846759999999998</v>
      </c>
      <c r="AD64" s="499">
        <v>8.2081979999999994</v>
      </c>
      <c r="AE64" s="499">
        <v>8.5440940000000012</v>
      </c>
      <c r="AF64" s="499">
        <v>8.8906949999999991</v>
      </c>
      <c r="AG64" s="499">
        <v>9.2457689999999992</v>
      </c>
      <c r="AH64" s="499">
        <v>9.6072590000000009</v>
      </c>
      <c r="AI64" s="499">
        <v>9.9771289999999997</v>
      </c>
      <c r="AJ64" s="499">
        <v>10.360859000000001</v>
      </c>
      <c r="AK64" s="503">
        <v>7.0000000000000007E-2</v>
      </c>
      <c r="AL64" s="508" t="s">
        <v>730</v>
      </c>
      <c r="AM64" s="29">
        <v>1E-3</v>
      </c>
    </row>
    <row r="65" spans="1:44">
      <c r="A65" s="501" t="s">
        <v>738</v>
      </c>
      <c r="G65" s="499">
        <v>12.539147</v>
      </c>
      <c r="H65" s="499">
        <v>14.796927999999999</v>
      </c>
      <c r="I65" s="499">
        <v>17.007448</v>
      </c>
      <c r="J65" s="499">
        <v>17.048107999999999</v>
      </c>
      <c r="K65" s="499">
        <v>17.166049999999998</v>
      </c>
      <c r="L65" s="499">
        <v>17.273971</v>
      </c>
      <c r="M65" s="499">
        <v>17.2727</v>
      </c>
      <c r="N65" s="499">
        <v>17.270510999999999</v>
      </c>
      <c r="O65" s="499">
        <v>17.268740999999999</v>
      </c>
      <c r="P65" s="499">
        <v>17.274557000000001</v>
      </c>
      <c r="Q65" s="499">
        <v>17.276361999999999</v>
      </c>
      <c r="R65" s="499">
        <v>17.278380000000002</v>
      </c>
      <c r="S65" s="499">
        <v>17.280798000000001</v>
      </c>
      <c r="T65" s="499">
        <v>17.291643000000001</v>
      </c>
      <c r="U65" s="499">
        <v>17.307338000000001</v>
      </c>
      <c r="V65" s="499">
        <v>17.331841000000001</v>
      </c>
      <c r="W65" s="499">
        <v>17.358896999999999</v>
      </c>
      <c r="X65" s="499">
        <v>17.385591999999999</v>
      </c>
      <c r="Y65" s="499">
        <v>17.413271000000002</v>
      </c>
      <c r="Z65" s="499">
        <v>17.445</v>
      </c>
      <c r="AA65" s="499">
        <v>17.470669999999998</v>
      </c>
      <c r="AB65" s="499">
        <v>17.496019</v>
      </c>
      <c r="AC65" s="499">
        <v>17.544440000000002</v>
      </c>
      <c r="AD65" s="499">
        <v>17.623866</v>
      </c>
      <c r="AE65" s="499">
        <v>17.678328</v>
      </c>
      <c r="AF65" s="499">
        <v>17.712706000000001</v>
      </c>
      <c r="AG65" s="499">
        <v>17.814340999999999</v>
      </c>
      <c r="AH65" s="499">
        <v>17.890840000000001</v>
      </c>
      <c r="AI65" s="499">
        <v>18.045925999999998</v>
      </c>
      <c r="AJ65" s="499">
        <v>18.262554999999999</v>
      </c>
      <c r="AK65" s="503">
        <v>7.2999999999999995E-2</v>
      </c>
      <c r="AL65" s="508" t="s">
        <v>731</v>
      </c>
      <c r="AM65" s="29">
        <v>0.26215347326358562</v>
      </c>
    </row>
    <row r="66" spans="1:44">
      <c r="A66" s="502" t="s">
        <v>739</v>
      </c>
      <c r="G66" s="500">
        <v>29.055223999999999</v>
      </c>
      <c r="H66" s="500">
        <v>30.462267000000001</v>
      </c>
      <c r="I66" s="500">
        <v>36.812928999999997</v>
      </c>
      <c r="J66" s="500">
        <v>38.492525000000001</v>
      </c>
      <c r="K66" s="500">
        <v>40.246302</v>
      </c>
      <c r="L66" s="500">
        <v>42.042001999999997</v>
      </c>
      <c r="M66" s="500">
        <v>45.641128999999999</v>
      </c>
      <c r="N66" s="500">
        <v>49.104549000000006</v>
      </c>
      <c r="O66" s="500">
        <v>49.229607000000001</v>
      </c>
      <c r="P66" s="500">
        <v>50.107984000000002</v>
      </c>
      <c r="Q66" s="500">
        <v>50.848313000000005</v>
      </c>
      <c r="R66" s="500">
        <v>51.751705000000001</v>
      </c>
      <c r="S66" s="500">
        <v>54.888897</v>
      </c>
      <c r="T66" s="500">
        <v>55.280011999999999</v>
      </c>
      <c r="U66" s="500">
        <v>56.904719999999998</v>
      </c>
      <c r="V66" s="500">
        <v>57.416725</v>
      </c>
      <c r="W66" s="500">
        <v>57.710644000000002</v>
      </c>
      <c r="X66" s="500">
        <v>58.415923000000006</v>
      </c>
      <c r="Y66" s="500">
        <v>58.956609999999998</v>
      </c>
      <c r="Z66" s="500">
        <v>61.255569000000001</v>
      </c>
      <c r="AA66" s="500">
        <v>62.970205</v>
      </c>
      <c r="AB66" s="500">
        <v>63.863051999999996</v>
      </c>
      <c r="AC66" s="500">
        <v>64.28655599999999</v>
      </c>
      <c r="AD66" s="500">
        <v>65.067972999999995</v>
      </c>
      <c r="AE66" s="500">
        <v>65.645055999999997</v>
      </c>
      <c r="AF66" s="500">
        <v>66.016472000000007</v>
      </c>
      <c r="AG66" s="500">
        <v>66.584946000000002</v>
      </c>
      <c r="AH66" s="500">
        <v>67.134925999999993</v>
      </c>
      <c r="AI66" s="500">
        <v>67.645887000000002</v>
      </c>
      <c r="AJ66" s="500">
        <v>68.294772999999992</v>
      </c>
      <c r="AK66" s="504">
        <v>2.1999999999999999E-2</v>
      </c>
      <c r="AL66" s="508" t="s">
        <v>732</v>
      </c>
      <c r="AM66" s="29">
        <v>0.25356125356125359</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6.8931851400020547E-2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581</v>
      </c>
      <c r="AB70" s="319" t="s">
        <v>582</v>
      </c>
      <c r="AC70" s="319" t="s">
        <v>583</v>
      </c>
      <c r="AD70" s="319" t="s">
        <v>584</v>
      </c>
      <c r="AE70" s="319" t="s">
        <v>585</v>
      </c>
      <c r="AF70" s="319" t="s">
        <v>586</v>
      </c>
      <c r="AG70" s="319" t="s">
        <v>587</v>
      </c>
      <c r="AH70" s="319" t="s">
        <v>588</v>
      </c>
      <c r="AI70" s="319" t="s">
        <v>589</v>
      </c>
      <c r="AJ70" s="319" t="s">
        <v>590</v>
      </c>
      <c r="AK70" s="319" t="s">
        <v>593</v>
      </c>
      <c r="AM70" s="90" t="s">
        <v>751</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727</v>
      </c>
      <c r="AN72" s="18">
        <v>0</v>
      </c>
      <c r="AO72" s="18">
        <v>0</v>
      </c>
      <c r="AP72" s="18">
        <v>0</v>
      </c>
      <c r="AQ72" s="18">
        <v>0</v>
      </c>
      <c r="AR72" s="18">
        <v>0</v>
      </c>
    </row>
    <row r="73" spans="1:44" s="18" customFormat="1">
      <c r="A73" s="17" t="s">
        <v>49</v>
      </c>
      <c r="B73" s="491">
        <f>AN73</f>
        <v>3.5000000000000003E-2</v>
      </c>
      <c r="C73" s="491">
        <f t="shared" ref="C73:F73" si="0">AO73</f>
        <v>2.1000000000000001E-2</v>
      </c>
      <c r="D73" s="491">
        <f t="shared" si="0"/>
        <v>2.5999999999999999E-2</v>
      </c>
      <c r="E73" s="491">
        <f t="shared" si="0"/>
        <v>3.2000000000000001E-2</v>
      </c>
      <c r="F73" s="491">
        <f t="shared" si="0"/>
        <v>1.7999999999999999E-2</v>
      </c>
      <c r="G73" s="484">
        <f t="shared" ref="G73:AJ73" si="1">G60*$AM61</f>
        <v>3.7794040189361056E-2</v>
      </c>
      <c r="H73" s="484">
        <f t="shared" si="1"/>
        <v>2.9651450306667441E-2</v>
      </c>
      <c r="I73" s="484">
        <f t="shared" si="1"/>
        <v>3.8069608721096153E-2</v>
      </c>
      <c r="J73" s="484">
        <f t="shared" si="1"/>
        <v>4.0765579570544247E-2</v>
      </c>
      <c r="K73" s="484">
        <f t="shared" si="1"/>
        <v>4.3269408210214688E-2</v>
      </c>
      <c r="L73" s="484">
        <f t="shared" si="1"/>
        <v>4.403516795269112E-2</v>
      </c>
      <c r="M73" s="484">
        <f t="shared" si="1"/>
        <v>4.8505344995896989E-2</v>
      </c>
      <c r="N73" s="484">
        <f t="shared" si="1"/>
        <v>4.8505344995896989E-2</v>
      </c>
      <c r="O73" s="484">
        <f t="shared" si="1"/>
        <v>4.8505344995896989E-2</v>
      </c>
      <c r="P73" s="484">
        <f t="shared" si="1"/>
        <v>4.8505341147819417E-2</v>
      </c>
      <c r="Q73" s="484">
        <f t="shared" si="1"/>
        <v>4.9094458737014714E-2</v>
      </c>
      <c r="R73" s="484">
        <f t="shared" si="1"/>
        <v>4.9094458737014714E-2</v>
      </c>
      <c r="S73" s="484">
        <f t="shared" si="1"/>
        <v>5.1157986491782312E-2</v>
      </c>
      <c r="T73" s="484">
        <f t="shared" si="1"/>
        <v>5.1157986491782312E-2</v>
      </c>
      <c r="U73" s="484">
        <f t="shared" si="1"/>
        <v>5.1157986491782312E-2</v>
      </c>
      <c r="V73" s="484">
        <f t="shared" si="1"/>
        <v>5.1157986491782312E-2</v>
      </c>
      <c r="W73" s="484">
        <f t="shared" si="1"/>
        <v>5.1157986491782312E-2</v>
      </c>
      <c r="X73" s="484">
        <f t="shared" si="1"/>
        <v>5.1488767240650511E-2</v>
      </c>
      <c r="Y73" s="484">
        <f t="shared" si="1"/>
        <v>5.1488767240650511E-2</v>
      </c>
      <c r="Z73" s="484">
        <f t="shared" si="1"/>
        <v>5.170403254861277E-2</v>
      </c>
      <c r="AA73" s="484">
        <f t="shared" si="1"/>
        <v>5.2341035615226829E-2</v>
      </c>
      <c r="AB73" s="484">
        <f t="shared" si="1"/>
        <v>5.289765618925004E-2</v>
      </c>
      <c r="AC73" s="484">
        <f t="shared" si="1"/>
        <v>5.289765618925004E-2</v>
      </c>
      <c r="AD73" s="484">
        <f t="shared" si="1"/>
        <v>5.3658194090448974E-2</v>
      </c>
      <c r="AE73" s="484">
        <f t="shared" si="1"/>
        <v>5.4334105069485154E-2</v>
      </c>
      <c r="AF73" s="484">
        <f t="shared" si="1"/>
        <v>5.4610393191727925E-2</v>
      </c>
      <c r="AG73" s="484">
        <f t="shared" si="1"/>
        <v>5.4610393191727925E-2</v>
      </c>
      <c r="AH73" s="484">
        <f t="shared" si="1"/>
        <v>5.4610393191727925E-2</v>
      </c>
      <c r="AI73" s="484">
        <f t="shared" si="1"/>
        <v>5.4610393191727925E-2</v>
      </c>
      <c r="AJ73" s="484">
        <f t="shared" si="1"/>
        <v>5.4610393191727925E-2</v>
      </c>
      <c r="AK73" s="485"/>
      <c r="AM73" s="18" t="s">
        <v>728</v>
      </c>
      <c r="AN73" s="18">
        <v>3.5000000000000003E-2</v>
      </c>
      <c r="AO73" s="18">
        <v>2.1000000000000001E-2</v>
      </c>
      <c r="AP73" s="18">
        <v>2.5999999999999999E-2</v>
      </c>
      <c r="AQ73" s="18">
        <v>3.2000000000000001E-2</v>
      </c>
      <c r="AR73" s="18">
        <v>1.7999999999999999E-2</v>
      </c>
    </row>
    <row r="74" spans="1:44" s="18" customFormat="1">
      <c r="A74" s="17" t="s">
        <v>50</v>
      </c>
      <c r="B74" s="491">
        <f>AN72</f>
        <v>0</v>
      </c>
      <c r="C74" s="491">
        <f t="shared" ref="C74:F74" si="2">AO72</f>
        <v>0</v>
      </c>
      <c r="D74" s="491">
        <f t="shared" si="2"/>
        <v>0</v>
      </c>
      <c r="E74" s="491">
        <f t="shared" si="2"/>
        <v>0</v>
      </c>
      <c r="F74" s="491">
        <f t="shared" si="2"/>
        <v>0</v>
      </c>
      <c r="G74" s="484">
        <f t="shared" ref="G74:AJ74" si="3">G61*$AM60</f>
        <v>9.9999999999999994E-12</v>
      </c>
      <c r="H74" s="484">
        <f t="shared" si="3"/>
        <v>9.9999999999999994E-12</v>
      </c>
      <c r="I74" s="484">
        <f t="shared" si="3"/>
        <v>9.9999999999999994E-12</v>
      </c>
      <c r="J74" s="484">
        <f t="shared" si="3"/>
        <v>9.9999999999999994E-12</v>
      </c>
      <c r="K74" s="484">
        <f t="shared" si="3"/>
        <v>9.9999999999999994E-12</v>
      </c>
      <c r="L74" s="484">
        <f t="shared" si="3"/>
        <v>9.9999999999999994E-12</v>
      </c>
      <c r="M74" s="484">
        <f t="shared" si="3"/>
        <v>9.9999999999999994E-12</v>
      </c>
      <c r="N74" s="484">
        <f t="shared" si="3"/>
        <v>9.9999999999999994E-12</v>
      </c>
      <c r="O74" s="484">
        <f t="shared" si="3"/>
        <v>9.9999999999999994E-12</v>
      </c>
      <c r="P74" s="484">
        <f t="shared" si="3"/>
        <v>9.9999999999999994E-12</v>
      </c>
      <c r="Q74" s="484">
        <f t="shared" si="3"/>
        <v>9.9999999999999994E-12</v>
      </c>
      <c r="R74" s="484">
        <f t="shared" si="3"/>
        <v>9.9999999999999994E-12</v>
      </c>
      <c r="S74" s="484">
        <f t="shared" si="3"/>
        <v>9.9999999999999994E-12</v>
      </c>
      <c r="T74" s="484">
        <f t="shared" si="3"/>
        <v>9.9999999999999994E-12</v>
      </c>
      <c r="U74" s="484">
        <f t="shared" si="3"/>
        <v>9.9999999999999994E-12</v>
      </c>
      <c r="V74" s="484">
        <f t="shared" si="3"/>
        <v>9.9999999999999994E-12</v>
      </c>
      <c r="W74" s="484">
        <f t="shared" si="3"/>
        <v>9.9999999999999994E-12</v>
      </c>
      <c r="X74" s="484">
        <f t="shared" si="3"/>
        <v>9.9999999999999994E-12</v>
      </c>
      <c r="Y74" s="484">
        <f t="shared" si="3"/>
        <v>9.9999999999999994E-12</v>
      </c>
      <c r="Z74" s="484">
        <f t="shared" si="3"/>
        <v>9.9999999999999994E-12</v>
      </c>
      <c r="AA74" s="484">
        <f t="shared" si="3"/>
        <v>9.9999999999999994E-12</v>
      </c>
      <c r="AB74" s="484">
        <f t="shared" si="3"/>
        <v>9.9999999999999994E-12</v>
      </c>
      <c r="AC74" s="484">
        <f t="shared" si="3"/>
        <v>9.9999999999999994E-12</v>
      </c>
      <c r="AD74" s="484">
        <f t="shared" si="3"/>
        <v>9.9999999999999994E-12</v>
      </c>
      <c r="AE74" s="484">
        <f t="shared" si="3"/>
        <v>9.9999999999999994E-12</v>
      </c>
      <c r="AF74" s="484">
        <f t="shared" si="3"/>
        <v>9.9999999999999994E-12</v>
      </c>
      <c r="AG74" s="484">
        <f t="shared" si="3"/>
        <v>9.9999999999999994E-12</v>
      </c>
      <c r="AH74" s="484">
        <f t="shared" si="3"/>
        <v>9.9999999999999994E-12</v>
      </c>
      <c r="AI74" s="484">
        <f t="shared" si="3"/>
        <v>9.9999999999999994E-12</v>
      </c>
      <c r="AJ74" s="484">
        <f t="shared" si="3"/>
        <v>9.9999999999999994E-12</v>
      </c>
      <c r="AK74" s="485"/>
      <c r="AM74" s="18" t="s">
        <v>729</v>
      </c>
      <c r="AN74" s="18">
        <v>0</v>
      </c>
      <c r="AO74" s="18">
        <v>0</v>
      </c>
      <c r="AP74" s="18">
        <v>3.0000000000000001E-3</v>
      </c>
      <c r="AQ74" s="18">
        <v>1.0999999999999999E-2</v>
      </c>
      <c r="AR74" s="18">
        <v>2.1000000000000001E-2</v>
      </c>
    </row>
    <row r="75" spans="1:44" s="18" customFormat="1">
      <c r="A75" s="17" t="s">
        <v>51</v>
      </c>
      <c r="B75" s="491">
        <f>AN77</f>
        <v>0.80300000000000005</v>
      </c>
      <c r="C75" s="491">
        <f t="shared" ref="C75:F75" si="4">AO77</f>
        <v>0.82199999999999995</v>
      </c>
      <c r="D75" s="491">
        <f t="shared" si="4"/>
        <v>0.879</v>
      </c>
      <c r="E75" s="491">
        <f t="shared" si="4"/>
        <v>0.92500000000000004</v>
      </c>
      <c r="F75" s="491">
        <f t="shared" si="4"/>
        <v>0.81599999999999995</v>
      </c>
      <c r="G75" s="484">
        <f t="shared" ref="G75:AJ75" si="5">G62*$AM65</f>
        <v>1.1588717116069076</v>
      </c>
      <c r="H75" s="484">
        <f t="shared" si="5"/>
        <v>1.2774439897175007</v>
      </c>
      <c r="I75" s="484">
        <f t="shared" si="5"/>
        <v>1.557404761959462</v>
      </c>
      <c r="J75" s="484">
        <f t="shared" si="5"/>
        <v>1.563744157249922</v>
      </c>
      <c r="K75" s="484">
        <f t="shared" si="5"/>
        <v>1.5539590167068853</v>
      </c>
      <c r="L75" s="484">
        <f t="shared" si="5"/>
        <v>1.5540499839621078</v>
      </c>
      <c r="M75" s="484">
        <f t="shared" si="5"/>
        <v>1.5541018903498141</v>
      </c>
      <c r="N75" s="484">
        <f t="shared" si="5"/>
        <v>1.5540809180719528</v>
      </c>
      <c r="O75" s="484">
        <f t="shared" si="5"/>
        <v>1.5540056800251263</v>
      </c>
      <c r="P75" s="484">
        <f t="shared" si="5"/>
        <v>1.5538001517020876</v>
      </c>
      <c r="Q75" s="484">
        <f t="shared" si="5"/>
        <v>1.5536808718717525</v>
      </c>
      <c r="R75" s="484">
        <f t="shared" si="5"/>
        <v>1.5535731267942414</v>
      </c>
      <c r="S75" s="484">
        <f t="shared" si="5"/>
        <v>1.5534517497361204</v>
      </c>
      <c r="T75" s="484">
        <f t="shared" si="5"/>
        <v>1.5706810003059497</v>
      </c>
      <c r="U75" s="484">
        <f t="shared" si="5"/>
        <v>1.5706083837938558</v>
      </c>
      <c r="V75" s="484">
        <f t="shared" si="5"/>
        <v>1.5705064060927563</v>
      </c>
      <c r="W75" s="484">
        <f t="shared" si="5"/>
        <v>1.5703981367082982</v>
      </c>
      <c r="X75" s="484">
        <f t="shared" si="5"/>
        <v>1.5702830513335355</v>
      </c>
      <c r="Y75" s="484">
        <f t="shared" si="5"/>
        <v>1.5700439673659192</v>
      </c>
      <c r="Z75" s="484">
        <f t="shared" si="5"/>
        <v>1.5697624145356341</v>
      </c>
      <c r="AA75" s="484">
        <f t="shared" si="5"/>
        <v>1.5695049798248892</v>
      </c>
      <c r="AB75" s="484">
        <f t="shared" si="5"/>
        <v>1.5692399426634198</v>
      </c>
      <c r="AC75" s="484">
        <f t="shared" si="5"/>
        <v>1.5689670408977525</v>
      </c>
      <c r="AD75" s="484">
        <f t="shared" si="5"/>
        <v>1.6026435382266659</v>
      </c>
      <c r="AE75" s="484">
        <f t="shared" si="5"/>
        <v>1.6024930621330125</v>
      </c>
      <c r="AF75" s="484">
        <f t="shared" si="5"/>
        <v>1.6023247596031776</v>
      </c>
      <c r="AG75" s="484">
        <f t="shared" si="5"/>
        <v>1.6021467573948314</v>
      </c>
      <c r="AH75" s="484">
        <f t="shared" si="5"/>
        <v>1.6019813385532018</v>
      </c>
      <c r="AI75" s="484">
        <f t="shared" si="5"/>
        <v>1.6018195898601986</v>
      </c>
      <c r="AJ75" s="484">
        <f t="shared" si="5"/>
        <v>1.6016756676033768</v>
      </c>
      <c r="AK75" s="485"/>
      <c r="AM75" s="18" t="s">
        <v>143</v>
      </c>
      <c r="AN75" s="18">
        <v>1.6E-2</v>
      </c>
      <c r="AO75" s="18">
        <v>0.02</v>
      </c>
      <c r="AP75" s="18">
        <v>2.1000000000000001E-2</v>
      </c>
      <c r="AQ75" s="18">
        <v>2.1000000000000001E-2</v>
      </c>
      <c r="AR75" s="18">
        <v>1.2999999999999999E-2</v>
      </c>
    </row>
    <row r="76" spans="1:44" s="18" customFormat="1">
      <c r="A76" s="17" t="s">
        <v>56</v>
      </c>
      <c r="B76" s="492">
        <f>AN76</f>
        <v>0</v>
      </c>
      <c r="C76" s="492">
        <f t="shared" ref="C76:F76" si="6">AO76</f>
        <v>0</v>
      </c>
      <c r="D76" s="492">
        <f t="shared" si="6"/>
        <v>0</v>
      </c>
      <c r="E76" s="492">
        <f t="shared" si="6"/>
        <v>0</v>
      </c>
      <c r="F76" s="492">
        <f t="shared" si="6"/>
        <v>0</v>
      </c>
      <c r="G76" s="492">
        <f>G63*$AM$64</f>
        <v>1.3990890000000001E-3</v>
      </c>
      <c r="H76" s="492">
        <f>H63*$AM$64</f>
        <v>1.3473730000000002E-3</v>
      </c>
      <c r="I76" s="492">
        <f t="shared" ref="I76:AJ76" si="7">I63*$AM$64</f>
        <v>1.465961E-3</v>
      </c>
      <c r="J76" s="492">
        <f t="shared" si="7"/>
        <v>1.664869E-3</v>
      </c>
      <c r="K76" s="492">
        <f t="shared" si="7"/>
        <v>1.966102E-3</v>
      </c>
      <c r="L76" s="492">
        <f t="shared" si="7"/>
        <v>2.7700170000000001E-3</v>
      </c>
      <c r="M76" s="492">
        <f t="shared" si="7"/>
        <v>5.1809680000000002E-3</v>
      </c>
      <c r="N76" s="492">
        <f t="shared" si="7"/>
        <v>8.6016419999999996E-3</v>
      </c>
      <c r="O76" s="492">
        <f t="shared" si="7"/>
        <v>8.6526069999999997E-3</v>
      </c>
      <c r="P76" s="492">
        <f t="shared" si="7"/>
        <v>9.4050900000000014E-3</v>
      </c>
      <c r="Q76" s="492">
        <f t="shared" si="7"/>
        <v>9.8504960000000003E-3</v>
      </c>
      <c r="R76" s="492">
        <f t="shared" si="7"/>
        <v>1.0600919000000002E-2</v>
      </c>
      <c r="S76" s="492">
        <f t="shared" si="7"/>
        <v>1.3035771999999999E-2</v>
      </c>
      <c r="T76" s="492">
        <f t="shared" si="7"/>
        <v>1.3165647999999999E-2</v>
      </c>
      <c r="U76" s="492">
        <f t="shared" si="7"/>
        <v>1.4561133000000002E-2</v>
      </c>
      <c r="V76" s="492">
        <f t="shared" si="7"/>
        <v>1.4825056999999999E-2</v>
      </c>
      <c r="W76" s="492">
        <f t="shared" si="7"/>
        <v>1.4852137000000001E-2</v>
      </c>
      <c r="X76" s="492">
        <f t="shared" si="7"/>
        <v>1.5195462E-2</v>
      </c>
      <c r="Y76" s="492">
        <f t="shared" si="7"/>
        <v>1.5447913000000001E-2</v>
      </c>
      <c r="Z76" s="492">
        <f t="shared" si="7"/>
        <v>1.7377989E-2</v>
      </c>
      <c r="AA76" s="492">
        <f t="shared" si="7"/>
        <v>1.8612910999999999E-2</v>
      </c>
      <c r="AB76" s="492">
        <f t="shared" si="7"/>
        <v>1.9046157000000001E-2</v>
      </c>
      <c r="AC76" s="492">
        <f t="shared" si="7"/>
        <v>1.9126008E-2</v>
      </c>
      <c r="AD76" s="492">
        <f t="shared" si="7"/>
        <v>1.9178376E-2</v>
      </c>
      <c r="AE76" s="492">
        <f t="shared" si="7"/>
        <v>1.9190023E-2</v>
      </c>
      <c r="AF76" s="492">
        <f t="shared" si="7"/>
        <v>1.9109305E-2</v>
      </c>
      <c r="AG76" s="492">
        <f t="shared" si="7"/>
        <v>1.9221747000000001E-2</v>
      </c>
      <c r="AH76" s="492">
        <f t="shared" si="7"/>
        <v>1.9334365000000003E-2</v>
      </c>
      <c r="AI76" s="492">
        <f t="shared" si="7"/>
        <v>1.9320990000000003E-2</v>
      </c>
      <c r="AJ76" s="492">
        <f t="shared" si="7"/>
        <v>1.937007E-2</v>
      </c>
      <c r="AK76" s="485"/>
      <c r="AM76" s="18" t="s">
        <v>746</v>
      </c>
      <c r="AN76" s="18">
        <v>0</v>
      </c>
      <c r="AO76" s="18">
        <v>0</v>
      </c>
      <c r="AP76" s="18">
        <v>0</v>
      </c>
      <c r="AQ76" s="18">
        <v>0</v>
      </c>
      <c r="AR76" s="18">
        <v>0</v>
      </c>
    </row>
    <row r="77" spans="1:44" s="18" customFormat="1">
      <c r="A77" s="17" t="s">
        <v>52</v>
      </c>
      <c r="B77" s="491">
        <f>AN74</f>
        <v>0</v>
      </c>
      <c r="C77" s="491">
        <f t="shared" ref="C77:F77" si="8">AO74</f>
        <v>0</v>
      </c>
      <c r="D77" s="491">
        <f t="shared" si="8"/>
        <v>3.0000000000000001E-3</v>
      </c>
      <c r="E77" s="491">
        <f t="shared" si="8"/>
        <v>1.0999999999999999E-2</v>
      </c>
      <c r="F77" s="491">
        <f t="shared" si="8"/>
        <v>2.1000000000000001E-2</v>
      </c>
      <c r="G77" s="484">
        <f t="shared" ref="G77:AJ77" si="9">G64*$AM62</f>
        <v>0.4374325</v>
      </c>
      <c r="H77" s="484">
        <f t="shared" si="9"/>
        <v>0.86977900000000008</v>
      </c>
      <c r="I77" s="484">
        <f t="shared" si="9"/>
        <v>1.2527785</v>
      </c>
      <c r="J77" s="484">
        <f t="shared" si="9"/>
        <v>1.6104000000000001</v>
      </c>
      <c r="K77" s="484">
        <f t="shared" si="9"/>
        <v>1.9710299999999998</v>
      </c>
      <c r="L77" s="484">
        <f t="shared" si="9"/>
        <v>2.3132885000000001</v>
      </c>
      <c r="M77" s="484">
        <f t="shared" si="9"/>
        <v>2.3270814999999998</v>
      </c>
      <c r="N77" s="484">
        <f t="shared" si="9"/>
        <v>2.3495895</v>
      </c>
      <c r="O77" s="484">
        <f t="shared" si="9"/>
        <v>2.3876634999999999</v>
      </c>
      <c r="P77" s="484">
        <f t="shared" si="9"/>
        <v>2.4480955</v>
      </c>
      <c r="Q77" s="484">
        <f t="shared" si="9"/>
        <v>2.5183334999999998</v>
      </c>
      <c r="R77" s="484">
        <f t="shared" si="9"/>
        <v>2.594014</v>
      </c>
      <c r="S77" s="484">
        <f t="shared" si="9"/>
        <v>2.6760835000000003</v>
      </c>
      <c r="T77" s="484">
        <f t="shared" si="9"/>
        <v>2.7684175</v>
      </c>
      <c r="U77" s="484">
        <f t="shared" si="9"/>
        <v>2.8753245000000001</v>
      </c>
      <c r="V77" s="484">
        <f t="shared" si="9"/>
        <v>2.9873064999999999</v>
      </c>
      <c r="W77" s="484">
        <f t="shared" si="9"/>
        <v>3.1074029999999997</v>
      </c>
      <c r="X77" s="484">
        <f t="shared" si="9"/>
        <v>3.2322710000000003</v>
      </c>
      <c r="Y77" s="484">
        <f t="shared" si="9"/>
        <v>3.3630065</v>
      </c>
      <c r="Z77" s="484">
        <f t="shared" si="9"/>
        <v>3.5041504999999997</v>
      </c>
      <c r="AA77" s="484">
        <f t="shared" si="9"/>
        <v>3.6488934999999998</v>
      </c>
      <c r="AB77" s="484">
        <f t="shared" si="9"/>
        <v>3.7942010000000002</v>
      </c>
      <c r="AC77" s="484">
        <f t="shared" si="9"/>
        <v>3.9423379999999999</v>
      </c>
      <c r="AD77" s="484">
        <f t="shared" si="9"/>
        <v>4.1040989999999997</v>
      </c>
      <c r="AE77" s="484">
        <f t="shared" si="9"/>
        <v>4.2720470000000006</v>
      </c>
      <c r="AF77" s="484">
        <f t="shared" si="9"/>
        <v>4.4453474999999996</v>
      </c>
      <c r="AG77" s="484">
        <f t="shared" si="9"/>
        <v>4.6228844999999996</v>
      </c>
      <c r="AH77" s="484">
        <f t="shared" si="9"/>
        <v>4.8036295000000004</v>
      </c>
      <c r="AI77" s="484">
        <f t="shared" si="9"/>
        <v>4.9885644999999998</v>
      </c>
      <c r="AJ77" s="484">
        <f t="shared" si="9"/>
        <v>5.1804295000000007</v>
      </c>
      <c r="AK77" s="485"/>
      <c r="AM77" s="18" t="s">
        <v>752</v>
      </c>
      <c r="AN77" s="18">
        <v>0.80300000000000005</v>
      </c>
      <c r="AO77" s="18">
        <v>0.82199999999999995</v>
      </c>
      <c r="AP77" s="18">
        <v>0.879</v>
      </c>
      <c r="AQ77" s="18">
        <v>0.92500000000000004</v>
      </c>
      <c r="AR77" s="18">
        <v>0.81599999999999995</v>
      </c>
    </row>
    <row r="78" spans="1:44" s="18" customFormat="1">
      <c r="A78" s="17" t="s">
        <v>53</v>
      </c>
      <c r="B78" s="491">
        <f>AN75</f>
        <v>1.6E-2</v>
      </c>
      <c r="C78" s="491">
        <f t="shared" ref="C78:F78" si="10">AO75</f>
        <v>0.02</v>
      </c>
      <c r="D78" s="491">
        <f t="shared" si="10"/>
        <v>2.1000000000000001E-2</v>
      </c>
      <c r="E78" s="491">
        <f t="shared" si="10"/>
        <v>2.1000000000000001E-2</v>
      </c>
      <c r="F78" s="491">
        <f t="shared" si="10"/>
        <v>1.2999999999999999E-2</v>
      </c>
      <c r="G78" s="484">
        <f t="shared" ref="G78:AJ78" si="11">G65*$AM63</f>
        <v>0.20513985052576611</v>
      </c>
      <c r="H78" s="484">
        <f t="shared" si="11"/>
        <v>0.24207704065998456</v>
      </c>
      <c r="I78" s="484">
        <f t="shared" si="11"/>
        <v>0.27824104307452013</v>
      </c>
      <c r="J78" s="484">
        <f t="shared" si="11"/>
        <v>0.27890623874711074</v>
      </c>
      <c r="K78" s="484">
        <f t="shared" si="11"/>
        <v>0.28083576427629625</v>
      </c>
      <c r="L78" s="484">
        <f t="shared" si="11"/>
        <v>0.28260134672050807</v>
      </c>
      <c r="M78" s="484">
        <f t="shared" si="11"/>
        <v>0.28258055322075742</v>
      </c>
      <c r="N78" s="484">
        <f t="shared" si="11"/>
        <v>0.28254474128452273</v>
      </c>
      <c r="O78" s="484">
        <f t="shared" si="11"/>
        <v>0.28251578416842621</v>
      </c>
      <c r="P78" s="484">
        <f t="shared" si="11"/>
        <v>0.28261093365272988</v>
      </c>
      <c r="Q78" s="484">
        <f t="shared" si="11"/>
        <v>0.28264046336716731</v>
      </c>
      <c r="R78" s="484">
        <f t="shared" si="11"/>
        <v>0.28267347775150792</v>
      </c>
      <c r="S78" s="484">
        <f t="shared" si="11"/>
        <v>0.28271303611688725</v>
      </c>
      <c r="T78" s="484">
        <f t="shared" si="11"/>
        <v>0.28289045980280081</v>
      </c>
      <c r="U78" s="484">
        <f t="shared" si="11"/>
        <v>0.28314722925880942</v>
      </c>
      <c r="V78" s="484">
        <f t="shared" si="11"/>
        <v>0.28354809717729162</v>
      </c>
      <c r="W78" s="484">
        <f t="shared" si="11"/>
        <v>0.28399073205475378</v>
      </c>
      <c r="X78" s="484">
        <f t="shared" si="11"/>
        <v>0.28442746098932847</v>
      </c>
      <c r="Y78" s="484">
        <f t="shared" si="11"/>
        <v>0.28488028811725857</v>
      </c>
      <c r="Z78" s="484">
        <f t="shared" si="11"/>
        <v>0.28539937305320612</v>
      </c>
      <c r="AA78" s="484">
        <f t="shared" si="11"/>
        <v>0.28581933303636892</v>
      </c>
      <c r="AB78" s="484">
        <f t="shared" si="11"/>
        <v>0.28623404147474818</v>
      </c>
      <c r="AC78" s="484">
        <f t="shared" si="11"/>
        <v>0.28702620673944346</v>
      </c>
      <c r="AD78" s="484">
        <f t="shared" si="11"/>
        <v>0.28832561233440612</v>
      </c>
      <c r="AE78" s="484">
        <f t="shared" si="11"/>
        <v>0.28921660807273941</v>
      </c>
      <c r="AF78" s="484">
        <f t="shared" si="11"/>
        <v>0.28977903052311621</v>
      </c>
      <c r="AG78" s="484">
        <f t="shared" si="11"/>
        <v>0.29144177430530377</v>
      </c>
      <c r="AH78" s="484">
        <f t="shared" si="11"/>
        <v>0.29269329431901531</v>
      </c>
      <c r="AI78" s="484">
        <f t="shared" si="11"/>
        <v>0.29523049392746065</v>
      </c>
      <c r="AJ78" s="484">
        <f t="shared" si="11"/>
        <v>0.29877453409857802</v>
      </c>
      <c r="AK78" s="485"/>
      <c r="AM78" s="18" t="s">
        <v>753</v>
      </c>
      <c r="AN78" s="18">
        <v>9.8000000000000004E-2</v>
      </c>
      <c r="AO78" s="18">
        <v>1E-3</v>
      </c>
      <c r="AP78" s="18">
        <v>3.0000000000000001E-3</v>
      </c>
      <c r="AQ78" s="18">
        <v>4.0000000000000001E-3</v>
      </c>
      <c r="AR78" s="18">
        <v>0</v>
      </c>
    </row>
    <row r="79" spans="1:44" s="18" customFormat="1">
      <c r="A79" s="17" t="s">
        <v>54</v>
      </c>
      <c r="B79" s="493">
        <f>AN79</f>
        <v>0.95199999999999996</v>
      </c>
      <c r="C79" s="493">
        <f t="shared" ref="C79:F79" si="12">AO79</f>
        <v>0.86399999999999999</v>
      </c>
      <c r="D79" s="493">
        <f t="shared" si="12"/>
        <v>0.93100000000000005</v>
      </c>
      <c r="E79" s="493">
        <f t="shared" si="12"/>
        <v>0.99199999999999999</v>
      </c>
      <c r="F79" s="493">
        <f t="shared" si="12"/>
        <v>0.86799999999999999</v>
      </c>
      <c r="G79" s="486">
        <f>SUM(G73:G78)</f>
        <v>1.8406371913320347</v>
      </c>
      <c r="H79" s="486">
        <f t="shared" ref="H79:AJ79" si="13">SUM(H73:H78)</f>
        <v>2.4202988536941525</v>
      </c>
      <c r="I79" s="486">
        <f t="shared" si="13"/>
        <v>3.1279598747650788</v>
      </c>
      <c r="J79" s="486">
        <f t="shared" si="13"/>
        <v>3.4954808445775769</v>
      </c>
      <c r="K79" s="486">
        <f t="shared" si="13"/>
        <v>3.851060291203396</v>
      </c>
      <c r="L79" s="486">
        <f t="shared" si="13"/>
        <v>4.1967450156453072</v>
      </c>
      <c r="M79" s="486">
        <f t="shared" si="13"/>
        <v>4.217450256576468</v>
      </c>
      <c r="N79" s="486">
        <f t="shared" si="13"/>
        <v>4.243322146362372</v>
      </c>
      <c r="O79" s="486">
        <f t="shared" si="13"/>
        <v>4.2813429161994492</v>
      </c>
      <c r="P79" s="486">
        <f t="shared" si="13"/>
        <v>4.3424170165126377</v>
      </c>
      <c r="Q79" s="486">
        <f t="shared" si="13"/>
        <v>4.4135997899859349</v>
      </c>
      <c r="R79" s="486">
        <f t="shared" si="13"/>
        <v>4.4899559822927637</v>
      </c>
      <c r="S79" s="486">
        <f t="shared" si="13"/>
        <v>4.5764420443547911</v>
      </c>
      <c r="T79" s="486">
        <f t="shared" si="13"/>
        <v>4.6863125946105324</v>
      </c>
      <c r="U79" s="486">
        <f t="shared" si="13"/>
        <v>4.794799232554448</v>
      </c>
      <c r="V79" s="486">
        <f t="shared" si="13"/>
        <v>4.9073440467718301</v>
      </c>
      <c r="W79" s="486">
        <f t="shared" si="13"/>
        <v>5.027801992264834</v>
      </c>
      <c r="X79" s="486">
        <f t="shared" si="13"/>
        <v>5.1536657415735148</v>
      </c>
      <c r="Y79" s="486">
        <f t="shared" si="13"/>
        <v>5.2848674357338279</v>
      </c>
      <c r="Z79" s="486">
        <f t="shared" si="13"/>
        <v>5.4283943091474525</v>
      </c>
      <c r="AA79" s="486">
        <f t="shared" si="13"/>
        <v>5.5751717594864845</v>
      </c>
      <c r="AB79" s="486">
        <f t="shared" si="13"/>
        <v>5.7216187973374186</v>
      </c>
      <c r="AC79" s="486">
        <f t="shared" si="13"/>
        <v>5.8703549118364462</v>
      </c>
      <c r="AD79" s="486">
        <f t="shared" si="13"/>
        <v>6.0679047206615202</v>
      </c>
      <c r="AE79" s="486">
        <f t="shared" si="13"/>
        <v>6.2372807982852381</v>
      </c>
      <c r="AF79" s="486">
        <f t="shared" si="13"/>
        <v>6.4111709883280206</v>
      </c>
      <c r="AG79" s="486">
        <f t="shared" si="13"/>
        <v>6.5903051719018633</v>
      </c>
      <c r="AH79" s="486">
        <f t="shared" si="13"/>
        <v>6.7722488910739456</v>
      </c>
      <c r="AI79" s="486">
        <f t="shared" si="13"/>
        <v>6.9595459669893867</v>
      </c>
      <c r="AJ79" s="486">
        <f t="shared" si="13"/>
        <v>7.1548601649036829</v>
      </c>
      <c r="AK79" s="487"/>
      <c r="AM79" s="18" t="s">
        <v>58</v>
      </c>
      <c r="AN79" s="18">
        <v>0.95199999999999996</v>
      </c>
      <c r="AO79" s="18">
        <v>0.86399999999999999</v>
      </c>
      <c r="AP79" s="18">
        <v>0.93100000000000005</v>
      </c>
      <c r="AQ79" s="18">
        <v>0.99199999999999999</v>
      </c>
      <c r="AR79" s="18">
        <v>0.86799999999999999</v>
      </c>
    </row>
    <row r="80" spans="1:44" s="255" customFormat="1">
      <c r="A80" s="254" t="s">
        <v>57</v>
      </c>
      <c r="B80" s="474">
        <f>B79*1000</f>
        <v>952</v>
      </c>
      <c r="C80" s="474">
        <f t="shared" ref="C80:AJ80" si="14">C79*1000</f>
        <v>864</v>
      </c>
      <c r="D80" s="474">
        <f t="shared" si="14"/>
        <v>931</v>
      </c>
      <c r="E80" s="474">
        <f t="shared" si="14"/>
        <v>992</v>
      </c>
      <c r="F80" s="474">
        <f t="shared" si="14"/>
        <v>868</v>
      </c>
      <c r="G80" s="276">
        <f t="shared" si="14"/>
        <v>1840.6371913320347</v>
      </c>
      <c r="H80" s="276">
        <f t="shared" si="14"/>
        <v>2420.2988536941525</v>
      </c>
      <c r="I80" s="276">
        <f t="shared" si="14"/>
        <v>3127.9598747650789</v>
      </c>
      <c r="J80" s="276">
        <f t="shared" si="14"/>
        <v>3495.480844577577</v>
      </c>
      <c r="K80" s="276">
        <f t="shared" si="14"/>
        <v>3851.060291203396</v>
      </c>
      <c r="L80" s="276">
        <f t="shared" si="14"/>
        <v>4196.7450156453069</v>
      </c>
      <c r="M80" s="276">
        <f t="shared" si="14"/>
        <v>4217.4502565764678</v>
      </c>
      <c r="N80" s="276">
        <f t="shared" si="14"/>
        <v>4243.3221463623722</v>
      </c>
      <c r="O80" s="276">
        <f t="shared" si="14"/>
        <v>4281.3429161994491</v>
      </c>
      <c r="P80" s="276">
        <f t="shared" si="14"/>
        <v>4342.4170165126379</v>
      </c>
      <c r="Q80" s="276">
        <f t="shared" si="14"/>
        <v>4413.5997899859349</v>
      </c>
      <c r="R80" s="276">
        <f t="shared" si="14"/>
        <v>4489.955982292764</v>
      </c>
      <c r="S80" s="276">
        <f t="shared" si="14"/>
        <v>4576.4420443547915</v>
      </c>
      <c r="T80" s="276">
        <f t="shared" si="14"/>
        <v>4686.312594610532</v>
      </c>
      <c r="U80" s="276">
        <f t="shared" si="14"/>
        <v>4794.7992325544483</v>
      </c>
      <c r="V80" s="276">
        <f t="shared" si="14"/>
        <v>4907.3440467718301</v>
      </c>
      <c r="W80" s="276">
        <f t="shared" si="14"/>
        <v>5027.8019922648336</v>
      </c>
      <c r="X80" s="276">
        <f t="shared" si="14"/>
        <v>5153.6657415735144</v>
      </c>
      <c r="Y80" s="276">
        <f t="shared" si="14"/>
        <v>5284.8674357338277</v>
      </c>
      <c r="Z80" s="276">
        <f t="shared" si="14"/>
        <v>5428.3943091474521</v>
      </c>
      <c r="AA80" s="276">
        <f t="shared" si="14"/>
        <v>5575.1717594864849</v>
      </c>
      <c r="AB80" s="276">
        <f t="shared" si="14"/>
        <v>5721.618797337419</v>
      </c>
      <c r="AC80" s="276">
        <f t="shared" si="14"/>
        <v>5870.3549118364463</v>
      </c>
      <c r="AD80" s="276">
        <f t="shared" si="14"/>
        <v>6067.9047206615205</v>
      </c>
      <c r="AE80" s="276">
        <f t="shared" si="14"/>
        <v>6237.2807982852382</v>
      </c>
      <c r="AF80" s="276">
        <f t="shared" si="14"/>
        <v>6411.1709883280209</v>
      </c>
      <c r="AG80" s="276">
        <f t="shared" si="14"/>
        <v>6590.3051719018631</v>
      </c>
      <c r="AH80" s="276">
        <f t="shared" si="14"/>
        <v>6772.2488910739457</v>
      </c>
      <c r="AI80" s="276">
        <f t="shared" si="14"/>
        <v>6959.5459669893862</v>
      </c>
      <c r="AJ80" s="276">
        <f t="shared" si="14"/>
        <v>7154.8601649036827</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5.5467942364602397E-12</v>
      </c>
      <c r="H81" s="260">
        <f t="shared" si="15"/>
        <v>4.1829673358899604E-12</v>
      </c>
      <c r="I81" s="260">
        <f t="shared" si="15"/>
        <v>3.2363608863052283E-12</v>
      </c>
      <c r="J81" s="260">
        <f t="shared" si="15"/>
        <v>2.8945945563996115E-12</v>
      </c>
      <c r="K81" s="260">
        <f t="shared" si="15"/>
        <v>2.6261946381202853E-12</v>
      </c>
      <c r="L81" s="260">
        <f t="shared" si="15"/>
        <v>2.4080661463878417E-12</v>
      </c>
      <c r="M81" s="260">
        <f t="shared" si="15"/>
        <v>2.3986884480583608E-12</v>
      </c>
      <c r="N81" s="260">
        <f t="shared" si="15"/>
        <v>2.3838943328210346E-12</v>
      </c>
      <c r="O81" s="260">
        <f t="shared" si="15"/>
        <v>2.3624813926315226E-12</v>
      </c>
      <c r="P81" s="260">
        <f t="shared" si="15"/>
        <v>2.3288788303151074E-12</v>
      </c>
      <c r="Q81" s="260">
        <f t="shared" si="15"/>
        <v>2.2912103986681258E-12</v>
      </c>
      <c r="R81" s="260">
        <f t="shared" ref="R81:AJ82" si="16">R74/SUM(R$74:R$78)</f>
        <v>2.2518153171308771E-12</v>
      </c>
      <c r="S81" s="260">
        <f t="shared" si="16"/>
        <v>2.2098060303251626E-12</v>
      </c>
      <c r="T81" s="260">
        <f t="shared" si="16"/>
        <v>2.1574253386250381E-12</v>
      </c>
      <c r="U81" s="260">
        <f t="shared" si="16"/>
        <v>2.1080852200406671E-12</v>
      </c>
      <c r="V81" s="260">
        <f t="shared" si="16"/>
        <v>2.0592291720023833E-12</v>
      </c>
      <c r="W81" s="260">
        <f t="shared" si="16"/>
        <v>2.0093862426968273E-12</v>
      </c>
      <c r="X81" s="260">
        <f t="shared" si="16"/>
        <v>1.9599476949361504E-12</v>
      </c>
      <c r="Y81" s="260">
        <f t="shared" si="16"/>
        <v>1.9108114725585591E-12</v>
      </c>
      <c r="Z81" s="260">
        <f t="shared" si="16"/>
        <v>1.8598802396194097E-12</v>
      </c>
      <c r="AA81" s="260">
        <f t="shared" si="16"/>
        <v>1.8106656712792468E-12</v>
      </c>
      <c r="AB81" s="260">
        <f t="shared" si="16"/>
        <v>1.7640663124901139E-12</v>
      </c>
      <c r="AC81" s="260">
        <f t="shared" si="16"/>
        <v>1.7189640697905725E-12</v>
      </c>
      <c r="AD81" s="260">
        <f t="shared" si="16"/>
        <v>1.6627186723756306E-12</v>
      </c>
      <c r="AE81" s="260">
        <f t="shared" si="16"/>
        <v>1.6173518058909539E-12</v>
      </c>
      <c r="AF81" s="260">
        <f t="shared" si="16"/>
        <v>1.5731777980141454E-12</v>
      </c>
      <c r="AG81" s="260">
        <f t="shared" si="16"/>
        <v>1.5300592115431635E-12</v>
      </c>
      <c r="AH81" s="260">
        <f t="shared" si="16"/>
        <v>1.4886183594357704E-12</v>
      </c>
      <c r="AI81" s="260">
        <f t="shared" si="16"/>
        <v>1.4482394358532847E-12</v>
      </c>
      <c r="AJ81" s="260">
        <f t="shared" si="16"/>
        <v>1.4084011579199529E-12</v>
      </c>
      <c r="AK81" s="322"/>
    </row>
    <row r="82" spans="1:37" s="256" customFormat="1">
      <c r="A82" s="257" t="s">
        <v>340</v>
      </c>
      <c r="B82" s="260">
        <f t="shared" si="15"/>
        <v>0.98046398046398042</v>
      </c>
      <c r="C82" s="260">
        <f t="shared" ref="C82:AA82" si="17">C75/SUM(C$74:C$78)</f>
        <v>0.97624703087885989</v>
      </c>
      <c r="D82" s="260">
        <f t="shared" si="17"/>
        <v>0.97342192691029894</v>
      </c>
      <c r="E82" s="260">
        <f t="shared" si="17"/>
        <v>0.96656217345872519</v>
      </c>
      <c r="F82" s="260">
        <f t="shared" si="17"/>
        <v>0.96</v>
      </c>
      <c r="G82" s="260">
        <f t="shared" si="17"/>
        <v>0.64280229307380088</v>
      </c>
      <c r="H82" s="260">
        <f t="shared" si="17"/>
        <v>0.53435064824172562</v>
      </c>
      <c r="I82" s="260">
        <f t="shared" si="17"/>
        <v>0.50403238557511076</v>
      </c>
      <c r="J82" s="260">
        <f t="shared" si="17"/>
        <v>0.45264053251773229</v>
      </c>
      <c r="K82" s="260">
        <f t="shared" si="17"/>
        <v>0.40809988375342932</v>
      </c>
      <c r="L82" s="260">
        <f t="shared" si="17"/>
        <v>0.37422551561737205</v>
      </c>
      <c r="M82" s="260">
        <f t="shared" si="17"/>
        <v>0.37278062514877602</v>
      </c>
      <c r="N82" s="260">
        <f t="shared" si="17"/>
        <v>0.37047646933370393</v>
      </c>
      <c r="O82" s="260">
        <f t="shared" si="17"/>
        <v>0.36713095031030568</v>
      </c>
      <c r="P82" s="261">
        <f t="shared" si="17"/>
        <v>0.36186122798393944</v>
      </c>
      <c r="Q82" s="260">
        <f t="shared" si="17"/>
        <v>0.35598097698443198</v>
      </c>
      <c r="R82" s="260">
        <f t="shared" si="17"/>
        <v>0.34983597631981833</v>
      </c>
      <c r="S82" s="260">
        <f t="shared" si="17"/>
        <v>0.34328270443860548</v>
      </c>
      <c r="T82" s="260">
        <f t="shared" si="17"/>
        <v>0.3388626988956977</v>
      </c>
      <c r="U82" s="260">
        <f t="shared" si="17"/>
        <v>0.33109763203477877</v>
      </c>
      <c r="V82" s="260">
        <f t="shared" si="17"/>
        <v>0.3234032606242826</v>
      </c>
      <c r="W82" s="260">
        <f t="shared" si="17"/>
        <v>0.31555364114583856</v>
      </c>
      <c r="X82" s="260">
        <f t="shared" si="17"/>
        <v>0.30776726468584681</v>
      </c>
      <c r="Y82" s="260">
        <f t="shared" si="17"/>
        <v>0.30000580252641545</v>
      </c>
      <c r="Z82" s="260">
        <f t="shared" si="17"/>
        <v>0.29195700956920784</v>
      </c>
      <c r="AA82" s="260">
        <f t="shared" si="17"/>
        <v>0.28418487878707538</v>
      </c>
      <c r="AB82" s="260">
        <f t="shared" si="16"/>
        <v>0.27682433190664568</v>
      </c>
      <c r="AC82" s="260">
        <f t="shared" si="16"/>
        <v>0.26969979699888724</v>
      </c>
      <c r="AD82" s="260">
        <f t="shared" si="16"/>
        <v>0.26647453361716256</v>
      </c>
      <c r="AE82" s="260">
        <f t="shared" si="16"/>
        <v>0.25917950479685525</v>
      </c>
      <c r="AF82" s="260">
        <f t="shared" si="16"/>
        <v>0.25207417370160717</v>
      </c>
      <c r="AG82" s="260">
        <f t="shared" si="16"/>
        <v>0.24513794043959719</v>
      </c>
      <c r="AH82" s="260">
        <f t="shared" si="16"/>
        <v>0.23847388320437871</v>
      </c>
      <c r="AI82" s="260">
        <f t="shared" si="16"/>
        <v>0.23198182991578742</v>
      </c>
      <c r="AJ82" s="260">
        <f t="shared" si="16"/>
        <v>0.22558018648648095</v>
      </c>
      <c r="AK82" s="322"/>
    </row>
    <row r="83" spans="1:37" s="256" customFormat="1">
      <c r="A83" s="257" t="s">
        <v>336</v>
      </c>
      <c r="B83" s="260">
        <f>B76/SUM(B$74:B$78)</f>
        <v>0</v>
      </c>
      <c r="C83" s="260">
        <f t="shared" ref="C83:AJ83" si="18">C76/SUM(C$74:C$78)</f>
        <v>0</v>
      </c>
      <c r="D83" s="260">
        <f t="shared" si="18"/>
        <v>0</v>
      </c>
      <c r="E83" s="260">
        <f t="shared" si="18"/>
        <v>0</v>
      </c>
      <c r="F83" s="260">
        <f t="shared" si="18"/>
        <v>0</v>
      </c>
      <c r="G83" s="260">
        <f t="shared" si="18"/>
        <v>7.7604588014949208E-4</v>
      </c>
      <c r="H83" s="260">
        <f t="shared" si="18"/>
        <v>5.6360172482600645E-4</v>
      </c>
      <c r="I83" s="260">
        <f t="shared" si="18"/>
        <v>4.7443788412488992E-4</v>
      </c>
      <c r="J83" s="260">
        <f t="shared" si="18"/>
        <v>4.8191207445184652E-4</v>
      </c>
      <c r="K83" s="260">
        <f t="shared" si="18"/>
        <v>5.1633665303975687E-4</v>
      </c>
      <c r="L83" s="260">
        <f t="shared" si="18"/>
        <v>6.6703841626188109E-4</v>
      </c>
      <c r="M83" s="260">
        <f t="shared" si="18"/>
        <v>1.242752809136003E-3</v>
      </c>
      <c r="N83" s="260">
        <f t="shared" si="18"/>
        <v>2.050540561675539E-3</v>
      </c>
      <c r="O83" s="260">
        <f t="shared" si="18"/>
        <v>2.0441623035253264E-3</v>
      </c>
      <c r="P83" s="261">
        <f t="shared" si="18"/>
        <v>2.1903314998208316E-3</v>
      </c>
      <c r="Q83" s="260">
        <f t="shared" si="18"/>
        <v>2.2569558867238781E-3</v>
      </c>
      <c r="R83" s="260">
        <f t="shared" si="18"/>
        <v>2.387131177986375E-3</v>
      </c>
      <c r="S83" s="260">
        <f t="shared" si="18"/>
        <v>2.8806527575543908E-3</v>
      </c>
      <c r="T83" s="260">
        <f t="shared" si="18"/>
        <v>2.8403902594618053E-3</v>
      </c>
      <c r="U83" s="260">
        <f t="shared" si="18"/>
        <v>3.0696109264346429E-3</v>
      </c>
      <c r="V83" s="260">
        <f t="shared" si="18"/>
        <v>3.0528189850998139E-3</v>
      </c>
      <c r="W83" s="260">
        <f t="shared" si="18"/>
        <v>2.9843679762448531E-3</v>
      </c>
      <c r="X83" s="260">
        <f t="shared" si="18"/>
        <v>2.9782310720389868E-3</v>
      </c>
      <c r="Y83" s="260">
        <f t="shared" si="18"/>
        <v>2.951804938748651E-3</v>
      </c>
      <c r="Z83" s="260">
        <f t="shared" si="18"/>
        <v>3.2320978345423464E-3</v>
      </c>
      <c r="AA83" s="260">
        <f t="shared" si="18"/>
        <v>3.3701758990275876E-3</v>
      </c>
      <c r="AB83" s="260">
        <f t="shared" si="18"/>
        <v>3.3598683946097774E-3</v>
      </c>
      <c r="AC83" s="260">
        <f t="shared" si="18"/>
        <v>3.2876920550527051E-3</v>
      </c>
      <c r="AD83" s="260">
        <f t="shared" si="18"/>
        <v>3.1888243881040661E-3</v>
      </c>
      <c r="AE83" s="260">
        <f t="shared" si="18"/>
        <v>3.1037018354138943E-3</v>
      </c>
      <c r="AF83" s="260">
        <f t="shared" si="18"/>
        <v>3.00623343614807E-3</v>
      </c>
      <c r="AG83" s="260">
        <f t="shared" si="18"/>
        <v>2.941041105930217E-3</v>
      </c>
      <c r="AH83" s="260">
        <f t="shared" si="18"/>
        <v>2.8781490707032384E-3</v>
      </c>
      <c r="AI83" s="260">
        <f t="shared" si="18"/>
        <v>2.7981419657726963E-3</v>
      </c>
      <c r="AJ83" s="260">
        <f t="shared" si="18"/>
        <v>2.7280829016990541E-3</v>
      </c>
      <c r="AK83" s="322"/>
    </row>
    <row r="84" spans="1:37" s="256" customFormat="1">
      <c r="A84" s="257" t="s">
        <v>338</v>
      </c>
      <c r="B84" s="260">
        <f>B77/SUM(B$74:B$78)</f>
        <v>0</v>
      </c>
      <c r="C84" s="260">
        <f t="shared" ref="C84:AJ84" si="19">C77/SUM(C$74:C$78)</f>
        <v>0</v>
      </c>
      <c r="D84" s="260">
        <f t="shared" si="19"/>
        <v>3.3222591362126247E-3</v>
      </c>
      <c r="E84" s="260">
        <f t="shared" si="19"/>
        <v>1.1494252873563216E-2</v>
      </c>
      <c r="F84" s="260">
        <f t="shared" si="19"/>
        <v>2.4705882352941178E-2</v>
      </c>
      <c r="G84" s="260">
        <f t="shared" si="19"/>
        <v>0.24263480698403941</v>
      </c>
      <c r="H84" s="260">
        <f t="shared" si="19"/>
        <v>0.36382571464430341</v>
      </c>
      <c r="I84" s="260">
        <f t="shared" si="19"/>
        <v>0.40544433366041349</v>
      </c>
      <c r="J84" s="260">
        <f t="shared" si="19"/>
        <v>0.46614550736259353</v>
      </c>
      <c r="K84" s="260">
        <f t="shared" si="19"/>
        <v>0.51763084175742258</v>
      </c>
      <c r="L84" s="260">
        <f t="shared" si="19"/>
        <v>0.55705517236783109</v>
      </c>
      <c r="M84" s="260">
        <f t="shared" si="19"/>
        <v>0.55819435117403227</v>
      </c>
      <c r="N84" s="260">
        <f t="shared" si="19"/>
        <v>0.56011730935058091</v>
      </c>
      <c r="O84" s="260">
        <f t="shared" si="19"/>
        <v>0.5640810590615456</v>
      </c>
      <c r="P84" s="261">
        <f t="shared" si="19"/>
        <v>0.57013177845396779</v>
      </c>
      <c r="Q84" s="260">
        <f t="shared" si="19"/>
        <v>0.57700319025142965</v>
      </c>
      <c r="R84" s="260">
        <f t="shared" si="19"/>
        <v>0.58412404580519361</v>
      </c>
      <c r="S84" s="260">
        <f t="shared" si="19"/>
        <v>0.59136254559536683</v>
      </c>
      <c r="T84" s="260">
        <f t="shared" si="19"/>
        <v>0.59726540623929814</v>
      </c>
      <c r="U84" s="260">
        <f t="shared" si="19"/>
        <v>0.60614290812708216</v>
      </c>
      <c r="V84" s="260">
        <f t="shared" si="19"/>
        <v>0.61515486905123384</v>
      </c>
      <c r="W84" s="260">
        <f t="shared" si="19"/>
        <v>0.62439728387148485</v>
      </c>
      <c r="X84" s="260">
        <f t="shared" si="19"/>
        <v>0.63350820958589671</v>
      </c>
      <c r="Y84" s="260">
        <f t="shared" si="19"/>
        <v>0.64260714024890064</v>
      </c>
      <c r="Z84" s="260">
        <f t="shared" si="19"/>
        <v>0.6517300271602473</v>
      </c>
      <c r="AA84" s="260">
        <f t="shared" si="19"/>
        <v>0.66069261986039796</v>
      </c>
      <c r="AB84" s="260">
        <f t="shared" si="19"/>
        <v>0.66932221669163028</v>
      </c>
      <c r="AC84" s="260">
        <f t="shared" si="19"/>
        <v>0.67767373729700264</v>
      </c>
      <c r="AD84" s="260">
        <f t="shared" si="19"/>
        <v>0.68239620405781531</v>
      </c>
      <c r="AE84" s="260">
        <f t="shared" si="19"/>
        <v>0.69094029303010329</v>
      </c>
      <c r="AF84" s="260">
        <f t="shared" si="19"/>
        <v>0.69933219914576861</v>
      </c>
      <c r="AG84" s="260">
        <f t="shared" si="19"/>
        <v>0.70732870131251113</v>
      </c>
      <c r="AH84" s="260">
        <f t="shared" si="19"/>
        <v>0.71507710656272716</v>
      </c>
      <c r="AI84" s="260">
        <f t="shared" si="19"/>
        <v>0.72246358371977237</v>
      </c>
      <c r="AJ84" s="260">
        <f t="shared" si="19"/>
        <v>0.7296122906322684</v>
      </c>
      <c r="AK84" s="322"/>
    </row>
    <row r="85" spans="1:37" s="256" customFormat="1">
      <c r="A85" s="257" t="s">
        <v>337</v>
      </c>
      <c r="B85" s="260">
        <f>B78/SUM(B$74:B$78)</f>
        <v>1.9536019536019536E-2</v>
      </c>
      <c r="C85" s="260">
        <f t="shared" ref="C85:AJ85" si="20">C78/SUM(C$74:C$78)</f>
        <v>2.3752969121140145E-2</v>
      </c>
      <c r="D85" s="260">
        <f t="shared" si="20"/>
        <v>2.3255813953488372E-2</v>
      </c>
      <c r="E85" s="260">
        <f t="shared" si="20"/>
        <v>2.1943573667711599E-2</v>
      </c>
      <c r="F85" s="260">
        <f t="shared" si="20"/>
        <v>1.5294117647058823E-2</v>
      </c>
      <c r="G85" s="260">
        <f t="shared" si="20"/>
        <v>0.11378685405646347</v>
      </c>
      <c r="H85" s="260">
        <f t="shared" si="20"/>
        <v>0.10126003538496212</v>
      </c>
      <c r="I85" s="260">
        <f t="shared" si="20"/>
        <v>9.0048842877114524E-2</v>
      </c>
      <c r="J85" s="260">
        <f t="shared" si="20"/>
        <v>8.0732048042327725E-2</v>
      </c>
      <c r="K85" s="260">
        <f t="shared" si="20"/>
        <v>7.3752937833482163E-2</v>
      </c>
      <c r="L85" s="260">
        <f t="shared" si="20"/>
        <v>6.8052273596126825E-2</v>
      </c>
      <c r="M85" s="260">
        <f t="shared" si="20"/>
        <v>6.7782270865657163E-2</v>
      </c>
      <c r="N85" s="260">
        <f t="shared" si="20"/>
        <v>6.7355680751655919E-2</v>
      </c>
      <c r="O85" s="260">
        <f t="shared" si="20"/>
        <v>6.6743828322261028E-2</v>
      </c>
      <c r="P85" s="261">
        <f t="shared" si="20"/>
        <v>6.5816662059942993E-2</v>
      </c>
      <c r="Q85" s="260">
        <f t="shared" si="20"/>
        <v>6.4758876875123134E-2</v>
      </c>
      <c r="R85" s="260">
        <f t="shared" si="20"/>
        <v>6.3652846694749979E-2</v>
      </c>
      <c r="S85" s="260">
        <f t="shared" si="20"/>
        <v>6.2474097206263304E-2</v>
      </c>
      <c r="T85" s="260">
        <f t="shared" si="20"/>
        <v>6.1031504603385023E-2</v>
      </c>
      <c r="U85" s="260">
        <f t="shared" si="20"/>
        <v>5.9689848909596256E-2</v>
      </c>
      <c r="V85" s="260">
        <f t="shared" si="20"/>
        <v>5.8389051337324561E-2</v>
      </c>
      <c r="W85" s="260">
        <f t="shared" si="20"/>
        <v>5.7064707004422316E-2</v>
      </c>
      <c r="X85" s="260">
        <f t="shared" si="20"/>
        <v>5.5746294654257622E-2</v>
      </c>
      <c r="Y85" s="260">
        <f t="shared" si="20"/>
        <v>5.4435252284024543E-2</v>
      </c>
      <c r="Z85" s="260">
        <f t="shared" si="20"/>
        <v>5.3080865434142629E-2</v>
      </c>
      <c r="AA85" s="260">
        <f t="shared" si="20"/>
        <v>5.1752325451688355E-2</v>
      </c>
      <c r="AB85" s="260">
        <f t="shared" si="20"/>
        <v>5.0493583005350139E-2</v>
      </c>
      <c r="AC85" s="260">
        <f t="shared" si="20"/>
        <v>4.9338773647338401E-2</v>
      </c>
      <c r="AD85" s="260">
        <f t="shared" si="20"/>
        <v>4.7940437935255452E-2</v>
      </c>
      <c r="AE85" s="260">
        <f t="shared" si="20"/>
        <v>4.6776500336010135E-2</v>
      </c>
      <c r="AF85" s="260">
        <f t="shared" si="20"/>
        <v>4.5587393714902981E-2</v>
      </c>
      <c r="AG85" s="260">
        <f t="shared" si="20"/>
        <v>4.4592317140431374E-2</v>
      </c>
      <c r="AH85" s="260">
        <f t="shared" si="20"/>
        <v>4.357086116070237E-2</v>
      </c>
      <c r="AI85" s="260">
        <f t="shared" si="20"/>
        <v>4.2756444397219227E-2</v>
      </c>
      <c r="AJ85" s="260">
        <f t="shared" si="20"/>
        <v>4.2079439978143174E-2</v>
      </c>
      <c r="AK85" s="322"/>
    </row>
    <row r="86" spans="1:37" s="256" customFormat="1">
      <c r="A86" s="256" t="s">
        <v>341</v>
      </c>
      <c r="B86" s="260">
        <f>SUM(B81:B85)</f>
        <v>1</v>
      </c>
      <c r="C86" s="260">
        <f t="shared" ref="C86:AJ86" si="21">SUM(C81:C85)</f>
        <v>1</v>
      </c>
      <c r="D86" s="260">
        <f t="shared" si="21"/>
        <v>1</v>
      </c>
      <c r="E86" s="260">
        <f t="shared" si="21"/>
        <v>1</v>
      </c>
      <c r="F86" s="260">
        <f t="shared" si="21"/>
        <v>0.99999999999999989</v>
      </c>
      <c r="G86" s="260">
        <f t="shared" si="21"/>
        <v>1</v>
      </c>
      <c r="H86" s="260">
        <f t="shared" si="21"/>
        <v>1.0000000000000002</v>
      </c>
      <c r="I86" s="260">
        <f t="shared" si="21"/>
        <v>1</v>
      </c>
      <c r="J86" s="260">
        <f t="shared" si="21"/>
        <v>1</v>
      </c>
      <c r="K86" s="260">
        <f t="shared" si="21"/>
        <v>0.99999999999999989</v>
      </c>
      <c r="L86" s="260">
        <f t="shared" si="21"/>
        <v>1</v>
      </c>
      <c r="M86" s="260">
        <f t="shared" si="21"/>
        <v>1.0000000000000002</v>
      </c>
      <c r="N86" s="260">
        <f t="shared" si="21"/>
        <v>1.0000000000000002</v>
      </c>
      <c r="O86" s="260">
        <f t="shared" si="21"/>
        <v>1.0000000000000002</v>
      </c>
      <c r="P86" s="260">
        <f t="shared" si="21"/>
        <v>0.99999999999999989</v>
      </c>
      <c r="Q86" s="260">
        <f t="shared" si="21"/>
        <v>0.99999999999999989</v>
      </c>
      <c r="R86" s="260">
        <f t="shared" si="21"/>
        <v>1</v>
      </c>
      <c r="S86" s="260">
        <f t="shared" si="21"/>
        <v>0.99999999999999978</v>
      </c>
      <c r="T86" s="260">
        <f t="shared" si="21"/>
        <v>1</v>
      </c>
      <c r="U86" s="260">
        <f t="shared" si="21"/>
        <v>1</v>
      </c>
      <c r="V86" s="260">
        <f t="shared" si="21"/>
        <v>1</v>
      </c>
      <c r="W86" s="260">
        <f t="shared" si="21"/>
        <v>1</v>
      </c>
      <c r="X86" s="260">
        <f t="shared" si="21"/>
        <v>1</v>
      </c>
      <c r="Y86" s="260">
        <f t="shared" si="21"/>
        <v>1</v>
      </c>
      <c r="Z86" s="260">
        <f t="shared" si="21"/>
        <v>1</v>
      </c>
      <c r="AA86" s="260">
        <f t="shared" si="21"/>
        <v>1</v>
      </c>
      <c r="AB86" s="260">
        <f t="shared" si="21"/>
        <v>1</v>
      </c>
      <c r="AC86" s="260">
        <f t="shared" si="21"/>
        <v>0.99999999999999989</v>
      </c>
      <c r="AD86" s="260">
        <f t="shared" si="21"/>
        <v>1.0000000000000002</v>
      </c>
      <c r="AE86" s="260">
        <f t="shared" si="21"/>
        <v>1</v>
      </c>
      <c r="AF86" s="260">
        <f t="shared" si="21"/>
        <v>1</v>
      </c>
      <c r="AG86" s="260">
        <f t="shared" si="21"/>
        <v>0.99999999999999989</v>
      </c>
      <c r="AH86" s="260">
        <f t="shared" si="21"/>
        <v>1</v>
      </c>
      <c r="AI86" s="260">
        <f t="shared" si="21"/>
        <v>1</v>
      </c>
      <c r="AJ86" s="260">
        <f t="shared" si="21"/>
        <v>1</v>
      </c>
      <c r="AK86" s="322"/>
    </row>
    <row r="87" spans="1:37">
      <c r="A87" s="566" t="s">
        <v>631</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66"/>
      <c r="AA87" s="566"/>
      <c r="AB87" s="566"/>
      <c r="AC87" s="566"/>
      <c r="AD87" s="566"/>
      <c r="AE87" s="566"/>
      <c r="AF87" s="566"/>
    </row>
    <row r="88" spans="1:37">
      <c r="A88" s="567" t="s">
        <v>664</v>
      </c>
      <c r="B88" s="567"/>
      <c r="C88" s="567"/>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row>
    <row r="89" spans="1:37">
      <c r="A89" s="567" t="s">
        <v>665</v>
      </c>
      <c r="B89" s="567"/>
      <c r="C89" s="567"/>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row>
    <row r="90" spans="1:37">
      <c r="A90" s="567" t="s">
        <v>666</v>
      </c>
      <c r="B90" s="567"/>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row>
    <row r="91" spans="1:37">
      <c r="A91" s="567" t="s">
        <v>667</v>
      </c>
      <c r="B91" s="567"/>
      <c r="C91" s="567"/>
      <c r="D91" s="567"/>
      <c r="E91" s="567"/>
      <c r="F91" s="567"/>
      <c r="G91" s="567"/>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row>
    <row r="92" spans="1:37">
      <c r="A92" s="567" t="s">
        <v>668</v>
      </c>
      <c r="B92" s="567"/>
      <c r="C92" s="567"/>
      <c r="D92" s="567"/>
      <c r="E92" s="567"/>
      <c r="F92" s="567"/>
      <c r="G92" s="567"/>
      <c r="H92" s="567"/>
      <c r="I92" s="567"/>
      <c r="J92" s="567"/>
      <c r="K92" s="567"/>
      <c r="L92" s="567"/>
      <c r="M92" s="567"/>
      <c r="N92" s="567"/>
      <c r="O92" s="567"/>
      <c r="P92" s="567"/>
      <c r="Q92" s="567"/>
      <c r="R92" s="567"/>
      <c r="S92" s="567"/>
      <c r="T92" s="567"/>
      <c r="U92" s="567"/>
      <c r="V92" s="567"/>
      <c r="W92" s="567"/>
      <c r="X92" s="567"/>
      <c r="Y92" s="567"/>
      <c r="Z92" s="567"/>
      <c r="AA92" s="567"/>
      <c r="AB92" s="567"/>
      <c r="AC92" s="567"/>
      <c r="AD92" s="567"/>
      <c r="AE92" s="567"/>
      <c r="AF92" s="567"/>
    </row>
    <row r="93" spans="1:37">
      <c r="A93" s="567" t="s">
        <v>669</v>
      </c>
      <c r="B93" s="567"/>
      <c r="C93" s="567"/>
      <c r="D93" s="567"/>
      <c r="E93" s="567"/>
      <c r="F93" s="567"/>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row>
    <row r="94" spans="1:37">
      <c r="A94" s="567" t="s">
        <v>670</v>
      </c>
      <c r="B94" s="567"/>
      <c r="C94" s="567"/>
      <c r="D94" s="567"/>
      <c r="E94" s="567"/>
      <c r="F94" s="567"/>
      <c r="G94" s="567"/>
      <c r="H94" s="567"/>
      <c r="I94" s="567"/>
      <c r="J94" s="567"/>
      <c r="K94" s="567"/>
      <c r="L94" s="567"/>
      <c r="M94" s="567"/>
      <c r="N94" s="567"/>
      <c r="O94" s="567"/>
      <c r="P94" s="567"/>
      <c r="Q94" s="567"/>
      <c r="R94" s="567"/>
      <c r="S94" s="567"/>
      <c r="T94" s="567"/>
      <c r="U94" s="567"/>
      <c r="V94" s="567"/>
      <c r="W94" s="567"/>
      <c r="X94" s="567"/>
      <c r="Y94" s="567"/>
      <c r="Z94" s="567"/>
      <c r="AA94" s="567"/>
      <c r="AB94" s="567"/>
      <c r="AC94" s="567"/>
      <c r="AD94" s="567"/>
      <c r="AE94" s="567"/>
      <c r="AF94" s="567"/>
    </row>
    <row r="95" spans="1:37">
      <c r="A95" s="567" t="s">
        <v>671</v>
      </c>
      <c r="B95" s="567"/>
      <c r="C95" s="567"/>
      <c r="D95" s="567"/>
      <c r="E95" s="567"/>
      <c r="F95" s="567"/>
      <c r="G95" s="567"/>
      <c r="H95" s="567"/>
      <c r="I95" s="567"/>
      <c r="J95" s="567"/>
      <c r="K95" s="567"/>
      <c r="L95" s="567"/>
      <c r="M95" s="567"/>
      <c r="N95" s="567"/>
      <c r="O95" s="567"/>
      <c r="P95" s="567"/>
      <c r="Q95" s="567"/>
      <c r="R95" s="567"/>
      <c r="S95" s="567"/>
      <c r="T95" s="567"/>
      <c r="U95" s="567"/>
      <c r="V95" s="567"/>
      <c r="W95" s="567"/>
      <c r="X95" s="567"/>
      <c r="Y95" s="567"/>
      <c r="Z95" s="567"/>
      <c r="AA95" s="567"/>
      <c r="AB95" s="567"/>
      <c r="AC95" s="567"/>
      <c r="AD95" s="567"/>
      <c r="AE95" s="567"/>
      <c r="AF95" s="567"/>
    </row>
    <row r="96" spans="1:37">
      <c r="A96" s="567" t="s">
        <v>672</v>
      </c>
      <c r="B96" s="567"/>
      <c r="C96" s="567"/>
      <c r="D96" s="567"/>
      <c r="E96" s="567"/>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row>
    <row r="97" spans="1:32">
      <c r="A97" s="567" t="s">
        <v>673</v>
      </c>
      <c r="B97" s="567"/>
      <c r="C97" s="567"/>
      <c r="D97" s="567"/>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row>
    <row r="98" spans="1:32">
      <c r="A98" s="567" t="s">
        <v>674</v>
      </c>
      <c r="B98" s="567"/>
      <c r="C98" s="567"/>
      <c r="D98" s="567"/>
      <c r="E98" s="567"/>
      <c r="F98" s="567"/>
      <c r="G98" s="567"/>
      <c r="H98" s="567"/>
      <c r="I98" s="567"/>
      <c r="J98" s="567"/>
      <c r="K98" s="567"/>
      <c r="L98" s="567"/>
      <c r="M98" s="567"/>
      <c r="N98" s="567"/>
      <c r="O98" s="567"/>
      <c r="P98" s="567"/>
      <c r="Q98" s="567"/>
      <c r="R98" s="567"/>
      <c r="S98" s="567"/>
      <c r="T98" s="567"/>
      <c r="U98" s="567"/>
      <c r="V98" s="567"/>
      <c r="W98" s="567"/>
      <c r="X98" s="567"/>
      <c r="Y98" s="567"/>
      <c r="Z98" s="567"/>
      <c r="AA98" s="567"/>
      <c r="AB98" s="567"/>
      <c r="AC98" s="567"/>
      <c r="AD98" s="567"/>
      <c r="AE98" s="567"/>
      <c r="AF98" s="567"/>
    </row>
    <row r="99" spans="1:32">
      <c r="A99" s="567" t="s">
        <v>675</v>
      </c>
      <c r="B99" s="567"/>
      <c r="C99" s="567"/>
      <c r="D99" s="567"/>
      <c r="E99" s="567"/>
      <c r="F99" s="567"/>
      <c r="G99" s="567"/>
      <c r="H99" s="567"/>
      <c r="I99" s="567"/>
      <c r="J99" s="567"/>
      <c r="K99" s="567"/>
      <c r="L99" s="567"/>
      <c r="M99" s="567"/>
      <c r="N99" s="567"/>
      <c r="O99" s="567"/>
      <c r="P99" s="567"/>
      <c r="Q99" s="567"/>
      <c r="R99" s="567"/>
      <c r="S99" s="567"/>
      <c r="T99" s="567"/>
      <c r="U99" s="567"/>
      <c r="V99" s="567"/>
      <c r="W99" s="567"/>
      <c r="X99" s="567"/>
      <c r="Y99" s="567"/>
      <c r="Z99" s="567"/>
      <c r="AA99" s="567"/>
      <c r="AB99" s="567"/>
      <c r="AC99" s="567"/>
      <c r="AD99" s="567"/>
      <c r="AE99" s="567"/>
      <c r="AF99" s="567"/>
    </row>
    <row r="100" spans="1:32">
      <c r="A100" s="567" t="s">
        <v>676</v>
      </c>
      <c r="B100" s="567"/>
      <c r="C100" s="567"/>
      <c r="D100" s="567"/>
      <c r="E100" s="567"/>
      <c r="F100" s="567"/>
      <c r="G100" s="567"/>
      <c r="H100" s="567"/>
      <c r="I100" s="567"/>
      <c r="J100" s="567"/>
      <c r="K100" s="567"/>
      <c r="L100" s="567"/>
      <c r="M100" s="567"/>
      <c r="N100" s="567"/>
      <c r="O100" s="567"/>
      <c r="P100" s="567"/>
      <c r="Q100" s="567"/>
      <c r="R100" s="567"/>
      <c r="S100" s="567"/>
      <c r="T100" s="567"/>
      <c r="U100" s="567"/>
      <c r="V100" s="567"/>
      <c r="W100" s="567"/>
      <c r="X100" s="567"/>
      <c r="Y100" s="567"/>
      <c r="Z100" s="567"/>
      <c r="AA100" s="567"/>
      <c r="AB100" s="567"/>
      <c r="AC100" s="567"/>
      <c r="AD100" s="567"/>
      <c r="AE100" s="567"/>
      <c r="AF100" s="567"/>
    </row>
    <row r="101" spans="1:32">
      <c r="A101" s="567" t="s">
        <v>677</v>
      </c>
      <c r="B101" s="567"/>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row>
    <row r="102" spans="1:32">
      <c r="A102" s="567" t="s">
        <v>678</v>
      </c>
      <c r="B102" s="567"/>
      <c r="C102" s="567"/>
      <c r="D102" s="567"/>
      <c r="E102" s="567"/>
      <c r="F102" s="567"/>
      <c r="G102" s="567"/>
      <c r="H102" s="567"/>
      <c r="I102" s="567"/>
      <c r="J102" s="567"/>
      <c r="K102" s="567"/>
      <c r="L102" s="567"/>
      <c r="M102" s="567"/>
      <c r="N102" s="567"/>
      <c r="O102" s="567"/>
      <c r="P102" s="567"/>
      <c r="Q102" s="567"/>
      <c r="R102" s="567"/>
      <c r="S102" s="567"/>
      <c r="T102" s="567"/>
      <c r="U102" s="567"/>
      <c r="V102" s="567"/>
      <c r="W102" s="567"/>
      <c r="X102" s="567"/>
      <c r="Y102" s="567"/>
      <c r="Z102" s="567"/>
      <c r="AA102" s="567"/>
      <c r="AB102" s="567"/>
      <c r="AC102" s="567"/>
      <c r="AD102" s="567"/>
      <c r="AE102" s="567"/>
      <c r="AF102" s="567"/>
    </row>
    <row r="103" spans="1:32">
      <c r="A103" s="567" t="s">
        <v>679</v>
      </c>
      <c r="B103" s="567"/>
      <c r="C103" s="567"/>
      <c r="D103" s="567"/>
      <c r="E103" s="567"/>
      <c r="F103" s="567"/>
      <c r="G103" s="567"/>
      <c r="H103" s="567"/>
      <c r="I103" s="567"/>
      <c r="J103" s="567"/>
      <c r="K103" s="567"/>
      <c r="L103" s="567"/>
      <c r="M103" s="567"/>
      <c r="N103" s="567"/>
      <c r="O103" s="567"/>
      <c r="P103" s="567"/>
      <c r="Q103" s="567"/>
      <c r="R103" s="567"/>
      <c r="S103" s="567"/>
      <c r="T103" s="567"/>
      <c r="U103" s="567"/>
      <c r="V103" s="567"/>
      <c r="W103" s="567"/>
      <c r="X103" s="567"/>
      <c r="Y103" s="567"/>
      <c r="Z103" s="567"/>
      <c r="AA103" s="567"/>
      <c r="AB103" s="567"/>
      <c r="AC103" s="567"/>
      <c r="AD103" s="567"/>
      <c r="AE103" s="567"/>
      <c r="AF103" s="567"/>
    </row>
    <row r="104" spans="1:32">
      <c r="A104" s="567" t="s">
        <v>680</v>
      </c>
      <c r="B104" s="567"/>
      <c r="C104" s="567"/>
      <c r="D104" s="567"/>
      <c r="E104" s="567"/>
      <c r="F104" s="567"/>
      <c r="G104" s="567"/>
      <c r="H104" s="567"/>
      <c r="I104" s="567"/>
      <c r="J104" s="567"/>
      <c r="K104" s="567"/>
      <c r="L104" s="567"/>
      <c r="M104" s="567"/>
      <c r="N104" s="567"/>
      <c r="O104" s="567"/>
      <c r="P104" s="567"/>
      <c r="Q104" s="567"/>
      <c r="R104" s="567"/>
      <c r="S104" s="567"/>
      <c r="T104" s="567"/>
      <c r="U104" s="567"/>
      <c r="V104" s="567"/>
      <c r="W104" s="567"/>
      <c r="X104" s="567"/>
      <c r="Y104" s="567"/>
      <c r="Z104" s="567"/>
      <c r="AA104" s="567"/>
      <c r="AB104" s="567"/>
      <c r="AC104" s="567"/>
      <c r="AD104" s="567"/>
      <c r="AE104" s="567"/>
      <c r="AF104" s="567"/>
    </row>
    <row r="105" spans="1:32">
      <c r="A105" s="567" t="s">
        <v>681</v>
      </c>
      <c r="B105" s="567"/>
      <c r="C105" s="567"/>
      <c r="D105" s="567"/>
      <c r="E105" s="567"/>
      <c r="F105" s="567"/>
      <c r="G105" s="567"/>
      <c r="H105" s="567"/>
      <c r="I105" s="567"/>
      <c r="J105" s="567"/>
      <c r="K105" s="567"/>
      <c r="L105" s="567"/>
      <c r="M105" s="567"/>
      <c r="N105" s="567"/>
      <c r="O105" s="567"/>
      <c r="P105" s="567"/>
      <c r="Q105" s="567"/>
      <c r="R105" s="567"/>
      <c r="S105" s="567"/>
      <c r="T105" s="567"/>
      <c r="U105" s="567"/>
      <c r="V105" s="567"/>
      <c r="W105" s="567"/>
      <c r="X105" s="567"/>
      <c r="Y105" s="567"/>
      <c r="Z105" s="567"/>
      <c r="AA105" s="567"/>
      <c r="AB105" s="567"/>
      <c r="AC105" s="567"/>
      <c r="AD105" s="567"/>
      <c r="AE105" s="567"/>
      <c r="AF105" s="567"/>
    </row>
    <row r="106" spans="1:32">
      <c r="A106" s="567" t="s">
        <v>682</v>
      </c>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row>
    <row r="107" spans="1:32">
      <c r="A107" s="567" t="s">
        <v>683</v>
      </c>
      <c r="B107" s="567"/>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row>
    <row r="108" spans="1:32">
      <c r="A108" s="567" t="s">
        <v>635</v>
      </c>
      <c r="B108" s="567"/>
      <c r="C108" s="567"/>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row>
    <row r="109" spans="1:32">
      <c r="A109" s="567" t="s">
        <v>684</v>
      </c>
      <c r="B109" s="567"/>
      <c r="C109" s="567"/>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567"/>
      <c r="AD109" s="567"/>
      <c r="AE109" s="567"/>
      <c r="AF109" s="567"/>
    </row>
    <row r="110" spans="1:32">
      <c r="A110" s="567" t="s">
        <v>685</v>
      </c>
      <c r="B110" s="567"/>
      <c r="C110" s="567"/>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7"/>
      <c r="AD110" s="567"/>
      <c r="AE110" s="567"/>
      <c r="AF110" s="567"/>
    </row>
    <row r="111" spans="1:32">
      <c r="A111" s="567" t="s">
        <v>642</v>
      </c>
      <c r="B111" s="567"/>
      <c r="C111" s="567"/>
      <c r="D111" s="567"/>
      <c r="E111" s="567"/>
      <c r="F111" s="567"/>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row>
    <row r="112" spans="1:32">
      <c r="A112" s="567" t="s">
        <v>643</v>
      </c>
      <c r="B112" s="567"/>
      <c r="C112" s="567"/>
      <c r="D112" s="567"/>
      <c r="E112" s="567"/>
      <c r="F112" s="567"/>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row>
    <row r="113" spans="1:32">
      <c r="A113" s="567" t="s">
        <v>644</v>
      </c>
      <c r="B113" s="567"/>
      <c r="C113" s="567"/>
      <c r="D113" s="567"/>
      <c r="E113" s="567"/>
      <c r="F113" s="567"/>
      <c r="G113" s="567"/>
      <c r="H113" s="567"/>
      <c r="I113" s="567"/>
      <c r="J113" s="567"/>
      <c r="K113" s="567"/>
      <c r="L113" s="567"/>
      <c r="M113" s="567"/>
      <c r="N113" s="567"/>
      <c r="O113" s="567"/>
      <c r="P113" s="567"/>
      <c r="Q113" s="567"/>
      <c r="R113" s="567"/>
      <c r="S113" s="567"/>
      <c r="T113" s="567"/>
      <c r="U113" s="567"/>
      <c r="V113" s="567"/>
      <c r="W113" s="567"/>
      <c r="X113" s="567"/>
      <c r="Y113" s="567"/>
      <c r="Z113" s="567"/>
      <c r="AA113" s="567"/>
      <c r="AB113" s="567"/>
      <c r="AC113" s="567"/>
      <c r="AD113" s="567"/>
      <c r="AE113" s="567"/>
      <c r="AF113" s="567"/>
    </row>
    <row r="114" spans="1:32">
      <c r="A114" s="567" t="s">
        <v>686</v>
      </c>
      <c r="B114" s="567"/>
      <c r="C114" s="567"/>
      <c r="D114" s="567"/>
      <c r="E114" s="567"/>
      <c r="F114" s="567"/>
      <c r="G114" s="567"/>
      <c r="H114" s="567"/>
      <c r="I114" s="567"/>
      <c r="J114" s="567"/>
      <c r="K114" s="567"/>
      <c r="L114" s="567"/>
      <c r="M114" s="567"/>
      <c r="N114" s="567"/>
      <c r="O114" s="567"/>
      <c r="P114" s="567"/>
      <c r="Q114" s="567"/>
      <c r="R114" s="567"/>
      <c r="S114" s="567"/>
      <c r="T114" s="567"/>
      <c r="U114" s="567"/>
      <c r="V114" s="567"/>
      <c r="W114" s="567"/>
      <c r="X114" s="567"/>
      <c r="Y114" s="567"/>
      <c r="Z114" s="567"/>
      <c r="AA114" s="567"/>
      <c r="AB114" s="567"/>
      <c r="AC114" s="567"/>
      <c r="AD114" s="567"/>
      <c r="AE114" s="567"/>
      <c r="AF114" s="567"/>
    </row>
    <row r="115" spans="1:32">
      <c r="A115" s="567" t="s">
        <v>687</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row>
    <row r="116" spans="1:32">
      <c r="A116" s="567" t="s">
        <v>619</v>
      </c>
      <c r="B116" s="567"/>
      <c r="C116" s="567"/>
      <c r="D116" s="567"/>
      <c r="E116" s="567"/>
      <c r="F116" s="567"/>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row>
    <row r="117" spans="1:32">
      <c r="A117" s="567" t="s">
        <v>620</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row>
    <row r="118" spans="1:32">
      <c r="A118" s="567" t="s">
        <v>621</v>
      </c>
      <c r="B118" s="567"/>
      <c r="C118" s="567"/>
      <c r="D118" s="567"/>
      <c r="E118" s="567"/>
      <c r="F118" s="567"/>
      <c r="G118" s="567"/>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row>
    <row r="119" spans="1:32">
      <c r="A119" s="567" t="s">
        <v>688</v>
      </c>
      <c r="B119" s="567"/>
      <c r="C119" s="567"/>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row>
    <row r="120" spans="1:32">
      <c r="A120" s="567" t="s">
        <v>689</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row>
    <row r="121" spans="1:32">
      <c r="A121" s="567" t="s">
        <v>623</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row>
    <row r="122" spans="1:32">
      <c r="A122" s="567" t="s">
        <v>626</v>
      </c>
      <c r="B122" s="567"/>
      <c r="C122" s="567"/>
      <c r="D122" s="567"/>
      <c r="E122" s="567"/>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2015-02-19T00:36:21Z</dcterms:modified>
</cp:coreProperties>
</file>