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3500" yWindow="160" windowWidth="24460" windowHeight="146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G58" i="11"/>
  <c r="H108" i="15"/>
  <c r="H113" i="15"/>
  <c r="H118" i="15"/>
  <c r="H135" i="15"/>
  <c r="H140" i="15"/>
  <c r="H145" i="15"/>
  <c r="H179" i="15"/>
  <c r="H47" i="9"/>
  <c r="H52" i="9"/>
  <c r="H55" i="9"/>
  <c r="H65" i="9"/>
  <c r="H70" i="9"/>
  <c r="H73" i="9"/>
  <c r="H176" i="15"/>
  <c r="H182" i="15"/>
  <c r="H185" i="15"/>
  <c r="C30" i="5"/>
  <c r="X7" i="9"/>
  <c r="X10" i="9"/>
  <c r="X11" i="9"/>
  <c r="X12" i="9"/>
  <c r="X16" i="9"/>
  <c r="X13" i="9"/>
  <c r="X14" i="9"/>
  <c r="X8" i="9"/>
  <c r="X18" i="9"/>
  <c r="Z58" i="11"/>
  <c r="X13" i="15"/>
  <c r="X14" i="15"/>
  <c r="D12" i="5"/>
  <c r="N7" i="9"/>
  <c r="N10" i="9"/>
  <c r="N11" i="9"/>
  <c r="N12" i="9"/>
  <c r="N16" i="9"/>
  <c r="N13" i="9"/>
  <c r="N14" i="9"/>
  <c r="N8" i="9"/>
  <c r="N18" i="9"/>
  <c r="P58" i="11"/>
  <c r="N13" i="15"/>
  <c r="N14" i="15"/>
  <c r="D11" i="5"/>
  <c r="E12" i="5"/>
  <c r="AH7" i="9"/>
  <c r="AH10" i="9"/>
  <c r="AH11" i="9"/>
  <c r="AH12" i="9"/>
  <c r="AH13" i="9"/>
  <c r="AH16" i="9"/>
  <c r="AH14" i="9"/>
  <c r="AH8" i="9"/>
  <c r="AH18" i="9"/>
  <c r="AJ58" i="11"/>
  <c r="AH13" i="15"/>
  <c r="AH14" i="15"/>
  <c r="D13" i="5"/>
  <c r="E13" i="5"/>
  <c r="G13" i="5"/>
  <c r="G12" i="5"/>
  <c r="AI58" i="11"/>
  <c r="AH58" i="11"/>
  <c r="AG58" i="11"/>
  <c r="AF58" i="11"/>
  <c r="AE58" i="11"/>
  <c r="AD58" i="11"/>
  <c r="AC58" i="11"/>
  <c r="AB58" i="11"/>
  <c r="AA58" i="11"/>
  <c r="Y58" i="11"/>
  <c r="X58" i="11"/>
  <c r="W58" i="11"/>
  <c r="V58" i="11"/>
  <c r="U58" i="11"/>
  <c r="T58" i="11"/>
  <c r="S58" i="11"/>
  <c r="R58" i="11"/>
  <c r="Q58" i="11"/>
  <c r="O58" i="11"/>
  <c r="N58" i="11"/>
  <c r="M58" i="11"/>
  <c r="L58" i="11"/>
  <c r="K58" i="11"/>
  <c r="J58" i="11"/>
  <c r="I58" i="11"/>
  <c r="H58" i="11"/>
  <c r="F58" i="11"/>
  <c r="E58" i="11"/>
  <c r="D58" i="11"/>
  <c r="C58" i="11"/>
  <c r="B58"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D17" i="5"/>
  <c r="C17" i="5"/>
  <c r="D18" i="5"/>
  <c r="C18" i="5"/>
  <c r="D19" i="5"/>
  <c r="C19" i="5"/>
  <c r="D20" i="5"/>
  <c r="C20" i="5"/>
  <c r="D21" i="5"/>
  <c r="C21" i="5"/>
  <c r="D22" i="5"/>
  <c r="C22" i="5"/>
  <c r="D23" i="5"/>
  <c r="C23" i="5"/>
  <c r="C24" i="5"/>
  <c r="E17" i="5"/>
  <c r="N16" i="15"/>
  <c r="N19" i="15"/>
  <c r="N20" i="15"/>
  <c r="N21" i="15"/>
  <c r="N34" i="15"/>
  <c r="D35" i="5"/>
  <c r="C35" i="5"/>
  <c r="N26" i="15"/>
  <c r="N31" i="15"/>
  <c r="D36" i="5"/>
  <c r="C36" i="5"/>
  <c r="N18" i="15"/>
  <c r="N32" i="15"/>
  <c r="E19" i="5"/>
  <c r="N35" i="15"/>
  <c r="E20" i="5"/>
  <c r="N37" i="15"/>
  <c r="E21" i="5"/>
  <c r="N38" i="15"/>
  <c r="E22" i="5"/>
  <c r="N39" i="15"/>
  <c r="E18" i="5"/>
  <c r="N40" i="15"/>
  <c r="E23" i="5"/>
  <c r="N42" i="15"/>
  <c r="N43" i="15"/>
  <c r="N30" i="15"/>
  <c r="N46" i="15"/>
  <c r="N47" i="15"/>
  <c r="N48" i="15"/>
  <c r="N49" i="15"/>
  <c r="N86" i="15"/>
  <c r="H32" i="15"/>
  <c r="H13" i="9"/>
  <c r="H38" i="15"/>
  <c r="H14" i="9"/>
  <c r="H39" i="15"/>
  <c r="H7" i="9"/>
  <c r="H31" i="15"/>
  <c r="H10" i="9"/>
  <c r="H34" i="15"/>
  <c r="H11" i="9"/>
  <c r="H35" i="15"/>
  <c r="H12" i="9"/>
  <c r="H37" i="15"/>
  <c r="H16" i="9"/>
  <c r="H42" i="15"/>
  <c r="H40" i="15"/>
  <c r="H43" i="15"/>
  <c r="H46" i="15"/>
  <c r="H14" i="15"/>
  <c r="H30" i="15"/>
  <c r="H47" i="15"/>
  <c r="H48" i="15"/>
  <c r="H49" i="15"/>
  <c r="H86" i="15"/>
  <c r="N71" i="15"/>
  <c r="D58" i="15"/>
  <c r="D13" i="15"/>
  <c r="D14" i="15"/>
  <c r="D10" i="9"/>
  <c r="D34" i="15"/>
  <c r="C26" i="15"/>
  <c r="D26" i="15"/>
  <c r="D31" i="15"/>
  <c r="C18" i="15"/>
  <c r="D18" i="15"/>
  <c r="D32" i="15"/>
  <c r="C59" i="15"/>
  <c r="N87" i="15"/>
  <c r="H87" i="15"/>
  <c r="N72"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N94" i="15"/>
  <c r="H94" i="15"/>
  <c r="N79"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X46" i="15"/>
  <c r="Y46" i="15"/>
  <c r="Z46" i="15"/>
  <c r="AA46" i="15"/>
  <c r="AB46" i="15"/>
  <c r="AC46" i="15"/>
  <c r="AD46" i="15"/>
  <c r="AE46" i="15"/>
  <c r="AF46" i="15"/>
  <c r="AG46" i="15"/>
  <c r="AH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F23" i="5"/>
  <c r="X42" i="15"/>
  <c r="D29" i="5"/>
  <c r="C29" i="5"/>
  <c r="D28" i="5"/>
  <c r="C28" i="5"/>
  <c r="F35" i="5"/>
  <c r="X26" i="15"/>
  <c r="X31" i="15"/>
  <c r="F36" i="5"/>
  <c r="X18" i="15"/>
  <c r="X32" i="15"/>
  <c r="F17" i="5"/>
  <c r="X34" i="15"/>
  <c r="F19" i="5"/>
  <c r="X35" i="15"/>
  <c r="F20" i="5"/>
  <c r="X37" i="15"/>
  <c r="F21" i="5"/>
  <c r="X38" i="15"/>
  <c r="F22" i="5"/>
  <c r="X39" i="15"/>
  <c r="F18" i="5"/>
  <c r="X40" i="15"/>
  <c r="X43" i="15"/>
  <c r="F34" i="5"/>
  <c r="X24" i="15"/>
  <c r="X30" i="15"/>
  <c r="X47" i="15"/>
  <c r="X48" i="15"/>
  <c r="X49" i="15"/>
  <c r="X66" i="15"/>
  <c r="I23" i="5"/>
  <c r="AH42" i="15"/>
  <c r="H35" i="5"/>
  <c r="AH26" i="15"/>
  <c r="AH31" i="15"/>
  <c r="H36" i="5"/>
  <c r="AH18" i="15"/>
  <c r="AH32" i="15"/>
  <c r="I17" i="5"/>
  <c r="AH34" i="15"/>
  <c r="I19" i="5"/>
  <c r="AH35" i="15"/>
  <c r="I20" i="5"/>
  <c r="AH37" i="15"/>
  <c r="I21" i="5"/>
  <c r="AH38" i="15"/>
  <c r="I22" i="5"/>
  <c r="AH39" i="15"/>
  <c r="I18" i="5"/>
  <c r="AH40" i="15"/>
  <c r="AH43" i="15"/>
  <c r="H34" i="5"/>
  <c r="AH24" i="15"/>
  <c r="AH30" i="15"/>
  <c r="AH47" i="15"/>
  <c r="AH48" i="15"/>
  <c r="AH49" i="15"/>
  <c r="AH94" i="15"/>
  <c r="X94" i="15"/>
  <c r="AH79" i="15"/>
  <c r="Y66" i="15"/>
  <c r="Z66" i="15"/>
  <c r="AA66" i="15"/>
  <c r="AB66" i="15"/>
  <c r="AC66" i="15"/>
  <c r="AD66" i="15"/>
  <c r="AE66" i="15"/>
  <c r="AF66" i="15"/>
  <c r="AG66" i="15"/>
  <c r="AG13" i="15"/>
  <c r="AG14" i="15"/>
  <c r="AG16" i="9"/>
  <c r="AG42" i="15"/>
  <c r="AF13" i="15"/>
  <c r="AF14" i="15"/>
  <c r="AF16" i="9"/>
  <c r="AF42" i="15"/>
  <c r="AE13" i="15"/>
  <c r="AE14" i="15"/>
  <c r="AE16" i="9"/>
  <c r="AE42" i="15"/>
  <c r="AD13" i="15"/>
  <c r="AD14" i="15"/>
  <c r="AD16" i="9"/>
  <c r="AD42" i="15"/>
  <c r="AC13" i="15"/>
  <c r="AC14" i="15"/>
  <c r="AC16" i="9"/>
  <c r="AC42" i="15"/>
  <c r="AB13" i="15"/>
  <c r="AB14" i="15"/>
  <c r="AB16" i="9"/>
  <c r="AB42" i="15"/>
  <c r="AA13" i="15"/>
  <c r="AA14" i="15"/>
  <c r="AA16" i="9"/>
  <c r="AA42" i="15"/>
  <c r="Z13" i="15"/>
  <c r="Z14" i="15"/>
  <c r="Z16" i="9"/>
  <c r="Z42" i="15"/>
  <c r="Y13" i="15"/>
  <c r="Y14" i="15"/>
  <c r="Y16" i="9"/>
  <c r="Y42" i="15"/>
  <c r="X64" i="15"/>
  <c r="AH92" i="15"/>
  <c r="X92" i="15"/>
  <c r="AH77" i="15"/>
  <c r="Y64" i="15"/>
  <c r="Z64" i="15"/>
  <c r="AA64" i="15"/>
  <c r="AB64" i="15"/>
  <c r="AC64" i="15"/>
  <c r="AD64" i="15"/>
  <c r="AE64" i="15"/>
  <c r="AF64" i="15"/>
  <c r="AG64" i="15"/>
  <c r="AG40" i="15"/>
  <c r="AF40" i="15"/>
  <c r="AE40" i="15"/>
  <c r="AD40" i="15"/>
  <c r="AC40" i="15"/>
  <c r="AB40" i="15"/>
  <c r="AA40" i="15"/>
  <c r="Z40" i="15"/>
  <c r="Y40" i="15"/>
  <c r="X63" i="15"/>
  <c r="AH91" i="15"/>
  <c r="X91" i="15"/>
  <c r="AH76" i="15"/>
  <c r="Y63" i="15"/>
  <c r="Z63" i="15"/>
  <c r="AA63" i="15"/>
  <c r="AB63" i="15"/>
  <c r="AC63" i="15"/>
  <c r="AD63" i="15"/>
  <c r="AE63" i="15"/>
  <c r="AF63" i="15"/>
  <c r="AG63" i="15"/>
  <c r="AG14" i="9"/>
  <c r="AG39" i="15"/>
  <c r="AF14" i="9"/>
  <c r="AF39" i="15"/>
  <c r="AE14" i="9"/>
  <c r="AE39" i="15"/>
  <c r="AD14" i="9"/>
  <c r="AD39" i="15"/>
  <c r="AC14" i="9"/>
  <c r="AC39" i="15"/>
  <c r="AB14" i="9"/>
  <c r="AB39" i="15"/>
  <c r="AA14" i="9"/>
  <c r="AA39" i="15"/>
  <c r="Z14" i="9"/>
  <c r="Z39" i="15"/>
  <c r="Y14" i="9"/>
  <c r="Y39" i="15"/>
  <c r="X62" i="15"/>
  <c r="AH90" i="15"/>
  <c r="X90" i="15"/>
  <c r="AH75" i="15"/>
  <c r="Y62" i="15"/>
  <c r="Z62" i="15"/>
  <c r="AA62" i="15"/>
  <c r="AB62" i="15"/>
  <c r="AC62" i="15"/>
  <c r="AD62" i="15"/>
  <c r="AE62" i="15"/>
  <c r="AF62" i="15"/>
  <c r="AG62" i="15"/>
  <c r="AG13" i="9"/>
  <c r="AG38" i="15"/>
  <c r="AF13" i="9"/>
  <c r="AF38" i="15"/>
  <c r="AE13" i="9"/>
  <c r="AE38" i="15"/>
  <c r="AD13" i="9"/>
  <c r="AD38" i="15"/>
  <c r="AC13" i="9"/>
  <c r="AC38" i="15"/>
  <c r="AB13" i="9"/>
  <c r="AB38" i="15"/>
  <c r="AA13" i="9"/>
  <c r="AA38" i="15"/>
  <c r="Z13" i="9"/>
  <c r="Z38" i="15"/>
  <c r="Y13" i="9"/>
  <c r="Y38" i="15"/>
  <c r="X61" i="15"/>
  <c r="AH89" i="15"/>
  <c r="X89" i="15"/>
  <c r="AH74" i="15"/>
  <c r="Y61" i="15"/>
  <c r="Z61" i="15"/>
  <c r="AA61" i="15"/>
  <c r="AB61" i="15"/>
  <c r="AC61" i="15"/>
  <c r="AD61" i="15"/>
  <c r="AE61" i="15"/>
  <c r="AF61" i="15"/>
  <c r="AG61" i="15"/>
  <c r="AG12" i="9"/>
  <c r="AG37" i="15"/>
  <c r="AF12" i="9"/>
  <c r="AF37" i="15"/>
  <c r="AE12" i="9"/>
  <c r="AE37" i="15"/>
  <c r="AD12" i="9"/>
  <c r="AD37" i="15"/>
  <c r="AC12" i="9"/>
  <c r="AC37" i="15"/>
  <c r="AB12" i="9"/>
  <c r="AB37" i="15"/>
  <c r="AA12" i="9"/>
  <c r="AA37" i="15"/>
  <c r="Z12" i="9"/>
  <c r="Z37" i="15"/>
  <c r="Y12" i="9"/>
  <c r="Y37" i="15"/>
  <c r="X59" i="15"/>
  <c r="AH87" i="15"/>
  <c r="X87" i="15"/>
  <c r="AH72" i="15"/>
  <c r="Y59" i="15"/>
  <c r="Z59" i="15"/>
  <c r="AA59" i="15"/>
  <c r="AB59" i="15"/>
  <c r="AC59" i="15"/>
  <c r="AD59" i="15"/>
  <c r="AE59" i="15"/>
  <c r="AF59" i="15"/>
  <c r="AG59" i="15"/>
  <c r="AG11" i="9"/>
  <c r="AG35" i="15"/>
  <c r="AF11" i="9"/>
  <c r="AF35" i="15"/>
  <c r="AE11" i="9"/>
  <c r="AE35" i="15"/>
  <c r="AD11" i="9"/>
  <c r="AD35" i="15"/>
  <c r="AC11" i="9"/>
  <c r="AC35" i="15"/>
  <c r="AB11" i="9"/>
  <c r="AB35" i="15"/>
  <c r="AA11" i="9"/>
  <c r="AA35" i="15"/>
  <c r="Z11" i="9"/>
  <c r="Z35" i="15"/>
  <c r="Y11" i="9"/>
  <c r="Y35" i="15"/>
  <c r="X58" i="15"/>
  <c r="AH86" i="15"/>
  <c r="X86" i="15"/>
  <c r="AH71" i="15"/>
  <c r="Y58" i="15"/>
  <c r="Z58" i="15"/>
  <c r="AA58" i="15"/>
  <c r="AB58" i="15"/>
  <c r="AC58" i="15"/>
  <c r="AD58" i="15"/>
  <c r="AE58" i="15"/>
  <c r="AF58" i="15"/>
  <c r="AG58" i="15"/>
  <c r="AG10" i="9"/>
  <c r="AG34" i="15"/>
  <c r="AF10" i="9"/>
  <c r="AF34" i="15"/>
  <c r="AE10" i="9"/>
  <c r="AE34" i="15"/>
  <c r="AD10" i="9"/>
  <c r="AD34" i="15"/>
  <c r="AC10" i="9"/>
  <c r="AC34" i="15"/>
  <c r="AB10" i="9"/>
  <c r="AB34" i="15"/>
  <c r="AA10" i="9"/>
  <c r="AA34" i="15"/>
  <c r="Z10" i="9"/>
  <c r="Z34" i="15"/>
  <c r="Y10" i="9"/>
  <c r="Y34"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X72"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X79"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D30" i="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Y24" i="15"/>
  <c r="Z24"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Y30" i="15"/>
  <c r="X210" i="15"/>
  <c r="X231" i="15"/>
  <c r="X232" i="15"/>
  <c r="K211" i="15"/>
  <c r="K127" i="15"/>
  <c r="K212" i="15"/>
  <c r="K233" i="15"/>
  <c r="I210" i="15"/>
  <c r="I231" i="15"/>
  <c r="I232" i="15"/>
  <c r="P211" i="15"/>
  <c r="P127" i="15"/>
  <c r="P212" i="15"/>
  <c r="P233" i="15"/>
  <c r="F24" i="5"/>
  <c r="I24" i="5"/>
  <c r="AH108" i="15"/>
  <c r="AH135" i="15"/>
  <c r="AH112" i="15"/>
  <c r="AH139" i="15"/>
  <c r="X108" i="15"/>
  <c r="X135" i="15"/>
  <c r="Y26" i="15"/>
  <c r="AH109" i="15"/>
  <c r="AH136" i="15"/>
  <c r="AH102" i="15"/>
  <c r="X105" i="15"/>
  <c r="X132" i="15"/>
  <c r="X112" i="15"/>
  <c r="X139" i="15"/>
  <c r="N102" i="15"/>
  <c r="N129" i="15"/>
  <c r="F37" i="5"/>
  <c r="C25" i="5"/>
  <c r="C40" i="5"/>
  <c r="P26" i="15"/>
  <c r="O31" i="15"/>
  <c r="O102" i="15"/>
  <c r="O129" i="15"/>
  <c r="X109" i="15"/>
  <c r="X136" i="15"/>
  <c r="AH105" i="15"/>
  <c r="AH132" i="15"/>
  <c r="Y18" i="15"/>
  <c r="Z18" i="15"/>
  <c r="AA18" i="15"/>
  <c r="AB18" i="15"/>
  <c r="AC18" i="15"/>
  <c r="AD18" i="15"/>
  <c r="AE18" i="15"/>
  <c r="AF18" i="15"/>
  <c r="AG18" i="15"/>
  <c r="C119" i="15"/>
  <c r="C180" i="15"/>
  <c r="P210" i="15"/>
  <c r="P231" i="15"/>
  <c r="P232" i="15"/>
  <c r="Z30" i="15"/>
  <c r="AA24"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Z26" i="15"/>
  <c r="Y31" i="15"/>
  <c r="N105" i="15"/>
  <c r="N132" i="15"/>
  <c r="N108" i="15"/>
  <c r="N135" i="15"/>
  <c r="AH104" i="15"/>
  <c r="AH44" i="15"/>
  <c r="Q26" i="15"/>
  <c r="P31" i="15"/>
  <c r="P102" i="15"/>
  <c r="P129" i="15"/>
  <c r="N109" i="15"/>
  <c r="N136" i="15"/>
  <c r="N107" i="15"/>
  <c r="N134" i="15"/>
  <c r="X102" i="15"/>
  <c r="X104" i="15"/>
  <c r="X44" i="15"/>
  <c r="X45" i="15"/>
  <c r="C241" i="15"/>
  <c r="C219" i="15"/>
  <c r="AA30" i="15"/>
  <c r="AB24" i="15"/>
  <c r="G26" i="15"/>
  <c r="AA26" i="15"/>
  <c r="Z31"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AB30" i="15"/>
  <c r="AC24" i="15"/>
  <c r="Y129" i="15"/>
  <c r="AH213" i="15"/>
  <c r="AH235" i="15"/>
  <c r="F102" i="15"/>
  <c r="F129" i="15"/>
  <c r="N131" i="15"/>
  <c r="N142" i="15"/>
  <c r="N215" i="15"/>
  <c r="N236" i="15"/>
  <c r="N115" i="15"/>
  <c r="N214" i="15"/>
  <c r="R31" i="15"/>
  <c r="R102" i="15"/>
  <c r="R129" i="15"/>
  <c r="S26" i="15"/>
  <c r="AA31" i="15"/>
  <c r="AB26" i="15"/>
  <c r="Z102" i="15"/>
  <c r="X214" i="15"/>
  <c r="X123" i="15"/>
  <c r="G31" i="15"/>
  <c r="AD24" i="15"/>
  <c r="AC30" i="15"/>
  <c r="X213" i="15"/>
  <c r="X235" i="15"/>
  <c r="AC26" i="15"/>
  <c r="AB31" i="15"/>
  <c r="G102" i="15"/>
  <c r="G129" i="15"/>
  <c r="Z129" i="15"/>
  <c r="AA102" i="15"/>
  <c r="T26" i="15"/>
  <c r="S31" i="15"/>
  <c r="S102" i="15"/>
  <c r="S129" i="15"/>
  <c r="N213" i="15"/>
  <c r="N235" i="15"/>
  <c r="AH223" i="15"/>
  <c r="AH234" i="15"/>
  <c r="H103" i="15"/>
  <c r="H130" i="15"/>
  <c r="AE24" i="15"/>
  <c r="AD30" i="15"/>
  <c r="I31" i="15"/>
  <c r="U26" i="15"/>
  <c r="T31" i="15"/>
  <c r="T102" i="15"/>
  <c r="T129" i="15"/>
  <c r="X223" i="15"/>
  <c r="X234" i="15"/>
  <c r="AA129" i="15"/>
  <c r="AB102" i="15"/>
  <c r="N234" i="15"/>
  <c r="N223" i="15"/>
  <c r="AD26" i="15"/>
  <c r="AC31" i="15"/>
  <c r="H102" i="15"/>
  <c r="H129" i="15"/>
  <c r="AH244" i="15"/>
  <c r="AE30" i="15"/>
  <c r="AF24" i="15"/>
  <c r="AC102" i="15"/>
  <c r="I102" i="15"/>
  <c r="I129" i="15"/>
  <c r="N244" i="15"/>
  <c r="AD31" i="15"/>
  <c r="AE26" i="15"/>
  <c r="X244" i="15"/>
  <c r="U31" i="15"/>
  <c r="U102" i="15"/>
  <c r="U129" i="15"/>
  <c r="V26" i="15"/>
  <c r="AB129" i="15"/>
  <c r="J31" i="15"/>
  <c r="AF30" i="15"/>
  <c r="AG24" i="15"/>
  <c r="AG30" i="15"/>
  <c r="J102" i="15"/>
  <c r="J129" i="15"/>
  <c r="K31" i="15"/>
  <c r="AF26" i="15"/>
  <c r="AE31" i="15"/>
  <c r="W26" i="15"/>
  <c r="W31" i="15"/>
  <c r="W102" i="15"/>
  <c r="W129" i="15"/>
  <c r="V31" i="15"/>
  <c r="V102" i="15"/>
  <c r="V129" i="15"/>
  <c r="AD102" i="15"/>
  <c r="AC129" i="15"/>
  <c r="AE102" i="15"/>
  <c r="AF31" i="15"/>
  <c r="AG26" i="15"/>
  <c r="AG31" i="15"/>
  <c r="AD129" i="15"/>
  <c r="M31" i="15"/>
  <c r="M102" i="15"/>
  <c r="M129" i="15"/>
  <c r="L31" i="15"/>
  <c r="K102" i="15"/>
  <c r="K129" i="15"/>
  <c r="AE129" i="15"/>
  <c r="L102" i="15"/>
  <c r="L129" i="15"/>
  <c r="AG102" i="15"/>
  <c r="AF102" i="15"/>
  <c r="AG129" i="15"/>
  <c r="AF129" i="15"/>
  <c r="C67" i="15"/>
  <c r="AB32" i="15"/>
  <c r="AB103" i="15"/>
  <c r="AA32" i="15"/>
  <c r="AA103" i="15"/>
  <c r="AA114" i="15"/>
  <c r="AA217" i="15"/>
  <c r="AC32" i="15"/>
  <c r="AE32" i="15"/>
  <c r="Z32" i="15"/>
  <c r="Y32" i="15"/>
  <c r="Y103" i="15"/>
  <c r="AD32" i="15"/>
  <c r="AF32" i="15"/>
  <c r="AG32"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93" i="15"/>
  <c r="AH59" i="15"/>
  <c r="AH61" i="15"/>
  <c r="AH65" i="15"/>
  <c r="AH50" i="15"/>
  <c r="AH66" i="15"/>
  <c r="AH58" i="15"/>
  <c r="AH85" i="15"/>
  <c r="AH57" i="15"/>
  <c r="Z141" i="15"/>
  <c r="Z218" i="15"/>
  <c r="Z239" i="15"/>
  <c r="X241" i="15"/>
  <c r="X84" i="15"/>
  <c r="X50" i="15"/>
  <c r="X56" i="15"/>
  <c r="X88" i="15"/>
  <c r="X65" i="15"/>
  <c r="X93"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43" i="15"/>
  <c r="Y112" i="15"/>
  <c r="Y139" i="15"/>
  <c r="Y105" i="15"/>
  <c r="Y132" i="15"/>
  <c r="Z110" i="15"/>
  <c r="Z137" i="15"/>
  <c r="Z108" i="15"/>
  <c r="Z135" i="15"/>
  <c r="Z112" i="15"/>
  <c r="Z139" i="15"/>
  <c r="Z107" i="15"/>
  <c r="Z134" i="15"/>
  <c r="Y47" i="15"/>
  <c r="Y51" i="15"/>
  <c r="Y45" i="15"/>
  <c r="Z105" i="15"/>
  <c r="Z132" i="15"/>
  <c r="Z44" i="15"/>
  <c r="Z43" i="15"/>
  <c r="Z104" i="15"/>
  <c r="AA109" i="15"/>
  <c r="AA136" i="15"/>
  <c r="Y115" i="15"/>
  <c r="Y214" i="15"/>
  <c r="Y131" i="15"/>
  <c r="Y113" i="15"/>
  <c r="AA110" i="15"/>
  <c r="AA137" i="15"/>
  <c r="AB109" i="15"/>
  <c r="AB136" i="15"/>
  <c r="Z47" i="15"/>
  <c r="Y142" i="15"/>
  <c r="Y215" i="15"/>
  <c r="Y236" i="15"/>
  <c r="Y140" i="15"/>
  <c r="Y25" i="15"/>
  <c r="Y116" i="15"/>
  <c r="Y48"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AA43" i="15"/>
  <c r="Y49" i="15"/>
  <c r="Y84" i="15"/>
  <c r="AA47" i="15"/>
  <c r="AC110" i="15"/>
  <c r="AC137" i="15"/>
  <c r="Y234" i="15"/>
  <c r="Y223" i="15"/>
  <c r="Y224" i="15"/>
  <c r="Z142" i="15"/>
  <c r="Z215" i="15"/>
  <c r="Z236" i="15"/>
  <c r="Z140" i="15"/>
  <c r="Y118" i="15"/>
  <c r="Y220" i="15"/>
  <c r="Y143" i="15"/>
  <c r="Y221" i="15"/>
  <c r="Y242" i="15"/>
  <c r="Z25" i="15"/>
  <c r="Z116" i="15"/>
  <c r="Z48" i="15"/>
  <c r="AB107" i="15"/>
  <c r="AB134" i="15"/>
  <c r="AC109" i="15"/>
  <c r="AC136" i="15"/>
  <c r="AA115" i="15"/>
  <c r="AA214" i="15"/>
  <c r="AA131" i="15"/>
  <c r="AA113" i="15"/>
  <c r="AA45" i="15"/>
  <c r="AA51" i="15"/>
  <c r="Z235" i="15"/>
  <c r="AB108" i="15"/>
  <c r="AB135" i="15"/>
  <c r="AB105" i="15"/>
  <c r="AB132" i="15"/>
  <c r="AB44" i="15"/>
  <c r="AB104" i="15"/>
  <c r="AB43" i="15"/>
  <c r="AB112" i="15"/>
  <c r="AB139" i="15"/>
  <c r="Y86" i="15"/>
  <c r="Y50" i="15"/>
  <c r="Y90" i="15"/>
  <c r="Y92" i="15"/>
  <c r="Y88" i="15"/>
  <c r="Y89" i="15"/>
  <c r="Y93" i="15"/>
  <c r="Y56" i="15"/>
  <c r="Y91" i="15"/>
  <c r="Y94" i="15"/>
  <c r="Y57" i="15"/>
  <c r="Y65" i="15"/>
  <c r="Y67" i="15"/>
  <c r="Y68" i="15"/>
  <c r="Y87" i="15"/>
  <c r="Y95"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43" i="15"/>
  <c r="AC108" i="15"/>
  <c r="AC135" i="15"/>
  <c r="Y245" i="15"/>
  <c r="Y244" i="15"/>
  <c r="Z213" i="15"/>
  <c r="AA235" i="15"/>
  <c r="AC112" i="15"/>
  <c r="AC139" i="15"/>
  <c r="Z143" i="15"/>
  <c r="AB47" i="15"/>
  <c r="Z117" i="15"/>
  <c r="Z144" i="15"/>
  <c r="Z49" i="15"/>
  <c r="Y219" i="15"/>
  <c r="Y241" i="15"/>
  <c r="Y119" i="15"/>
  <c r="Y180" i="15"/>
  <c r="Y183" i="15"/>
  <c r="Q17" i="5"/>
  <c r="AD110" i="15"/>
  <c r="AD137" i="15"/>
  <c r="AA25" i="15"/>
  <c r="AA116" i="15"/>
  <c r="AA48"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D43" i="15"/>
  <c r="AE109" i="15"/>
  <c r="AE136" i="15"/>
  <c r="Z220" i="15"/>
  <c r="AD107" i="15"/>
  <c r="AD134" i="15"/>
  <c r="AD108" i="15"/>
  <c r="AD135" i="15"/>
  <c r="AB235" i="15"/>
  <c r="AD105" i="15"/>
  <c r="AD132" i="15"/>
  <c r="AB116" i="15"/>
  <c r="AB25" i="15"/>
  <c r="AB48" i="15"/>
  <c r="AB117" i="15"/>
  <c r="AB144" i="15"/>
  <c r="AA213" i="15"/>
  <c r="Z223" i="15"/>
  <c r="Z234" i="15"/>
  <c r="Z224" i="15"/>
  <c r="AC47" i="15"/>
  <c r="AC45" i="15"/>
  <c r="AC51" i="15"/>
  <c r="AB142" i="15"/>
  <c r="AB215" i="15"/>
  <c r="AB236" i="15"/>
  <c r="AB140" i="15"/>
  <c r="AA220" i="15"/>
  <c r="AA143" i="15"/>
  <c r="AA221" i="15"/>
  <c r="AA242" i="15"/>
  <c r="Z50" i="15"/>
  <c r="Z93" i="15"/>
  <c r="Z56" i="15"/>
  <c r="Z84" i="15"/>
  <c r="Z65" i="15"/>
  <c r="Z67" i="15"/>
  <c r="Z68" i="15"/>
  <c r="Z88" i="15"/>
  <c r="Z85" i="15"/>
  <c r="Z57" i="15"/>
  <c r="Z92" i="15"/>
  <c r="Z91" i="15"/>
  <c r="Z87" i="15"/>
  <c r="Z90" i="15"/>
  <c r="Z86" i="15"/>
  <c r="Z94" i="15"/>
  <c r="Z89" i="15"/>
  <c r="Z145" i="15"/>
  <c r="AD112" i="15"/>
  <c r="AD139" i="15"/>
  <c r="AA118" i="15"/>
  <c r="AA49" i="15"/>
  <c r="AB118" i="15"/>
  <c r="AB180" i="15"/>
  <c r="AB183" i="15"/>
  <c r="AA234" i="15"/>
  <c r="AA224" i="15"/>
  <c r="AA223" i="15"/>
  <c r="AE44" i="15"/>
  <c r="AE104" i="15"/>
  <c r="AE43" i="15"/>
  <c r="AD47" i="15"/>
  <c r="AC142" i="15"/>
  <c r="AC215" i="15"/>
  <c r="AC236" i="15"/>
  <c r="AC140" i="15"/>
  <c r="AA65" i="15"/>
  <c r="AA67" i="15"/>
  <c r="AA68" i="15"/>
  <c r="AA56" i="15"/>
  <c r="AA88" i="15"/>
  <c r="AA93" i="15"/>
  <c r="AA50" i="15"/>
  <c r="AA84" i="15"/>
  <c r="AA57" i="15"/>
  <c r="AA85" i="15"/>
  <c r="AA92" i="15"/>
  <c r="AA91" i="15"/>
  <c r="AA87" i="15"/>
  <c r="AA94" i="15"/>
  <c r="AA90" i="15"/>
  <c r="AA86" i="15"/>
  <c r="AA89" i="15"/>
  <c r="Z95" i="15"/>
  <c r="Z96" i="15"/>
  <c r="AA241" i="15"/>
  <c r="AA219" i="15"/>
  <c r="AA240" i="15"/>
  <c r="AA180" i="15"/>
  <c r="AA183" i="15"/>
  <c r="AA119" i="15"/>
  <c r="AA145" i="15"/>
  <c r="AB49"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C48" i="15"/>
  <c r="AF110" i="15"/>
  <c r="AF137" i="15"/>
  <c r="AC235" i="15"/>
  <c r="AE107" i="15"/>
  <c r="AE134" i="15"/>
  <c r="Z179" i="15"/>
  <c r="Z182" i="15"/>
  <c r="AB119" i="15"/>
  <c r="AC213" i="15"/>
  <c r="AC234" i="15"/>
  <c r="AA95" i="15"/>
  <c r="AA96" i="15"/>
  <c r="AA222" i="15"/>
  <c r="AA243" i="15"/>
  <c r="AB241" i="15"/>
  <c r="AB219" i="15"/>
  <c r="AB240" i="15"/>
  <c r="AG107" i="15"/>
  <c r="AG134" i="15"/>
  <c r="AA181" i="15"/>
  <c r="AA184" i="15"/>
  <c r="AA146" i="15"/>
  <c r="AF107" i="15"/>
  <c r="AF134" i="15"/>
  <c r="AD235" i="15"/>
  <c r="AD116" i="15"/>
  <c r="AD25" i="15"/>
  <c r="AD48" i="15"/>
  <c r="AD117" i="15"/>
  <c r="AD144" i="15"/>
  <c r="AE115" i="15"/>
  <c r="AE214" i="15"/>
  <c r="AE131" i="15"/>
  <c r="AE113" i="15"/>
  <c r="AC117" i="15"/>
  <c r="AC220" i="15"/>
  <c r="AC49" i="15"/>
  <c r="AD142" i="15"/>
  <c r="AD215" i="15"/>
  <c r="AD236" i="15"/>
  <c r="AD140" i="15"/>
  <c r="Z240" i="15"/>
  <c r="Z222" i="15"/>
  <c r="Z243" i="15"/>
  <c r="AB223" i="15"/>
  <c r="AB224" i="15"/>
  <c r="AB234" i="15"/>
  <c r="AB93" i="15"/>
  <c r="AB65" i="15"/>
  <c r="AB67" i="15"/>
  <c r="AB68" i="15"/>
  <c r="AB84" i="15"/>
  <c r="AB88" i="15"/>
  <c r="AB56" i="15"/>
  <c r="AB50" i="15"/>
  <c r="AB57" i="15"/>
  <c r="AB85" i="15"/>
  <c r="AB92" i="15"/>
  <c r="AB91" i="15"/>
  <c r="AB90" i="15"/>
  <c r="AB86" i="15"/>
  <c r="AB94" i="15"/>
  <c r="AB87" i="15"/>
  <c r="AB89" i="15"/>
  <c r="AA179" i="15"/>
  <c r="AA182" i="15"/>
  <c r="AF112" i="15"/>
  <c r="AF139" i="15"/>
  <c r="AG108" i="15"/>
  <c r="AG135" i="15"/>
  <c r="AF105" i="15"/>
  <c r="AF132" i="15"/>
  <c r="AE47" i="15"/>
  <c r="AC143" i="15"/>
  <c r="AB145" i="15"/>
  <c r="AF44" i="15"/>
  <c r="AF104" i="15"/>
  <c r="AF43" i="15"/>
  <c r="AG112" i="15"/>
  <c r="AG139" i="15"/>
  <c r="AF108" i="15"/>
  <c r="AF135" i="15"/>
  <c r="AG105" i="15"/>
  <c r="AG132" i="15"/>
  <c r="AE45" i="15"/>
  <c r="AE51" i="15"/>
  <c r="AA244" i="15"/>
  <c r="AA245" i="15"/>
  <c r="AC223" i="15"/>
  <c r="AC224" i="15"/>
  <c r="AC241" i="15"/>
  <c r="AF115" i="15"/>
  <c r="AF214" i="15"/>
  <c r="AF131" i="15"/>
  <c r="AF113" i="15"/>
  <c r="AG44" i="15"/>
  <c r="AG104" i="15"/>
  <c r="AG43" i="15"/>
  <c r="AD220" i="15"/>
  <c r="AD143" i="15"/>
  <c r="AD221" i="15"/>
  <c r="AD242" i="15"/>
  <c r="AD118" i="15"/>
  <c r="AF51" i="15"/>
  <c r="AF45" i="15"/>
  <c r="AC244" i="15"/>
  <c r="AC245" i="15"/>
  <c r="AB95" i="15"/>
  <c r="AB96" i="15"/>
  <c r="AB244" i="15"/>
  <c r="AB245" i="15"/>
  <c r="AF47" i="15"/>
  <c r="AB181" i="15"/>
  <c r="AB184" i="15"/>
  <c r="AB146" i="15"/>
  <c r="AB179" i="15"/>
  <c r="AB182" i="15"/>
  <c r="AE25" i="15"/>
  <c r="AE116" i="15"/>
  <c r="AE48" i="15"/>
  <c r="AD49" i="15"/>
  <c r="AB222" i="15"/>
  <c r="AB243" i="15"/>
  <c r="AC50" i="15"/>
  <c r="AC65" i="15"/>
  <c r="AC67" i="15"/>
  <c r="AC68" i="15"/>
  <c r="AC84" i="15"/>
  <c r="AC88" i="15"/>
  <c r="AC56" i="15"/>
  <c r="AC93" i="15"/>
  <c r="AC57" i="15"/>
  <c r="AC85" i="15"/>
  <c r="AC92" i="15"/>
  <c r="AC91" i="15"/>
  <c r="AC87" i="15"/>
  <c r="AC90" i="15"/>
  <c r="AC86" i="15"/>
  <c r="AC94" i="15"/>
  <c r="AC89" i="15"/>
  <c r="AE235" i="15"/>
  <c r="AD213" i="15"/>
  <c r="AC144" i="15"/>
  <c r="AC145" i="15"/>
  <c r="AC118" i="15"/>
  <c r="AE142" i="15"/>
  <c r="AE215" i="15"/>
  <c r="AE236" i="15"/>
  <c r="AE140" i="15"/>
  <c r="AC221" i="15"/>
  <c r="AC242" i="15"/>
  <c r="AC95" i="15"/>
  <c r="AC96" i="15"/>
  <c r="AE143" i="15"/>
  <c r="AG47" i="15"/>
  <c r="AD219" i="15"/>
  <c r="AD240" i="15"/>
  <c r="AD241" i="15"/>
  <c r="AD145" i="15"/>
  <c r="AC119" i="15"/>
  <c r="AC179" i="15"/>
  <c r="AC182" i="15"/>
  <c r="AC180" i="15"/>
  <c r="AC183" i="15"/>
  <c r="AD224" i="15"/>
  <c r="AD234" i="15"/>
  <c r="AD222" i="15"/>
  <c r="AD243" i="15"/>
  <c r="AD223" i="15"/>
  <c r="AE213" i="15"/>
  <c r="AD93" i="15"/>
  <c r="AD56" i="15"/>
  <c r="AD65" i="15"/>
  <c r="AD67" i="15"/>
  <c r="AD68" i="15"/>
  <c r="AD84" i="15"/>
  <c r="AD50" i="15"/>
  <c r="AD88" i="15"/>
  <c r="AD85" i="15"/>
  <c r="AD57" i="15"/>
  <c r="AD91" i="15"/>
  <c r="AD92" i="15"/>
  <c r="AD86" i="15"/>
  <c r="AD94" i="15"/>
  <c r="AD89" i="15"/>
  <c r="AD90" i="15"/>
  <c r="AD87" i="15"/>
  <c r="AF25" i="15"/>
  <c r="AF116" i="15"/>
  <c r="AF48"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E49" i="15"/>
  <c r="AF235" i="15"/>
  <c r="AC219" i="15"/>
  <c r="AC222" i="15"/>
  <c r="AC243" i="15"/>
  <c r="AF213" i="15"/>
  <c r="AF234" i="15"/>
  <c r="AE181" i="15"/>
  <c r="AE184" i="15"/>
  <c r="AE146" i="15"/>
  <c r="AD95" i="15"/>
  <c r="AD96" i="15"/>
  <c r="AE220" i="15"/>
  <c r="AG142" i="15"/>
  <c r="AG215" i="15"/>
  <c r="AG236" i="15"/>
  <c r="AG140" i="15"/>
  <c r="AE118" i="15"/>
  <c r="AG235" i="15"/>
  <c r="AF117" i="15"/>
  <c r="AF220" i="15"/>
  <c r="AF49" i="15"/>
  <c r="AD244" i="15"/>
  <c r="AD245" i="15"/>
  <c r="AD181" i="15"/>
  <c r="AD184" i="15"/>
  <c r="AD146" i="15"/>
  <c r="AG25" i="15"/>
  <c r="AG116" i="15"/>
  <c r="AG48" i="15"/>
  <c r="AG117" i="15"/>
  <c r="AG144" i="15"/>
  <c r="AE88" i="15"/>
  <c r="AE50" i="15"/>
  <c r="AE93" i="15"/>
  <c r="AE84" i="15"/>
  <c r="AE65" i="15"/>
  <c r="AE67" i="15"/>
  <c r="AE68" i="15"/>
  <c r="AE56" i="15"/>
  <c r="AE57" i="15"/>
  <c r="AE85" i="15"/>
  <c r="AE91" i="15"/>
  <c r="AE92" i="15"/>
  <c r="AE90" i="15"/>
  <c r="AE89" i="15"/>
  <c r="AE87" i="15"/>
  <c r="AE94" i="15"/>
  <c r="AE86" i="15"/>
  <c r="AF143" i="15"/>
  <c r="AE224" i="15"/>
  <c r="AE234" i="15"/>
  <c r="AE223" i="15"/>
  <c r="AE221" i="15"/>
  <c r="AE242" i="15"/>
  <c r="AF223" i="15"/>
  <c r="AC240" i="15"/>
  <c r="AF224" i="15"/>
  <c r="AG49"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G93" i="15"/>
  <c r="AG89" i="15"/>
  <c r="AF93" i="15"/>
  <c r="AF56" i="15"/>
  <c r="AF50" i="15"/>
  <c r="AF84" i="15"/>
  <c r="AF88" i="15"/>
  <c r="AF65" i="15"/>
  <c r="AF67" i="15"/>
  <c r="AF68" i="15"/>
  <c r="AF57" i="15"/>
  <c r="AF85" i="15"/>
  <c r="AF91" i="15"/>
  <c r="AF92" i="15"/>
  <c r="AF89" i="15"/>
  <c r="AF86" i="15"/>
  <c r="AF90" i="15"/>
  <c r="AF94" i="15"/>
  <c r="AF87" i="15"/>
  <c r="AF241" i="15"/>
  <c r="AE95" i="15"/>
  <c r="AE96" i="15"/>
  <c r="AG92" i="15"/>
  <c r="AG85" i="15"/>
  <c r="AG87" i="15"/>
  <c r="AG88" i="15"/>
  <c r="AG94" i="15"/>
  <c r="AG65" i="15"/>
  <c r="AG67" i="15"/>
  <c r="AG68" i="15"/>
  <c r="AG86" i="15"/>
  <c r="AG91" i="15"/>
  <c r="AG56" i="15"/>
  <c r="AG90"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5" i="15"/>
  <c r="AF96" i="15"/>
  <c r="AE240" i="15"/>
  <c r="AE222" i="15"/>
  <c r="AE243" i="15"/>
  <c r="AG95"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93"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93"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<sst xmlns="http://schemas.openxmlformats.org/spreadsheetml/2006/main" count="1290" uniqueCount="736">
  <si>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</si>
  <si>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</si>
  <si>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</si>
  <si>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</si>
  <si>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</si>
  <si>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</si>
  <si>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</si>
  <si>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</si>
  <si>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</si>
  <si>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</si>
  <si>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</si>
  <si>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</si>
  <si>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</si>
  <si>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</si>
  <si>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</si>
  <si>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</si>
  <si>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</si>
  <si>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</si>
  <si>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</si>
  <si>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</si>
  <si>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</si>
  <si>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</si>
  <si>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</si>
  <si>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</si>
  <si>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</si>
  <si>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</si>
  <si>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</si>
  <si>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</si>
  <si>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</si>
  <si>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</si>
  <si>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</si>
  <si>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</si>
  <si>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</si>
  <si>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</si>
  <si>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</si>
  <si>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</si>
  <si>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</si>
  <si>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</si>
  <si>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</si>
  <si>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</si>
  <si>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</si>
  <si>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</si>
  <si>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</si>
  <si>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</si>
  <si>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</si>
  <si>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</si>
  <si>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</si>
  <si>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</si>
  <si>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</si>
  <si>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Total, All Sectors</t>
  </si>
  <si>
    <t xml:space="preserve">  Net Summer Capacity</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</si>
  <si>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</si>
  <si>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</si>
  <si>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</si>
  <si>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</si>
  <si>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</si>
  <si>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</si>
  <si>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</si>
  <si>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</si>
  <si>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</si>
  <si>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</si>
  <si>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</si>
  <si>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</si>
  <si>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</si>
  <si>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</si>
  <si>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</si>
  <si>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</si>
  <si>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</si>
  <si>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</si>
  <si>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</si>
  <si>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</si>
  <si>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</si>
  <si>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</si>
  <si>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</si>
  <si>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</si>
  <si>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</si>
  <si>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</si>
  <si>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</si>
  <si>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</si>
  <si>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</si>
  <si>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</si>
  <si>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</si>
  <si>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Net Available to the Grid</t>
  </si>
  <si>
    <t xml:space="preserve">    Other Gaseous Fuels 8/</t>
  </si>
  <si>
    <t xml:space="preserve">    Less Direct Use</t>
  </si>
  <si>
    <t xml:space="preserve">      Total Sales to the Grid</t>
  </si>
  <si>
    <t>Total Electricity Generation by Fuel</t>
  </si>
  <si>
    <t xml:space="preserve">    Other 10/</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</si>
  <si>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</si>
  <si>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</si>
  <si>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</si>
  <si>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</si>
  <si>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</si>
  <si>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</si>
  <si>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</si>
  <si>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</si>
  <si>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</si>
  <si>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</si>
  <si>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</si>
  <si>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</si>
  <si>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</si>
  <si>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</si>
  <si>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</si>
  <si>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</si>
  <si>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</si>
  <si>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</si>
  <si>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</si>
  <si>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</si>
  <si>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</si>
  <si>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</si>
  <si>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</si>
  <si>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</si>
  <si>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</si>
  <si>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</si>
  <si>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</si>
  <si>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</si>
  <si>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</si>
  <si>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</si>
  <si>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</si>
  <si>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</si>
  <si>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</si>
  <si>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</si>
  <si>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</si>
  <si>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</si>
  <si>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</si>
  <si>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</si>
  <si>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</si>
  <si>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</si>
  <si>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</si>
  <si>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</si>
  <si>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</si>
  <si>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</si>
  <si>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</si>
  <si>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</si>
  <si>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</si>
  <si>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</si>
  <si>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</si>
  <si>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</si>
  <si>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</si>
  <si>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</si>
  <si>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</si>
  <si>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</si>
  <si>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</si>
  <si>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</si>
  <si>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</si>
  <si>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</si>
  <si>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</si>
  <si>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</si>
  <si>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</si>
  <si>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</si>
  <si>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</si>
  <si>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</si>
  <si>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</si>
  <si>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</si>
  <si>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</si>
  <si>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</si>
  <si>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</si>
  <si>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</si>
  <si>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</si>
  <si>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</si>
  <si>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</si>
  <si>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</si>
  <si>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</si>
  <si>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</si>
  <si>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</si>
  <si>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</si>
  <si>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</si>
  <si>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</si>
  <si>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</si>
  <si>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</si>
  <si>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</si>
  <si>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</si>
  <si>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</si>
  <si>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</si>
  <si>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</si>
  <si>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</si>
  <si>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</si>
  <si>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</si>
  <si>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</si>
  <si>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</si>
  <si>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</si>
  <si>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</si>
  <si>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</si>
  <si>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</si>
  <si>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</si>
  <si>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</si>
  <si>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</si>
  <si>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</si>
  <si>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</si>
  <si>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</si>
  <si>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</si>
  <si>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</si>
  <si>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</si>
  <si>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</si>
  <si>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</si>
  <si>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</si>
  <si>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</si>
  <si>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</si>
  <si>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</si>
  <si>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</si>
  <si>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</si>
  <si>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</si>
  <si>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</si>
  <si>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</si>
  <si>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</si>
  <si>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</si>
  <si>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</si>
  <si>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</si>
  <si>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</si>
  <si>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</si>
  <si>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</si>
  <si>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</si>
  <si>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</si>
  <si>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</si>
  <si>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</si>
  <si>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</si>
  <si>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</si>
  <si>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</si>
  <si>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</si>
  <si>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</si>
  <si>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</si>
  <si>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</si>
  <si>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</si>
  <si>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</si>
  <si>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</si>
  <si>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</si>
  <si>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</si>
  <si>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</si>
  <si>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</si>
  <si>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</si>
  <si>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</si>
  <si>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</si>
  <si>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</si>
  <si>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</si>
  <si>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</si>
  <si>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</si>
  <si>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</si>
  <si>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</si>
  <si>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</si>
  <si>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</si>
  <si>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</si>
  <si>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</si>
  <si>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</si>
  <si>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</si>
  <si>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</si>
  <si>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</si>
  <si>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</si>
  <si>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</si>
  <si>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</si>
  <si>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</si>
  <si>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</si>
  <si>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</si>
  <si>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</si>
  <si>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</si>
  <si>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</si>
  <si>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</si>
  <si>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</si>
  <si>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</si>
  <si>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</si>
  <si>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</si>
  <si>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</si>
  <si>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</si>
  <si>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</si>
  <si>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</si>
  <si>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</si>
  <si>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</si>
  <si>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</si>
  <si>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</si>
  <si>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</si>
  <si>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</si>
  <si>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</si>
  <si>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</si>
  <si>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</si>
  <si>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</si>
  <si>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</si>
  <si>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</si>
  <si>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</si>
  <si>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</si>
  <si>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</si>
  <si>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</si>
  <si>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</si>
  <si>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</si>
  <si>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</si>
  <si>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</si>
  <si>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</si>
  <si>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</si>
  <si>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</si>
  <si>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</si>
  <si>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</si>
  <si>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</si>
  <si>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</si>
  <si>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</si>
  <si>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</si>
  <si>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</si>
  <si>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</si>
  <si>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</si>
  <si>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</si>
  <si>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</si>
  <si>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</si>
  <si>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</si>
  <si>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</si>
  <si>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</si>
  <si>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</si>
  <si>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</si>
  <si>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</si>
  <si>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</si>
  <si>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</si>
  <si>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</si>
  <si>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</si>
  <si>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</si>
  <si>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</si>
  <si>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</si>
  <si>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</si>
  <si>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</si>
  <si>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</si>
  <si>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</si>
  <si>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</si>
  <si>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</si>
  <si>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</si>
  <si>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</si>
  <si>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</si>
  <si>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</si>
  <si>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</si>
  <si>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</si>
  <si>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</si>
  <si>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</si>
  <si>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</si>
  <si>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</si>
  <si>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</si>
  <si>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</si>
  <si>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</si>
  <si>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</si>
  <si>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</si>
  <si>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</si>
  <si>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</si>
  <si>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</si>
  <si>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</si>
  <si>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</si>
  <si>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</si>
  <si>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</si>
  <si>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</si>
  <si>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</si>
  <si>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</si>
  <si>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</si>
  <si>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</si>
  <si>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</si>
  <si>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</si>
  <si>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</si>
  <si>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</si>
  <si>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</si>
  <si>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</si>
  <si>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</si>
  <si>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</si>
  <si>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</si>
  <si>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</si>
  <si>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</si>
  <si>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</si>
  <si>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</si>
  <si>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</si>
  <si>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</si>
  <si>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</si>
  <si>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</si>
  <si>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</si>
  <si>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</si>
  <si>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</si>
  <si>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</si>
  <si>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</si>
  <si>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</si>
  <si>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</si>
  <si>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</si>
  <si>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</si>
  <si>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</si>
  <si>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</si>
  <si>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</si>
  <si>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</si>
  <si>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</si>
  <si>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</si>
  <si>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</si>
  <si>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</si>
  <si>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</si>
  <si>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</si>
  <si>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</si>
  <si>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</si>
  <si>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</si>
  <si>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</si>
  <si>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</si>
  <si>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</si>
  <si>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</si>
  <si>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</si>
  <si>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</si>
  <si>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</si>
  <si>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</si>
  <si>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</si>
  <si>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</si>
  <si>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</si>
  <si>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</si>
  <si>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</si>
  <si>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</si>
  <si>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</si>
  <si>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</si>
  <si>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</si>
  <si>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</si>
  <si>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</si>
  <si>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</si>
  <si>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</si>
  <si>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</si>
  <si>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</si>
  <si>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</si>
  <si>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</si>
  <si>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</si>
  <si>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</si>
  <si>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</si>
  <si>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</si>
  <si>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</si>
  <si>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</si>
  <si>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</si>
  <si>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</si>
  <si>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</si>
  <si>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</si>
  <si>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</si>
  <si>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</si>
  <si>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</si>
  <si>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</si>
  <si>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</si>
  <si>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</si>
  <si>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</si>
  <si>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</si>
  <si>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</si>
  <si>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</si>
  <si>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</si>
  <si>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</si>
  <si>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</si>
  <si>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</si>
  <si>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</si>
  <si>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</si>
  <si>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</si>
  <si>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</si>
  <si>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</si>
  <si>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</si>
  <si>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</si>
  <si>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</si>
  <si>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</si>
  <si>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</si>
  <si>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</si>
  <si>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</si>
  <si>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</si>
  <si>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</si>
  <si>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</si>
  <si>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</si>
  <si>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</si>
  <si>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</si>
  <si>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</si>
  <si>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</si>
  <si>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</si>
  <si>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</si>
  <si>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</si>
  <si>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</si>
  <si>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</si>
  <si>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</si>
  <si>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</si>
  <si>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</si>
  <si>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</si>
  <si>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</si>
  <si>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</si>
  <si>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</si>
  <si>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</si>
  <si>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</si>
  <si>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</si>
  <si>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</si>
  <si>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</si>
  <si>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</si>
  <si>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</si>
  <si>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</si>
  <si>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</si>
  <si>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</si>
  <si>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</si>
  <si>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</si>
  <si>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</si>
  <si>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</si>
  <si>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</si>
  <si>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</si>
  <si>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</si>
  <si>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</si>
  <si>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</si>
  <si>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</si>
  <si>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</si>
  <si>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</si>
  <si>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</si>
  <si>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</si>
  <si>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</si>
  <si>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</si>
  <si>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</si>
  <si>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</si>
  <si>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</si>
  <si>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</si>
  <si>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</si>
  <si>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</si>
  <si>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</si>
  <si>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</si>
  <si>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</si>
  <si>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</si>
  <si>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</si>
  <si>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</si>
  <si>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</si>
  <si>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</si>
  <si>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</si>
  <si>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</si>
  <si>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</si>
  <si>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</si>
  <si>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</si>
  <si>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</si>
  <si>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</si>
  <si>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</si>
  <si>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</si>
  <si>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</si>
  <si>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</si>
  <si>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</si>
  <si>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</si>
  <si>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</si>
  <si>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</si>
  <si>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</si>
  <si>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</si>
  <si>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</si>
  <si>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</si>
  <si>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</si>
  <si>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</si>
  <si>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</si>
  <si>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</si>
  <si>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</si>
  <si>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</si>
  <si>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</si>
  <si>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</si>
  <si>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</si>
  <si>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</si>
  <si>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</si>
  <si>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</si>
  <si>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</si>
  <si>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</si>
  <si>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</si>
  <si>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</si>
  <si>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</si>
  <si>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</si>
  <si>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</si>
  <si>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</si>
  <si>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</si>
  <si>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</si>
  <si>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</si>
  <si>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</si>
  <si>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</si>
  <si>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</si>
  <si>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</si>
  <si>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</si>
  <si>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</si>
  <si>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</si>
  <si>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</si>
  <si>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</si>
  <si>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</si>
  <si>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</si>
  <si>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</si>
  <si>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</si>
  <si>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</si>
  <si>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</si>
  <si>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</si>
  <si>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</si>
  <si>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</si>
  <si>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</si>
  <si>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</si>
  <si>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</si>
  <si>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</si>
  <si>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</si>
  <si>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</si>
  <si>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</si>
  <si>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</si>
  <si>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</si>
  <si>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</si>
  <si>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</si>
  <si>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</si>
  <si>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</si>
  <si>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</si>
  <si>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</si>
  <si>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</si>
  <si>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</si>
  <si>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</si>
  <si>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</si>
  <si>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</si>
  <si>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</si>
  <si>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</si>
  <si>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</si>
  <si>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</si>
  <si>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</si>
  <si>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</si>
  <si>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</si>
  <si>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</si>
  <si>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</si>
  <si>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</si>
  <si>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</si>
  <si>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</si>
  <si>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</si>
  <si>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</si>
  <si>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</si>
  <si>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</si>
  <si>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</si>
  <si>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</si>
  <si>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</si>
  <si>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</si>
  <si>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</si>
  <si>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</si>
  <si>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</si>
  <si>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</si>
  <si>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</si>
  <si>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</si>
  <si>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</si>
  <si>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</si>
  <si>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</si>
  <si>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</si>
  <si>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</si>
  <si>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</si>
  <si>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</si>
  <si>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</si>
  <si>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</si>
  <si>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</si>
  <si>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</si>
  <si>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</si>
  <si>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</si>
  <si>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</si>
  <si>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</si>
  <si>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</si>
  <si>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</si>
  <si>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</si>
  <si>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</si>
  <si>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</si>
  <si>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</si>
  <si>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</si>
  <si>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</si>
  <si>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9/</t>
  </si>
  <si>
    <t>End-Use Sector 7/</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</si>
  <si>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</si>
  <si>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</si>
  <si>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</si>
  <si>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</si>
  <si>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</si>
  <si>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</si>
  <si>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</si>
  <si>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</si>
  <si>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</si>
  <si>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</si>
  <si>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</si>
  <si>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</si>
  <si>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</si>
  <si>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</si>
  <si>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</si>
  <si>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</si>
  <si>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</si>
  <si>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</si>
  <si>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</si>
  <si>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</si>
  <si>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</si>
  <si>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</si>
  <si>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</si>
  <si>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</si>
  <si>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</si>
  <si>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</si>
  <si>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</si>
  <si>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</si>
  <si>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</si>
  <si>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</si>
  <si>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</si>
  <si>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</si>
  <si>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</si>
  <si>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</si>
  <si>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</si>
  <si>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</si>
  <si>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</si>
  <si>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xml:space="preserve">    Wood and Other Biomass 4/</t>
  </si>
  <si>
    <t xml:space="preserve">    Solar 5/</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</si>
  <si>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</si>
  <si>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</si>
  <si>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</si>
  <si>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</si>
  <si>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</si>
  <si>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</si>
  <si>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</si>
  <si>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</si>
  <si>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</si>
  <si>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</si>
  <si>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</si>
  <si>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</si>
  <si>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</si>
  <si>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</si>
  <si>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</si>
  <si>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</si>
  <si>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</si>
  <si>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</si>
  <si>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</si>
  <si>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</si>
  <si>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</si>
  <si>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</si>
  <si>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</si>
  <si>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</si>
  <si>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</si>
  <si>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</si>
  <si>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</si>
  <si>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</si>
  <si>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</si>
  <si>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</si>
  <si>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</si>
  <si>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</si>
  <si>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</si>
  <si>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</si>
  <si>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</si>
  <si>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</si>
  <si>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</si>
  <si>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</si>
  <si>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</si>
  <si>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</si>
  <si>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</si>
  <si>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</si>
  <si>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</si>
  <si>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</si>
  <si>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</si>
  <si>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</si>
  <si>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</si>
  <si>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</si>
  <si>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</si>
  <si>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</si>
  <si>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</si>
  <si>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</si>
  <si>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</si>
  <si>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</si>
  <si>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</si>
  <si>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PSC Staff Summary of the Information Gained from Public Service Commission Workshops on a Renewable Portfolio Standard</t>
  </si>
  <si>
    <t>Study evaluates the objective of RPS for Florida as 15% in 2020</t>
  </si>
  <si>
    <t>None</t>
  </si>
  <si>
    <t>http://www.psc.state.fl.us/utilities/electricgas/RenewableEnergy/2008_03RPSSummaryFinal.pdf</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</si>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</sst>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48"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sz val="8"/>
      <color theme="1"/>
      <name val="TimesNewRoman,Bold"/>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12">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cellStyleXfs>
  <cellXfs count="557">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67" fontId="21" fillId="2" borderId="1" xfId="10" applyNumberFormat="1" applyFont="1" applyFill="1" applyBorder="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2" fillId="7" borderId="0" xfId="0" applyFont="1" applyFill="1"/>
    <xf numFmtId="0" fontId="22" fillId="7" borderId="0" xfId="0" applyFont="1" applyFill="1" applyAlignment="1">
      <alignment horizontal="center"/>
    </xf>
    <xf numFmtId="165" fontId="22" fillId="7" borderId="0" xfId="0" applyNumberFormat="1" applyFont="1" applyFill="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65" fontId="22" fillId="7" borderId="5" xfId="0" applyNumberFormat="1" applyFont="1" applyFill="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3" fontId="43" fillId="2" borderId="52" xfId="0" applyNumberFormat="1" applyFont="1" applyFill="1" applyBorder="1" applyAlignment="1">
      <alignment horizontal="right" vertical="center"/>
    </xf>
    <xf numFmtId="3" fontId="43" fillId="2" borderId="54" xfId="0" applyNumberFormat="1" applyFont="1" applyFill="1" applyBorder="1" applyAlignment="1">
      <alignment horizontal="right" vertical="center"/>
    </xf>
    <xf numFmtId="3" fontId="43" fillId="2" borderId="55" xfId="0" applyNumberFormat="1" applyFont="1" applyFill="1" applyBorder="1" applyAlignment="1">
      <alignment horizontal="right" vertical="center"/>
    </xf>
    <xf numFmtId="3" fontId="44" fillId="2" borderId="0" xfId="0" applyNumberFormat="1" applyFont="1" applyFill="1" applyAlignment="1">
      <alignment horizontal="right" vertical="center"/>
    </xf>
    <xf numFmtId="168" fontId="2" fillId="2" borderId="0" xfId="4" applyNumberFormat="1" applyFont="1" applyFill="1" applyProtection="1"/>
    <xf numFmtId="10" fontId="28" fillId="2" borderId="53" xfId="0" applyNumberFormat="1"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66" fontId="2" fillId="2" borderId="0" xfId="4" applyNumberFormat="1" applyFont="1" applyFill="1" applyProtection="1"/>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0" fontId="8" fillId="2" borderId="0" xfId="4" applyFont="1" applyFill="1" applyAlignment="1" applyProtection="1">
      <alignment horizontal="left"/>
    </xf>
    <xf numFmtId="0" fontId="9" fillId="2" borderId="0" xfId="4" applyFont="1" applyFill="1" applyAlignment="1" applyProtection="1">
      <alignment horizontal="center"/>
    </xf>
    <xf numFmtId="0" fontId="0" fillId="2" borderId="0" xfId="0" applyFill="1"/>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2" borderId="0" xfId="0" applyFont="1" applyFill="1" applyAlignment="1">
      <alignment wrapText="1"/>
    </xf>
    <xf numFmtId="0" fontId="33" fillId="2" borderId="0" xfId="0" applyFont="1" applyFill="1" applyAlignment="1">
      <alignment wrapText="1"/>
    </xf>
    <xf numFmtId="165" fontId="24" fillId="9" borderId="0" xfId="1" applyNumberFormat="1" applyFont="1" applyFill="1" applyAlignment="1">
      <alignment horizontal="center"/>
    </xf>
    <xf numFmtId="0" fontId="47" fillId="0" borderId="0" xfId="0" applyFont="1"/>
    <xf numFmtId="0" fontId="23" fillId="0" borderId="16" xfId="0" applyFont="1" applyFill="1" applyBorder="1" applyAlignment="1">
      <alignment horizontal="left" vertical="top"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12">
    <cellStyle name="Comma" xfId="1" builtinId="3"/>
    <cellStyle name="Comma 2" xfId="2"/>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89090264"/>
        <c:axId val="2112095192"/>
      </c:lineChart>
      <c:catAx>
        <c:axId val="20890902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2095192"/>
        <c:crosses val="autoZero"/>
        <c:auto val="1"/>
        <c:lblAlgn val="ctr"/>
        <c:lblOffset val="100"/>
        <c:noMultiLvlLbl val="0"/>
      </c:catAx>
      <c:valAx>
        <c:axId val="2112095192"/>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909026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76130984"/>
        <c:axId val="2112538840"/>
      </c:lineChart>
      <c:catAx>
        <c:axId val="20761309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2538840"/>
        <c:crosses val="autoZero"/>
        <c:auto val="1"/>
        <c:lblAlgn val="ctr"/>
        <c:lblOffset val="100"/>
        <c:noMultiLvlLbl val="0"/>
      </c:catAx>
      <c:valAx>
        <c:axId val="211253884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613098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6"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21"/>
      <c r="B1" s="521"/>
      <c r="C1" s="521"/>
      <c r="D1" s="521"/>
      <c r="E1" s="521"/>
      <c r="F1" s="521"/>
      <c r="G1" s="521"/>
      <c r="H1" s="521"/>
      <c r="I1" s="521"/>
      <c r="J1" s="521"/>
      <c r="K1" s="521"/>
      <c r="L1" s="521"/>
      <c r="M1" s="521"/>
      <c r="N1" s="521"/>
      <c r="O1" s="521"/>
      <c r="P1" s="521"/>
      <c r="Q1" s="521"/>
      <c r="R1" s="521"/>
      <c r="S1" s="521"/>
      <c r="T1" s="521"/>
    </row>
    <row r="2" spans="1:20" ht="113.25" customHeight="1">
      <c r="A2" s="521"/>
      <c r="B2" s="521"/>
      <c r="C2" s="521"/>
      <c r="D2" s="521"/>
      <c r="E2" s="521"/>
      <c r="F2" s="521"/>
      <c r="G2" s="521"/>
      <c r="H2" s="521"/>
      <c r="I2" s="521"/>
      <c r="J2" s="521"/>
      <c r="K2" s="521"/>
      <c r="L2" s="521"/>
      <c r="M2" s="521"/>
      <c r="N2" s="521"/>
      <c r="O2" s="521"/>
      <c r="P2" s="119"/>
      <c r="Q2" s="119"/>
      <c r="R2" s="119"/>
      <c r="S2" s="119"/>
      <c r="T2" s="119"/>
    </row>
    <row r="3" spans="1:20" ht="15" thickBot="1">
      <c r="C3" s="110"/>
      <c r="D3"/>
      <c r="E3" s="110"/>
      <c r="F3" s="110"/>
      <c r="G3" s="110"/>
      <c r="H3" s="110"/>
      <c r="I3" s="248"/>
      <c r="J3" s="248"/>
      <c r="K3" s="248"/>
      <c r="L3" s="172"/>
      <c r="M3" s="7" t="s">
        <v>0</v>
      </c>
    </row>
    <row r="4" spans="1:20" ht="15" thickBot="1">
      <c r="C4" s="117" t="s">
        <v>147</v>
      </c>
      <c r="D4" s="124"/>
      <c r="E4" s="119"/>
      <c r="F4" s="110"/>
      <c r="G4" s="110"/>
      <c r="H4" s="163" t="s">
        <v>0</v>
      </c>
      <c r="I4" s="248"/>
      <c r="J4" s="248"/>
      <c r="K4" s="248"/>
      <c r="L4" s="172"/>
      <c r="M4" t="s">
        <v>0</v>
      </c>
      <c r="Q4" t="s">
        <v>0</v>
      </c>
      <c r="R4" t="s">
        <v>0</v>
      </c>
    </row>
    <row r="5" spans="1:20">
      <c r="B5" s="1" t="s">
        <v>1</v>
      </c>
      <c r="C5" s="110" t="s">
        <v>718</v>
      </c>
      <c r="D5" s="1"/>
      <c r="E5" s="110"/>
      <c r="F5" s="110"/>
      <c r="G5" s="110"/>
      <c r="H5"/>
      <c r="I5"/>
      <c r="J5"/>
      <c r="K5"/>
      <c r="L5"/>
      <c r="M5" t="s">
        <v>0</v>
      </c>
      <c r="N5" t="s">
        <v>0</v>
      </c>
      <c r="O5" t="s">
        <v>0</v>
      </c>
      <c r="P5" t="s">
        <v>0</v>
      </c>
    </row>
    <row r="6" spans="1:20" ht="15" thickBot="1">
      <c r="B6" s="1" t="s">
        <v>3</v>
      </c>
      <c r="C6" s="110"/>
      <c r="D6" s="104" t="s">
        <v>348</v>
      </c>
      <c r="E6" s="110"/>
      <c r="F6" s="110"/>
      <c r="G6" s="110"/>
      <c r="H6" s="29" t="s">
        <v>0</v>
      </c>
      <c r="I6" s="29"/>
      <c r="J6" s="29"/>
      <c r="K6" s="29"/>
      <c r="L6" s="29"/>
      <c r="M6" s="7" t="s">
        <v>0</v>
      </c>
      <c r="N6" t="s">
        <v>0</v>
      </c>
      <c r="O6" t="s">
        <v>0</v>
      </c>
      <c r="P6" t="s">
        <v>0</v>
      </c>
    </row>
    <row r="7" spans="1:20" ht="15" thickBot="1">
      <c r="B7" s="4" t="s">
        <v>389</v>
      </c>
      <c r="C7" s="211" t="s">
        <v>561</v>
      </c>
      <c r="D7" s="114">
        <f>'Output - Jobs vs Yr (BAU)'!X4/'Output - Jobs vs Yr (BAU)'!C4-1</f>
        <v>-6.2935546392678399E-3</v>
      </c>
      <c r="E7" s="92" t="s">
        <v>525</v>
      </c>
      <c r="F7" s="109"/>
      <c r="G7" s="109"/>
      <c r="H7" s="29" t="s">
        <v>0</v>
      </c>
      <c r="I7" s="29"/>
      <c r="J7" s="29"/>
      <c r="K7" s="29"/>
      <c r="L7" s="29"/>
      <c r="M7" s="7" t="s">
        <v>0</v>
      </c>
      <c r="N7" t="s">
        <v>0</v>
      </c>
      <c r="O7" t="s">
        <v>0</v>
      </c>
      <c r="P7" t="s">
        <v>0</v>
      </c>
    </row>
    <row r="8" spans="1:20" ht="15" thickBot="1">
      <c r="B8" s="1" t="s">
        <v>374</v>
      </c>
      <c r="C8" s="109"/>
      <c r="D8" s="104" t="s">
        <v>348</v>
      </c>
      <c r="E8" s="508" t="s">
        <v>728</v>
      </c>
      <c r="F8" s="109"/>
      <c r="G8" s="508" t="s">
        <v>729</v>
      </c>
      <c r="H8"/>
      <c r="I8"/>
      <c r="J8"/>
      <c r="K8"/>
      <c r="L8"/>
      <c r="M8" t="s">
        <v>0</v>
      </c>
      <c r="N8" t="s">
        <v>0</v>
      </c>
      <c r="O8" s="111" t="s">
        <v>0</v>
      </c>
      <c r="P8" s="31" t="s">
        <v>0</v>
      </c>
    </row>
    <row r="9" spans="1:20" ht="15.75" hidden="1" customHeight="1" thickBot="1">
      <c r="B9" s="43" t="s">
        <v>374</v>
      </c>
      <c r="C9" s="110"/>
      <c r="D9" s="114" t="e">
        <f>'Output - Jobs vs Yr (BAU)'!X6/'Output - Jobs vs Yr (BAU)'!C6-1</f>
        <v>#DIV/0!</v>
      </c>
      <c r="E9" s="109"/>
      <c r="F9" s="109"/>
      <c r="G9" s="109"/>
      <c r="H9"/>
      <c r="I9"/>
      <c r="J9"/>
      <c r="K9"/>
      <c r="L9"/>
      <c r="M9"/>
      <c r="O9" s="102"/>
    </row>
    <row r="10" spans="1:20" ht="15.75" hidden="1" customHeight="1" thickBot="1">
      <c r="B10" s="93" t="s">
        <v>358</v>
      </c>
      <c r="C10" s="110"/>
      <c r="D10" s="43"/>
      <c r="E10" s="109"/>
      <c r="F10" s="109"/>
      <c r="G10" s="109"/>
      <c r="H10"/>
      <c r="I10"/>
      <c r="J10"/>
      <c r="K10"/>
      <c r="L10"/>
      <c r="M10"/>
      <c r="O10" s="102"/>
    </row>
    <row r="11" spans="1:20" ht="15" thickBot="1">
      <c r="B11" t="s">
        <v>386</v>
      </c>
      <c r="C11" s="126">
        <v>0.1</v>
      </c>
      <c r="D11" s="125">
        <f>'Output - Jobs vs Yr (BAU)'!N18/'Output -Jobs vs Yr'!N14</f>
        <v>5.6218296661249945E-2</v>
      </c>
      <c r="E11" s="507"/>
      <c r="F11" s="109"/>
      <c r="G11" s="504"/>
      <c r="H11"/>
      <c r="I11"/>
      <c r="J11"/>
      <c r="K11"/>
      <c r="L11"/>
      <c r="M11" t="s">
        <v>0</v>
      </c>
      <c r="N11" t="s">
        <v>0</v>
      </c>
      <c r="O11" s="111" t="s">
        <v>0</v>
      </c>
      <c r="P11" s="31" t="s">
        <v>0</v>
      </c>
    </row>
    <row r="12" spans="1:20" ht="15" thickBot="1">
      <c r="B12" t="s">
        <v>387</v>
      </c>
      <c r="C12" s="210">
        <v>0.15</v>
      </c>
      <c r="D12" s="125">
        <f>'Output - Jobs vs Yr (BAU)'!X18/'Output -Jobs vs Yr'!X14</f>
        <v>6.1692868165525681E-2</v>
      </c>
      <c r="E12" s="507">
        <f>(D12/D11)^(1/10)</f>
        <v>1.0093359171277589</v>
      </c>
      <c r="F12" s="109"/>
      <c r="G12" s="505">
        <f>(C12/C11)^(1/10)</f>
        <v>1.0413797439924106</v>
      </c>
      <c r="H12"/>
      <c r="I12"/>
      <c r="J12"/>
      <c r="K12"/>
      <c r="L12"/>
      <c r="M12" t="s">
        <v>0</v>
      </c>
      <c r="N12" t="s">
        <v>0</v>
      </c>
      <c r="O12" s="111" t="s">
        <v>0</v>
      </c>
      <c r="P12" s="31" t="s">
        <v>0</v>
      </c>
    </row>
    <row r="13" spans="1:20" ht="15" thickBot="1">
      <c r="B13" t="s">
        <v>584</v>
      </c>
      <c r="C13" s="211">
        <v>0.2</v>
      </c>
      <c r="D13" s="173">
        <f>'Output - Jobs vs Yr (BAU)'!AH18/'Output -Jobs vs Yr'!AH14</f>
        <v>6.444483445875096E-2</v>
      </c>
      <c r="E13" s="507">
        <f>(D13/D12)^(1/10)</f>
        <v>1.00437366093747</v>
      </c>
      <c r="F13" s="109"/>
      <c r="G13" s="506">
        <f>(C13/C12)^(1/10)</f>
        <v>1.0291860089647606</v>
      </c>
      <c r="H13"/>
      <c r="I13"/>
      <c r="J13"/>
      <c r="K13"/>
      <c r="L13"/>
      <c r="M13"/>
      <c r="O13" s="111"/>
      <c r="P13" s="31"/>
    </row>
    <row r="14" spans="1:20">
      <c r="B14" t="s">
        <v>585</v>
      </c>
      <c r="C14" s="247"/>
      <c r="D14" s="173"/>
      <c r="E14" s="109"/>
      <c r="F14" s="109"/>
      <c r="G14" s="109"/>
      <c r="H14"/>
      <c r="I14"/>
      <c r="J14"/>
      <c r="K14"/>
      <c r="L14"/>
      <c r="M14"/>
      <c r="O14" s="111"/>
      <c r="P14" s="31"/>
    </row>
    <row r="15" spans="1:20" ht="15" thickBot="1">
      <c r="C15" s="4" t="s">
        <v>0</v>
      </c>
      <c r="D15" s="32"/>
      <c r="E15" s="4"/>
      <c r="F15" s="95" t="s">
        <v>0</v>
      </c>
      <c r="G15" s="95"/>
      <c r="H15" s="4"/>
      <c r="I15" s="4"/>
      <c r="J15" s="4"/>
      <c r="K15" s="4"/>
      <c r="L15" s="4"/>
      <c r="N15" t="s">
        <v>723</v>
      </c>
      <c r="O15" s="31" t="s">
        <v>723</v>
      </c>
      <c r="P15" s="31" t="s">
        <v>724</v>
      </c>
      <c r="Q15" t="s">
        <v>721</v>
      </c>
    </row>
    <row r="16" spans="1:20" ht="15" thickBot="1">
      <c r="B16" s="32" t="s">
        <v>369</v>
      </c>
      <c r="C16" s="106" t="s">
        <v>372</v>
      </c>
      <c r="D16" s="104" t="s">
        <v>541</v>
      </c>
      <c r="E16" s="104" t="s">
        <v>370</v>
      </c>
      <c r="F16" s="104" t="s">
        <v>365</v>
      </c>
      <c r="G16" s="104" t="s">
        <v>551</v>
      </c>
      <c r="H16" s="104" t="s">
        <v>370</v>
      </c>
      <c r="I16" s="104" t="s">
        <v>717</v>
      </c>
      <c r="J16" s="104" t="s">
        <v>716</v>
      </c>
      <c r="K16" s="104" t="s">
        <v>370</v>
      </c>
      <c r="L16" s="104"/>
      <c r="M16" s="44" t="s">
        <v>263</v>
      </c>
      <c r="N16" s="295">
        <v>2020</v>
      </c>
      <c r="O16" s="295">
        <v>2030</v>
      </c>
      <c r="P16" s="295">
        <v>2040</v>
      </c>
      <c r="Q16" s="199">
        <v>2031</v>
      </c>
    </row>
    <row r="17" spans="2:17" ht="15" thickBot="1">
      <c r="B17" t="s">
        <v>359</v>
      </c>
      <c r="C17" s="196">
        <f>D17*$C$11/$D$11</f>
        <v>1.7756777945620996E-2</v>
      </c>
      <c r="D17" s="127">
        <f>'Output - Jobs vs Yr (BAU)'!N10/'Output -Jobs vs Yr'!$N$14</f>
        <v>9.9825581029486157E-3</v>
      </c>
      <c r="E17" s="105">
        <f t="shared" ref="E17:E23" si="0">IF($C$24&lt;&gt;0,C17/$C$24,0)</f>
        <v>0.17756777945620994</v>
      </c>
      <c r="F17" s="173">
        <f>C17*$C$12/$C$11</f>
        <v>2.6635166918431492E-2</v>
      </c>
      <c r="G17" s="105">
        <f>'Output - Jobs vs Yr (BAU)'!X10/'Output - Jobs vs Yr (BAU)'!X24</f>
        <v>1.2336101048026469E-2</v>
      </c>
      <c r="H17" s="105">
        <f t="shared" ref="H17:H23" si="1">G17/$G$24</f>
        <v>0.20279863696117295</v>
      </c>
      <c r="I17" s="173">
        <f>F17*$C$13/$C$12</f>
        <v>3.5513555891241992E-2</v>
      </c>
      <c r="J17" s="105">
        <f>'Output - Jobs vs Yr (BAU)'!AH10/'Output - Jobs vs Yr (BAU)'!AH24</f>
        <v>1.2770592250348028E-2</v>
      </c>
      <c r="K17" s="105">
        <f>J17/$J$24</f>
        <v>0.20199405182119606</v>
      </c>
      <c r="L17" s="105"/>
      <c r="M17" s="45" t="s">
        <v>265</v>
      </c>
      <c r="N17" s="86">
        <f>HLOOKUP(N16,'Output -Jobs vs Yr'!$H$175:$AH$184,9)</f>
        <v>463.97799563493027</v>
      </c>
      <c r="O17" s="86">
        <f>HLOOKUP(O16,'Output -Jobs vs Yr'!$H$175:$AH$184,9)</f>
        <v>890.29953389985894</v>
      </c>
      <c r="P17" s="86">
        <f>HLOOKUP(P16,'Output -Jobs vs Yr'!$H$175:$AH$184,9)</f>
        <v>1311.8096683004151</v>
      </c>
      <c r="Q17" s="86">
        <f>HLOOKUP(Q16,'Output -Jobs vs Yr'!$H$175:$AH$184,9)</f>
        <v>894.75506376466728</v>
      </c>
    </row>
    <row r="18" spans="2:17" ht="15" thickBot="1">
      <c r="B18" s="4" t="s">
        <v>360</v>
      </c>
      <c r="C18" s="196">
        <f>D18*$C$11/$D$11</f>
        <v>1.3262530694303696E-9</v>
      </c>
      <c r="D18" s="127">
        <f>'Output - Jobs vs Yr (BAU)'!N15/'Output -Jobs vs Yr'!$N$14</f>
        <v>7.455968850512983E-10</v>
      </c>
      <c r="E18" s="105">
        <f t="shared" si="0"/>
        <v>1.3262530694303695E-8</v>
      </c>
      <c r="F18" s="173">
        <f t="shared" ref="F18:F23" si="2">C18*$C$12/$C$11</f>
        <v>1.9893796041455545E-9</v>
      </c>
      <c r="G18" s="105">
        <f>'Output - Jobs vs Yr (BAU)'!X15/'Output - Jobs vs Yr (BAU)'!X24</f>
        <v>7.425275976531643E-10</v>
      </c>
      <c r="H18" s="105">
        <f t="shared" si="1"/>
        <v>1.2206740535268748E-8</v>
      </c>
      <c r="I18" s="173">
        <f t="shared" ref="I18:I24" si="3">F18*$C$13/$C$12</f>
        <v>2.6525061388607396E-9</v>
      </c>
      <c r="J18" s="105">
        <f>'Output - Jobs vs Yr (BAU)'!AH15/'Output - Jobs vs Yr (BAU)'!AH24</f>
        <v>6.9128315855459931E-10</v>
      </c>
      <c r="K18" s="105">
        <f t="shared" ref="K18:K24" si="4">J18/$J$24</f>
        <v>1.093411201413877E-8</v>
      </c>
      <c r="L18" s="105"/>
      <c r="M18" s="46" t="s">
        <v>266</v>
      </c>
      <c r="N18" s="87">
        <f>HLOOKUP(N16,'Output -Jobs vs Yr'!$H$175:$AH$184,10)</f>
        <v>417.58019126873296</v>
      </c>
      <c r="O18" s="87">
        <f>HLOOKUP(O16,'Output -Jobs vs Yr'!$H$175:$AH$184,10)</f>
        <v>801.26957337729255</v>
      </c>
      <c r="P18" s="87">
        <f>HLOOKUP(P16,'Output -Jobs vs Yr'!$H$175:$AH$184,10)</f>
        <v>1180.6286913067488</v>
      </c>
      <c r="Q18" s="87">
        <f>HLOOKUP(Q16,'Output -Jobs vs Yr'!$H$175:$AH$184,10)</f>
        <v>805.27955006347111</v>
      </c>
    </row>
    <row r="19" spans="2:17" ht="15" thickBot="1">
      <c r="B19" s="4" t="s">
        <v>361</v>
      </c>
      <c r="C19" s="196">
        <f>D19*$C$11/$D$11</f>
        <v>1.3262530694303696E-6</v>
      </c>
      <c r="D19" s="127">
        <f>'Output - Jobs vs Yr (BAU)'!N11/'Output -Jobs vs Yr'!$N$14</f>
        <v>7.4559688505129836E-7</v>
      </c>
      <c r="E19" s="105">
        <f t="shared" si="0"/>
        <v>1.3262530694303695E-5</v>
      </c>
      <c r="F19" s="173">
        <f t="shared" si="2"/>
        <v>1.9893796041455542E-6</v>
      </c>
      <c r="G19" s="105">
        <f>'Output - Jobs vs Yr (BAU)'!X11/'Output - Jobs vs Yr (BAU)'!X24</f>
        <v>7.425275976531643E-7</v>
      </c>
      <c r="H19" s="105">
        <f t="shared" si="1"/>
        <v>1.2206740535268748E-5</v>
      </c>
      <c r="I19" s="173">
        <f t="shared" si="3"/>
        <v>2.6525061388607393E-6</v>
      </c>
      <c r="J19" s="105">
        <f>'Output - Jobs vs Yr (BAU)'!AH11/'Output - Jobs vs Yr (BAU)'!AH24</f>
        <v>6.9128315855459932E-7</v>
      </c>
      <c r="K19" s="105">
        <f t="shared" si="4"/>
        <v>1.0934112014138769E-5</v>
      </c>
      <c r="L19" s="105"/>
      <c r="M19" s="46" t="s">
        <v>267</v>
      </c>
      <c r="N19" s="87">
        <f>HLOOKUP(N16,'Output -Jobs vs Yr'!$H$175:$AH$184,8)</f>
        <v>881.55818690366141</v>
      </c>
      <c r="O19" s="87">
        <f>HLOOKUP(O16,'Output -Jobs vs Yr'!$H$175:$AH$184,8)</f>
        <v>1691.5691072771515</v>
      </c>
      <c r="P19" s="87">
        <f>HLOOKUP(P16,'Output -Jobs vs Yr'!$H$175:$AH$184,8)</f>
        <v>2492.4383596071566</v>
      </c>
      <c r="Q19" s="87">
        <f>HLOOKUP(Q16,'Output -Jobs vs Yr'!$H$175:$AH$184,8)</f>
        <v>1700.0346138281384</v>
      </c>
    </row>
    <row r="20" spans="2:17" ht="15" thickBot="1">
      <c r="B20" s="4" t="s">
        <v>53</v>
      </c>
      <c r="C20" s="196">
        <f>D20*$C$11/$D$11</f>
        <v>2.3700513701580141E-2</v>
      </c>
      <c r="D20" s="127">
        <f>'Output - Jobs vs Yr (BAU)'!N12/'Output -Jobs vs Yr'!$N$14</f>
        <v>1.3324025102994514E-2</v>
      </c>
      <c r="E20" s="105">
        <f t="shared" si="0"/>
        <v>0.23700513701580139</v>
      </c>
      <c r="F20" s="173">
        <f t="shared" si="2"/>
        <v>3.5550770552370208E-2</v>
      </c>
      <c r="G20" s="105">
        <f>'Output - Jobs vs Yr (BAU)'!X12/'Output - Jobs vs Yr (BAU)'!X24</f>
        <v>1.3254615111599409E-2</v>
      </c>
      <c r="H20" s="105">
        <f t="shared" si="1"/>
        <v>0.21789849707070574</v>
      </c>
      <c r="I20" s="173">
        <f t="shared" si="3"/>
        <v>4.7401027403160281E-2</v>
      </c>
      <c r="J20" s="105">
        <f>'Output - Jobs vs Yr (BAU)'!AH12/'Output - Jobs vs Yr (BAU)'!AH24</f>
        <v>1.29682231925472E-2</v>
      </c>
      <c r="K20" s="105">
        <f t="shared" si="4"/>
        <v>0.20512000510491815</v>
      </c>
      <c r="L20" s="105"/>
      <c r="M20" s="47" t="s">
        <v>465</v>
      </c>
      <c r="N20" s="88">
        <f>HLOOKUP(N16,'Output -Jobs vs Yr'!$H$175:$AH$188,11)-HLOOKUP(N16,'Output -Jobs vs Yr'!$H$175:$AH$188,14)</f>
        <v>1207.3154519699528</v>
      </c>
      <c r="O20" s="88">
        <f>HLOOKUP(O16,'Output -Jobs vs Yr'!$H$175:$AH$188,11)-HLOOKUP(O16,'Output -Jobs vs Yr'!$H$175:$AH$188,14)</f>
        <v>13919.970352094133</v>
      </c>
      <c r="P20" s="88">
        <f>HLOOKUP(P16,'Output -Jobs vs Yr'!$H$175:$AH$188,11)-HLOOKUP(P16,'Output -Jobs vs Yr'!$H$175:$AH$188,14)</f>
        <v>36481.976980595391</v>
      </c>
      <c r="Q20" s="88">
        <f>HLOOKUP(Q16,'Output -Jobs vs Yr'!$H$175:$AH$188,11)-HLOOKUP(Q16,'Output -Jobs vs Yr'!$H$175:$AH$188,14)</f>
        <v>15620.004965922271</v>
      </c>
    </row>
    <row r="21" spans="2:17" ht="15" thickBot="1">
      <c r="B21" t="s">
        <v>362</v>
      </c>
      <c r="C21" s="196">
        <f t="shared" ref="C21:C23" si="5">D21*$C$11/$D$11</f>
        <v>6.8503490916910501E-3</v>
      </c>
      <c r="D21" s="127">
        <f>'Output - Jobs vs Yr (BAU)'!N13/'Output -Jobs vs Yr'!$N$14</f>
        <v>3.8511495746981154E-3</v>
      </c>
      <c r="E21" s="105">
        <f t="shared" si="0"/>
        <v>6.8503490916910492E-2</v>
      </c>
      <c r="F21" s="173">
        <f t="shared" si="2"/>
        <v>1.0275523637536576E-2</v>
      </c>
      <c r="G21" s="105">
        <f>'Output - Jobs vs Yr (BAU)'!X13/'Output - Jobs vs Yr (BAU)'!X24</f>
        <v>5.5734715501924628E-3</v>
      </c>
      <c r="H21" s="105">
        <f t="shared" si="1"/>
        <v>9.1624770996970029E-2</v>
      </c>
      <c r="I21" s="173">
        <f t="shared" si="3"/>
        <v>1.3700698183382102E-2</v>
      </c>
      <c r="J21" s="105">
        <f>'Output - Jobs vs Yr (BAU)'!AH13/'Output - Jobs vs Yr (BAU)'!AH24</f>
        <v>8.6183653943318981E-3</v>
      </c>
      <c r="K21" s="105">
        <f t="shared" si="4"/>
        <v>0.13631776130267081</v>
      </c>
      <c r="L21" s="105"/>
      <c r="N21" s="161"/>
    </row>
    <row r="22" spans="2:17" ht="15" thickBot="1">
      <c r="B22" s="4" t="s">
        <v>363</v>
      </c>
      <c r="C22" s="196">
        <f t="shared" si="5"/>
        <v>1.3262530694303695E-5</v>
      </c>
      <c r="D22" s="127">
        <f>'Output - Jobs vs Yr (BAU)'!N14/'Output -Jobs vs Yr'!$N$14</f>
        <v>7.4559688505129832E-6</v>
      </c>
      <c r="E22" s="105">
        <f t="shared" si="0"/>
        <v>1.3262530694303694E-4</v>
      </c>
      <c r="F22" s="173">
        <f t="shared" si="2"/>
        <v>1.9893796041455542E-5</v>
      </c>
      <c r="G22" s="105">
        <f>'Output - Jobs vs Yr (BAU)'!X14/'Output - Jobs vs Yr (BAU)'!X24</f>
        <v>7.4252759765316419E-6</v>
      </c>
      <c r="H22" s="105">
        <f t="shared" si="1"/>
        <v>1.2206740535268746E-4</v>
      </c>
      <c r="I22" s="173">
        <f t="shared" si="3"/>
        <v>2.6525061388607391E-5</v>
      </c>
      <c r="J22" s="105">
        <f>'Output - Jobs vs Yr (BAU)'!AH14/'Output - Jobs vs Yr (BAU)'!AH24</f>
        <v>6.9128315855459922E-6</v>
      </c>
      <c r="K22" s="105">
        <f t="shared" si="4"/>
        <v>1.0934112014138768E-4</v>
      </c>
      <c r="L22" s="105"/>
      <c r="O22" t="s">
        <v>0</v>
      </c>
    </row>
    <row r="23" spans="2:17" ht="15" thickBot="1">
      <c r="B23" t="s">
        <v>364</v>
      </c>
      <c r="C23" s="196">
        <f t="shared" si="5"/>
        <v>5.167776915109102E-2</v>
      </c>
      <c r="D23" s="127">
        <f>'Output - Jobs vs Yr (BAU)'!N16/'Output -Jobs vs Yr'!$N$14</f>
        <v>2.9052361569276253E-2</v>
      </c>
      <c r="E23" s="105">
        <f t="shared" si="0"/>
        <v>0.51677769151091013</v>
      </c>
      <c r="F23" s="173">
        <f t="shared" si="2"/>
        <v>7.751665372663652E-2</v>
      </c>
      <c r="G23" s="105">
        <f>'Output - Jobs vs Yr (BAU)'!X16/'Output - Jobs vs Yr (BAU)'!X24</f>
        <v>2.9656953215170111E-2</v>
      </c>
      <c r="H23" s="105">
        <f t="shared" si="1"/>
        <v>0.48754380861852276</v>
      </c>
      <c r="I23" s="173">
        <f t="shared" si="3"/>
        <v>0.10335553830218203</v>
      </c>
      <c r="J23" s="105">
        <f>'Output - Jobs vs Yr (BAU)'!AH16/'Output - Jobs vs Yr (BAU)'!AH24</f>
        <v>2.8857829751640897E-2</v>
      </c>
      <c r="K23" s="105">
        <f t="shared" si="4"/>
        <v>0.45644789560494725</v>
      </c>
      <c r="L23" s="105"/>
      <c r="M23" s="44"/>
      <c r="N23" s="198"/>
      <c r="O23" t="s">
        <v>0</v>
      </c>
    </row>
    <row r="24" spans="2:17">
      <c r="B24" s="108" t="s">
        <v>376</v>
      </c>
      <c r="C24" s="138">
        <f t="shared" ref="C24:H24" si="6">SUM(C17:C23)</f>
        <v>0.1</v>
      </c>
      <c r="D24" s="206">
        <f t="shared" si="6"/>
        <v>5.6218296661249945E-2</v>
      </c>
      <c r="E24" s="201">
        <f t="shared" si="6"/>
        <v>1</v>
      </c>
      <c r="F24" s="201">
        <f t="shared" si="6"/>
        <v>0.15000000000000002</v>
      </c>
      <c r="G24" s="201">
        <f t="shared" si="6"/>
        <v>6.0829309471090234E-2</v>
      </c>
      <c r="H24" s="105">
        <f t="shared" si="6"/>
        <v>1</v>
      </c>
      <c r="I24" s="173">
        <f t="shared" si="3"/>
        <v>0.20000000000000004</v>
      </c>
      <c r="J24" s="105">
        <f>SUM(J17:J23)</f>
        <v>6.3222615394895293E-2</v>
      </c>
      <c r="K24" s="105">
        <f t="shared" si="4"/>
        <v>1</v>
      </c>
      <c r="L24" s="105"/>
      <c r="M24" s="44"/>
      <c r="N24" s="44"/>
      <c r="O24" t="s">
        <v>0</v>
      </c>
    </row>
    <row r="25" spans="2:17">
      <c r="B25" s="108"/>
      <c r="C25" s="138" t="str">
        <f>IF(ROUND(C24,3)=ROUND(C11,3),"Great, "&amp;ROUND(C24,3)*100&amp;"% agrees with 2020 RPS % entered above","Please re-adust RPS portfolio to total "&amp;ROUND(C11,3)*100&amp;"% or change 2020 RPS % entered above")</f>
        <v>Great, 10%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379</v>
      </c>
      <c r="C27" s="107"/>
      <c r="D27" s="201" t="s">
        <v>348</v>
      </c>
      <c r="E27" s="107"/>
      <c r="F27" s="98"/>
      <c r="G27" s="135" t="s">
        <v>0</v>
      </c>
      <c r="H27" s="136" t="s">
        <v>0</v>
      </c>
      <c r="I27" s="136"/>
      <c r="J27" s="136"/>
      <c r="K27" s="136"/>
      <c r="L27" s="136"/>
      <c r="M27"/>
    </row>
    <row r="28" spans="2:17" ht="15" thickBot="1">
      <c r="B28" t="s">
        <v>377</v>
      </c>
      <c r="C28" s="209">
        <f>D28</f>
        <v>0.50190529753446311</v>
      </c>
      <c r="D28" s="105">
        <f>('Output - Jobs vs Yr (BAU)'!N8+'Output - Jobs vs Yr (BAU)'!N7)/'Output -Jobs vs Yr'!N14</f>
        <v>0.50190529753446311</v>
      </c>
      <c r="E28" s="137" t="s">
        <v>0</v>
      </c>
      <c r="F28" s="98"/>
      <c r="G28" s="98" t="s">
        <v>0</v>
      </c>
      <c r="H28" s="136" t="s">
        <v>0</v>
      </c>
      <c r="I28" s="136"/>
      <c r="J28" s="136"/>
      <c r="K28" s="136"/>
      <c r="L28" s="136"/>
      <c r="M28"/>
    </row>
    <row r="29" spans="2:17" ht="15" thickBot="1">
      <c r="B29" t="s">
        <v>378</v>
      </c>
      <c r="C29" s="279">
        <f>D29</f>
        <v>0.50834272171698247</v>
      </c>
      <c r="D29" s="105">
        <f>('Output - Jobs vs Yr (BAU)'!X8+'Output - Jobs vs Yr (BAU)'!X7)/'Output -Jobs vs Yr'!X14</f>
        <v>0.50834272171698247</v>
      </c>
      <c r="E29" s="107"/>
      <c r="F29" s="98"/>
      <c r="G29" s="96"/>
      <c r="H29"/>
      <c r="I29"/>
      <c r="J29"/>
      <c r="K29"/>
      <c r="L29"/>
    </row>
    <row r="30" spans="2:17" ht="15" thickBot="1">
      <c r="B30" t="s">
        <v>586</v>
      </c>
      <c r="C30" s="211">
        <f>D30</f>
        <v>0.47565664260686935</v>
      </c>
      <c r="D30" s="105">
        <f>('Output - Jobs vs Yr (BAU)'!AH8+'Output - Jobs vs Yr (BAU)'!AH7)/'Output -Jobs vs Yr'!AH14</f>
        <v>0.47565664260686935</v>
      </c>
      <c r="E30" s="107"/>
      <c r="F30" s="98"/>
      <c r="G30" s="96"/>
      <c r="H30"/>
      <c r="I30"/>
      <c r="J30"/>
      <c r="K30"/>
      <c r="L30"/>
    </row>
    <row r="31" spans="2:17">
      <c r="B31" t="s">
        <v>587</v>
      </c>
      <c r="C31" s="247"/>
      <c r="D31" s="105"/>
      <c r="E31" s="107"/>
      <c r="F31" s="98"/>
      <c r="G31" s="96"/>
      <c r="H31"/>
      <c r="I31"/>
      <c r="J31"/>
      <c r="K31"/>
      <c r="L31"/>
    </row>
    <row r="32" spans="2:17">
      <c r="B32" s="108"/>
      <c r="C32" s="107" t="s">
        <v>0</v>
      </c>
      <c r="D32" s="107"/>
      <c r="E32" s="107"/>
      <c r="F32" s="98"/>
      <c r="G32" s="96"/>
      <c r="H32"/>
      <c r="I32"/>
      <c r="J32"/>
      <c r="K32"/>
      <c r="L32"/>
    </row>
    <row r="33" spans="1:18" ht="15" thickBot="1">
      <c r="B33" s="108" t="s">
        <v>380</v>
      </c>
      <c r="C33" s="107"/>
      <c r="D33" s="201" t="s">
        <v>348</v>
      </c>
      <c r="E33" s="201" t="s">
        <v>543</v>
      </c>
      <c r="F33" s="202" t="s">
        <v>365</v>
      </c>
      <c r="G33" s="203" t="s">
        <v>348</v>
      </c>
      <c r="H33" s="202" t="s">
        <v>717</v>
      </c>
      <c r="I33" s="203" t="s">
        <v>348</v>
      </c>
      <c r="J33" s="164"/>
      <c r="K33" s="164"/>
      <c r="L33" s="164"/>
      <c r="M33" s="7" t="s">
        <v>0</v>
      </c>
    </row>
    <row r="34" spans="1:18" ht="15" thickBot="1">
      <c r="B34" s="4" t="s">
        <v>373</v>
      </c>
      <c r="C34" s="210">
        <f>D34</f>
        <v>0</v>
      </c>
      <c r="D34" s="105">
        <v>0</v>
      </c>
      <c r="E34" s="204">
        <f>'Output -Jobs vs Yr'!N30/'Output -Jobs vs Yr'!N49</f>
        <v>0</v>
      </c>
      <c r="F34" s="201">
        <f>C34*$C$29/$C$28</f>
        <v>0</v>
      </c>
      <c r="G34" s="205">
        <v>0</v>
      </c>
      <c r="H34" s="201">
        <f>F34*$C$30/$C$29</f>
        <v>0</v>
      </c>
      <c r="I34" s="205">
        <v>0</v>
      </c>
      <c r="J34" s="139"/>
      <c r="K34" s="139"/>
      <c r="L34" s="139"/>
    </row>
    <row r="35" spans="1:18" ht="15" thickBot="1">
      <c r="B35" s="4" t="s">
        <v>51</v>
      </c>
      <c r="C35" s="210">
        <f>D35</f>
        <v>0.21576638054734146</v>
      </c>
      <c r="D35" s="105">
        <f>'Output - Jobs vs Yr (BAU)'!N7/'Output -Jobs vs Yr'!N14</f>
        <v>0.21576638054734146</v>
      </c>
      <c r="E35" s="204">
        <f>C35</f>
        <v>0.21576638054734146</v>
      </c>
      <c r="F35" s="201">
        <f>C35*$C$29/$C$28</f>
        <v>0.21853379448525623</v>
      </c>
      <c r="G35" s="205">
        <f>'Output - Jobs vs Yr (BAU)'!X7/'Output - Jobs vs Yr (BAU)'!X24</f>
        <v>0.21626607760665292</v>
      </c>
      <c r="H35" s="201">
        <f>F35*$C$30/$C$29</f>
        <v>0.20448222535753863</v>
      </c>
      <c r="I35" s="205">
        <f>'Output - Jobs vs Yr (BAU)'!AH7/'Output - Jobs vs Yr (BAU)'!AH24</f>
        <v>0.20134079553225348</v>
      </c>
      <c r="J35"/>
      <c r="K35"/>
      <c r="L35"/>
    </row>
    <row r="36" spans="1:18" ht="15" thickBot="1">
      <c r="B36" s="4" t="s">
        <v>371</v>
      </c>
      <c r="C36" s="210">
        <f>D36</f>
        <v>0.28613891698712168</v>
      </c>
      <c r="D36" s="105">
        <f>'Output - Jobs vs Yr (BAU)'!N8/'Output -Jobs vs Yr'!N14</f>
        <v>0.28613891698712168</v>
      </c>
      <c r="E36" s="204">
        <f>C36</f>
        <v>0.28613891698712168</v>
      </c>
      <c r="F36" s="201">
        <f>C36*$C$29/$C$28</f>
        <v>0.2898089272317263</v>
      </c>
      <c r="G36" s="205">
        <f>'Output - Jobs vs Yr (BAU)'!X8/'Output - Jobs vs Yr (BAU)'!X24</f>
        <v>0.28496101162078707</v>
      </c>
      <c r="H36" s="201">
        <f>F36*$C$30/$C$29</f>
        <v>0.27117441724933078</v>
      </c>
      <c r="I36" s="205">
        <f>'Output - Jobs vs Yr (BAU)'!AH8/'Output - Jobs vs Yr (BAU)'!AH24</f>
        <v>0.2652948507243838</v>
      </c>
      <c r="J36"/>
      <c r="K36"/>
      <c r="L36"/>
    </row>
    <row r="37" spans="1:18">
      <c r="B37" s="4" t="s">
        <v>375</v>
      </c>
      <c r="C37" s="139">
        <f>SUM(C35:C36)+'Output -Jobs vs Yr'!N30/'Output -Jobs vs Yr'!N49</f>
        <v>0.50190529753446311</v>
      </c>
      <c r="D37" s="105">
        <f>SUM(D34:D36)</f>
        <v>0.50190529753446311</v>
      </c>
      <c r="E37" s="204">
        <f>SUM(E34:E36)</f>
        <v>0.50190529753446311</v>
      </c>
      <c r="F37" s="204">
        <f>SUM(F34:F36)</f>
        <v>0.50834272171698247</v>
      </c>
      <c r="G37" s="204">
        <f>SUM(G34:G36)</f>
        <v>0.50122708922743997</v>
      </c>
      <c r="H37" s="201">
        <f>C37*$C$30/$C$28</f>
        <v>0.47565664260686935</v>
      </c>
      <c r="I37" s="204">
        <f>SUM(I34:I36)</f>
        <v>0.46663564625663728</v>
      </c>
      <c r="J37" s="139"/>
      <c r="K37" s="139"/>
      <c r="L37" s="139"/>
    </row>
    <row r="38" spans="1:18">
      <c r="B38" s="4"/>
      <c r="C38" s="138" t="str">
        <f>IF(ROUND(C37,3)=ROUND(C28,3), "Great, " &amp; ROUND(C37,3)*100 &amp; "% agrees with 2020 Low Carbon % entered above", "Please re-adust Low Carbon portfolio to " &amp; ROUND(C28,3)*100 &amp; "% or change 2020 Low Carbon % above" )</f>
        <v>Great, 50,2%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382</v>
      </c>
      <c r="C40" s="105">
        <f>C24</f>
        <v>0.1</v>
      </c>
      <c r="D40" s="105" t="s">
        <v>0</v>
      </c>
      <c r="E40" s="105" t="s">
        <v>0</v>
      </c>
      <c r="F40" s="105" t="s">
        <v>0</v>
      </c>
      <c r="G40" s="103" t="s">
        <v>0</v>
      </c>
      <c r="H40"/>
      <c r="I40"/>
      <c r="J40"/>
      <c r="K40"/>
      <c r="L40"/>
    </row>
    <row r="41" spans="1:18">
      <c r="B41" s="4" t="s">
        <v>381</v>
      </c>
      <c r="C41" s="105">
        <f>C24+C37</f>
        <v>0.60190529753446309</v>
      </c>
      <c r="D41" s="105" t="s">
        <v>0</v>
      </c>
      <c r="E41" s="105"/>
      <c r="F41" s="105" t="s">
        <v>0</v>
      </c>
      <c r="G41" s="103" t="s">
        <v>0</v>
      </c>
      <c r="H41"/>
      <c r="I41"/>
      <c r="J41"/>
      <c r="K41"/>
      <c r="L41"/>
    </row>
    <row r="42" spans="1:18">
      <c r="C42" s="110"/>
      <c r="D42"/>
      <c r="E42" s="13"/>
      <c r="F42" s="13"/>
      <c r="G42" s="13"/>
      <c r="M42"/>
    </row>
    <row r="43" spans="1:18" ht="15" thickBot="1">
      <c r="B43" s="1" t="s">
        <v>2</v>
      </c>
      <c r="C43" s="13" t="s">
        <v>144</v>
      </c>
      <c r="D43" s="1"/>
      <c r="E43" s="7"/>
      <c r="F43" s="7"/>
      <c r="G43" s="1"/>
      <c r="H43" s="13" t="s">
        <v>200</v>
      </c>
      <c r="I43" s="13"/>
      <c r="J43" s="13"/>
      <c r="K43" s="13"/>
      <c r="L43" s="13"/>
      <c r="M43" s="13" t="s">
        <v>313</v>
      </c>
      <c r="N43" s="7"/>
    </row>
    <row r="44" spans="1:18" ht="15" thickBot="1">
      <c r="B44" s="4" t="s">
        <v>215</v>
      </c>
      <c r="C44" s="42">
        <v>3.7999999999999999E-2</v>
      </c>
      <c r="D44" s="4"/>
      <c r="E44" s="28" t="s">
        <v>529</v>
      </c>
      <c r="F44" s="28"/>
      <c r="G44" s="1"/>
      <c r="H44" s="49">
        <v>9</v>
      </c>
      <c r="I44" s="278"/>
      <c r="J44" s="278"/>
      <c r="K44" s="278"/>
      <c r="L44"/>
      <c r="M44" s="12">
        <f t="shared" ref="M44:M61" si="7">C44+H44*C44</f>
        <v>0.37999999999999995</v>
      </c>
      <c r="N44" s="28" t="s">
        <v>529</v>
      </c>
    </row>
    <row r="45" spans="1:18" ht="15.75" hidden="1" customHeight="1" thickBot="1">
      <c r="B45" s="4" t="s">
        <v>216</v>
      </c>
      <c r="C45" s="41" t="e">
        <f>0.1*#REF!</f>
        <v>#REF!</v>
      </c>
      <c r="D45" s="4"/>
      <c r="E45" s="28" t="s">
        <v>212</v>
      </c>
      <c r="F45" s="28"/>
      <c r="G45" s="110"/>
      <c r="H45" s="49">
        <v>9</v>
      </c>
      <c r="I45" s="278"/>
      <c r="J45" s="278"/>
      <c r="K45" s="278"/>
      <c r="L45"/>
      <c r="M45" s="12" t="e">
        <f t="shared" si="7"/>
        <v>#REF!</v>
      </c>
      <c r="N45" s="28" t="s">
        <v>529</v>
      </c>
    </row>
    <row r="46" spans="1:18" s="1" customFormat="1" ht="15" thickBot="1">
      <c r="A46"/>
      <c r="B46" s="4" t="s">
        <v>127</v>
      </c>
      <c r="C46" s="84">
        <v>0.21</v>
      </c>
      <c r="D46" s="4" t="s">
        <v>0</v>
      </c>
      <c r="E46" s="28" t="s">
        <v>530</v>
      </c>
      <c r="F46" s="28"/>
      <c r="H46" s="49">
        <v>0.9</v>
      </c>
      <c r="I46" s="278"/>
      <c r="J46" s="278"/>
      <c r="K46" s="278"/>
      <c r="L46"/>
      <c r="M46" s="12">
        <f t="shared" si="7"/>
        <v>0.39900000000000002</v>
      </c>
      <c r="N46" s="28" t="s">
        <v>530</v>
      </c>
      <c r="O46"/>
      <c r="P46"/>
      <c r="Q46"/>
      <c r="R46"/>
    </row>
    <row r="47" spans="1:18" s="1" customFormat="1" ht="15" thickBot="1">
      <c r="A47"/>
      <c r="B47" s="4" t="s">
        <v>124</v>
      </c>
      <c r="C47" s="42">
        <v>0.18</v>
      </c>
      <c r="D47" s="4"/>
      <c r="E47" s="28" t="s">
        <v>530</v>
      </c>
      <c r="F47" s="28"/>
      <c r="H47" s="49">
        <v>0.9</v>
      </c>
      <c r="I47" s="278"/>
      <c r="J47" s="278"/>
      <c r="K47" s="278"/>
      <c r="L47"/>
      <c r="M47" s="12">
        <f t="shared" si="7"/>
        <v>0.34199999999999997</v>
      </c>
      <c r="N47" s="28" t="s">
        <v>530</v>
      </c>
      <c r="O47"/>
      <c r="P47"/>
      <c r="Q47"/>
    </row>
    <row r="48" spans="1:18" ht="15" thickBot="1">
      <c r="B48" s="4" t="s">
        <v>51</v>
      </c>
      <c r="C48" s="42">
        <v>0.15</v>
      </c>
      <c r="D48" s="4"/>
      <c r="E48" s="28" t="s">
        <v>530</v>
      </c>
      <c r="F48" s="28"/>
      <c r="G48" s="1"/>
      <c r="H48" s="49">
        <v>0.9</v>
      </c>
      <c r="I48" s="278"/>
      <c r="J48" s="278"/>
      <c r="K48" s="278"/>
      <c r="L48"/>
      <c r="M48" s="12">
        <f t="shared" si="7"/>
        <v>0.28500000000000003</v>
      </c>
      <c r="N48" s="28" t="s">
        <v>530</v>
      </c>
    </row>
    <row r="49" spans="1:17" s="1" customFormat="1" ht="15" thickBot="1">
      <c r="A49"/>
      <c r="B49" s="4" t="s">
        <v>52</v>
      </c>
      <c r="C49" s="42">
        <v>0.25</v>
      </c>
      <c r="D49" s="4" t="s">
        <v>0</v>
      </c>
      <c r="E49" s="28" t="s">
        <v>530</v>
      </c>
      <c r="F49" s="28"/>
      <c r="H49" s="49">
        <v>0.9</v>
      </c>
      <c r="I49" s="278"/>
      <c r="J49" s="278"/>
      <c r="K49" s="278"/>
      <c r="L49"/>
      <c r="M49" s="12">
        <f t="shared" si="7"/>
        <v>0.47499999999999998</v>
      </c>
      <c r="N49" s="28" t="s">
        <v>530</v>
      </c>
      <c r="O49" t="s">
        <v>0</v>
      </c>
      <c r="P49"/>
      <c r="Q49"/>
    </row>
    <row r="50" spans="1:17" s="1" customFormat="1" ht="15.75" hidden="1" customHeight="1" thickBot="1">
      <c r="A50"/>
      <c r="B50" s="4" t="s">
        <v>125</v>
      </c>
      <c r="C50" s="42">
        <v>0.11</v>
      </c>
      <c r="D50" s="4"/>
      <c r="E50" s="28" t="s">
        <v>530</v>
      </c>
      <c r="F50" s="28"/>
      <c r="G50" s="110"/>
      <c r="H50" s="49">
        <v>0.8</v>
      </c>
      <c r="I50" s="278"/>
      <c r="J50" s="278"/>
      <c r="K50" s="278"/>
      <c r="L50"/>
      <c r="M50" s="12">
        <f t="shared" si="7"/>
        <v>0.19800000000000001</v>
      </c>
      <c r="N50" s="28" t="s">
        <v>530</v>
      </c>
      <c r="O50" t="s">
        <v>0</v>
      </c>
      <c r="P50"/>
      <c r="Q50"/>
    </row>
    <row r="51" spans="1:17" s="1" customFormat="1" ht="15" thickBot="1">
      <c r="A51"/>
      <c r="B51" s="4" t="s">
        <v>349</v>
      </c>
      <c r="C51" s="42">
        <v>0.27</v>
      </c>
      <c r="D51" s="4"/>
      <c r="E51" s="28" t="s">
        <v>530</v>
      </c>
      <c r="F51" s="28"/>
      <c r="G51" s="110"/>
      <c r="H51" s="49">
        <v>0.9</v>
      </c>
      <c r="I51" s="278"/>
      <c r="J51" s="278"/>
      <c r="K51" s="278"/>
      <c r="L51"/>
      <c r="M51" s="12">
        <f t="shared" si="7"/>
        <v>0.51300000000000001</v>
      </c>
      <c r="N51" s="28" t="s">
        <v>530</v>
      </c>
      <c r="O51" t="s">
        <v>0</v>
      </c>
      <c r="P51"/>
      <c r="Q51"/>
    </row>
    <row r="52" spans="1:17" s="1" customFormat="1" ht="15" thickBot="1">
      <c r="A52"/>
      <c r="B52" s="4" t="s">
        <v>53</v>
      </c>
      <c r="C52" s="42">
        <v>0.15</v>
      </c>
      <c r="D52" s="4"/>
      <c r="E52" s="28" t="s">
        <v>530</v>
      </c>
      <c r="F52" s="28"/>
      <c r="G52" s="110"/>
      <c r="H52" s="49">
        <v>0.9</v>
      </c>
      <c r="I52" s="278"/>
      <c r="J52" s="278"/>
      <c r="K52" s="278"/>
      <c r="L52"/>
      <c r="M52" s="12">
        <f t="shared" si="7"/>
        <v>0.28500000000000003</v>
      </c>
      <c r="N52" s="28" t="s">
        <v>530</v>
      </c>
      <c r="O52" t="s">
        <v>0</v>
      </c>
      <c r="P52"/>
      <c r="Q52"/>
    </row>
    <row r="53" spans="1:17" ht="15" thickBot="1">
      <c r="B53" s="4" t="s">
        <v>61</v>
      </c>
      <c r="C53" s="42">
        <v>0.14000000000000001</v>
      </c>
      <c r="D53" s="4"/>
      <c r="E53" s="28" t="s">
        <v>530</v>
      </c>
      <c r="F53" s="28"/>
      <c r="G53" s="110"/>
      <c r="H53" s="49">
        <v>0.9</v>
      </c>
      <c r="I53" s="278"/>
      <c r="J53" s="278"/>
      <c r="K53" s="278"/>
      <c r="L53"/>
      <c r="M53" s="162">
        <f t="shared" si="7"/>
        <v>0.26600000000000001</v>
      </c>
      <c r="N53" s="28" t="s">
        <v>530</v>
      </c>
    </row>
    <row r="54" spans="1:17" ht="15" thickBot="1">
      <c r="B54" s="4" t="s">
        <v>353</v>
      </c>
      <c r="C54" s="84">
        <v>0.79</v>
      </c>
      <c r="D54" s="4" t="s">
        <v>0</v>
      </c>
      <c r="E54" s="28" t="s">
        <v>530</v>
      </c>
      <c r="F54" s="28"/>
      <c r="G54" s="110"/>
      <c r="H54" s="49">
        <v>0.9</v>
      </c>
      <c r="I54" s="278"/>
      <c r="J54" s="278"/>
      <c r="K54" s="278"/>
      <c r="L54"/>
      <c r="M54" s="12">
        <f t="shared" si="7"/>
        <v>1.5010000000000001</v>
      </c>
      <c r="N54" s="28" t="s">
        <v>530</v>
      </c>
    </row>
    <row r="55" spans="1:17" ht="15" thickBot="1">
      <c r="B55" s="4" t="s">
        <v>354</v>
      </c>
      <c r="C55" s="84">
        <v>0.23</v>
      </c>
      <c r="D55" s="4"/>
      <c r="E55" s="28" t="s">
        <v>530</v>
      </c>
      <c r="F55" s="28"/>
      <c r="G55" s="110"/>
      <c r="H55" s="49">
        <v>0.9</v>
      </c>
      <c r="I55" s="278"/>
      <c r="J55" s="278"/>
      <c r="K55" s="278"/>
      <c r="L55"/>
      <c r="M55" s="12">
        <f t="shared" si="7"/>
        <v>0.43700000000000006</v>
      </c>
      <c r="N55" s="28" t="s">
        <v>530</v>
      </c>
    </row>
    <row r="56" spans="1:17" ht="15.75" hidden="1" customHeight="1" thickBot="1">
      <c r="B56" s="4" t="s">
        <v>126</v>
      </c>
      <c r="C56" s="42">
        <v>0.11</v>
      </c>
      <c r="D56" s="4"/>
      <c r="E56" s="28" t="s">
        <v>530</v>
      </c>
      <c r="F56" s="28"/>
      <c r="G56" s="110"/>
      <c r="H56" s="49">
        <v>0.8</v>
      </c>
      <c r="I56" s="278"/>
      <c r="J56" s="278"/>
      <c r="K56" s="278"/>
      <c r="L56"/>
      <c r="M56" s="12">
        <f t="shared" si="7"/>
        <v>0.19800000000000001</v>
      </c>
      <c r="N56" s="28"/>
    </row>
    <row r="57" spans="1:17" ht="15" thickBot="1">
      <c r="B57" s="4" t="s">
        <v>55</v>
      </c>
      <c r="C57" s="84">
        <v>0.17</v>
      </c>
      <c r="D57" s="4" t="s">
        <v>0</v>
      </c>
      <c r="E57" s="28" t="s">
        <v>530</v>
      </c>
      <c r="F57" s="28"/>
      <c r="G57" s="110"/>
      <c r="H57" s="49">
        <v>0.9</v>
      </c>
      <c r="I57" s="278"/>
      <c r="J57" s="278"/>
      <c r="K57" s="278"/>
      <c r="L57"/>
      <c r="M57" s="12">
        <f t="shared" si="7"/>
        <v>0.32300000000000006</v>
      </c>
      <c r="N57" s="28" t="s">
        <v>530</v>
      </c>
    </row>
    <row r="58" spans="1:17" ht="15.75" hidden="1" customHeight="1" thickBot="1">
      <c r="B58" s="4" t="s">
        <v>197</v>
      </c>
      <c r="C58" s="41" t="e">
        <f xml:space="preserve"> 0.693 *#REF!</f>
        <v>#REF!</v>
      </c>
      <c r="D58" s="4"/>
      <c r="E58" s="28" t="s">
        <v>212</v>
      </c>
      <c r="F58" s="28"/>
      <c r="G58" s="110"/>
      <c r="H58" s="49">
        <v>0.8</v>
      </c>
      <c r="I58" s="278"/>
      <c r="J58" s="278"/>
      <c r="K58" s="278"/>
      <c r="L58"/>
      <c r="M58" s="12" t="e">
        <f t="shared" si="7"/>
        <v>#REF!</v>
      </c>
      <c r="N58" s="28" t="s">
        <v>530</v>
      </c>
    </row>
    <row r="59" spans="1:17" ht="15.75" hidden="1" customHeight="1" thickBot="1">
      <c r="B59" s="4" t="s">
        <v>252</v>
      </c>
      <c r="C59" s="49" t="e">
        <f xml:space="preserve"> (1/6) *#REF!</f>
        <v>#REF!</v>
      </c>
      <c r="D59" s="4"/>
      <c r="E59" s="28" t="s">
        <v>253</v>
      </c>
      <c r="F59" s="28"/>
      <c r="G59" s="110"/>
      <c r="H59" s="49">
        <v>0.8</v>
      </c>
      <c r="I59" s="278"/>
      <c r="J59" s="278"/>
      <c r="K59" s="278"/>
      <c r="L59"/>
      <c r="M59" s="12" t="e">
        <f t="shared" si="7"/>
        <v>#REF!</v>
      </c>
      <c r="N59" s="28" t="s">
        <v>212</v>
      </c>
    </row>
    <row r="60" spans="1:17" ht="15" thickBot="1">
      <c r="B60" s="4" t="s">
        <v>70</v>
      </c>
      <c r="C60" s="42">
        <v>0.11</v>
      </c>
      <c r="D60" s="4"/>
      <c r="E60" s="28" t="s">
        <v>530</v>
      </c>
      <c r="F60" s="28"/>
      <c r="G60" s="110"/>
      <c r="H60" s="49">
        <v>0.9</v>
      </c>
      <c r="I60" s="278"/>
      <c r="J60" s="278"/>
      <c r="K60" s="278"/>
      <c r="L60"/>
      <c r="M60" s="162">
        <f t="shared" si="7"/>
        <v>0.20900000000000002</v>
      </c>
      <c r="N60" s="28" t="s">
        <v>530</v>
      </c>
    </row>
    <row r="61" spans="1:17" ht="15" thickBot="1">
      <c r="B61" s="4" t="s">
        <v>78</v>
      </c>
      <c r="C61" s="42">
        <v>0.11</v>
      </c>
      <c r="D61" s="4"/>
      <c r="E61" s="28" t="s">
        <v>530</v>
      </c>
      <c r="F61" s="28"/>
      <c r="G61" s="110"/>
      <c r="H61" s="49">
        <v>0.9</v>
      </c>
      <c r="I61" s="278"/>
      <c r="J61" s="278"/>
      <c r="K61" s="278"/>
      <c r="L61"/>
      <c r="M61" s="12">
        <f t="shared" si="7"/>
        <v>0.20900000000000002</v>
      </c>
      <c r="N61" s="28" t="s">
        <v>530</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topLeftCell="A28"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8"/>
    <col min="6" max="6" width="12.5" style="349"/>
    <col min="7" max="37" width="12.5" style="303"/>
    <col min="38" max="16384" width="12.5" style="5"/>
  </cols>
  <sheetData>
    <row r="1" spans="1:37">
      <c r="A1" s="273" t="s">
        <v>715</v>
      </c>
    </row>
    <row r="2" spans="1:37">
      <c r="A2" s="273" t="s">
        <v>665</v>
      </c>
    </row>
    <row r="3" spans="1:37">
      <c r="A3" s="273" t="s">
        <v>666</v>
      </c>
    </row>
    <row r="5" spans="1:37">
      <c r="A5" s="6" t="s">
        <v>191</v>
      </c>
    </row>
    <row r="6" spans="1:37">
      <c r="A6" s="6" t="s">
        <v>190</v>
      </c>
    </row>
    <row r="9" spans="1:37">
      <c r="AK9" s="304" t="s">
        <v>725</v>
      </c>
    </row>
    <row r="10" spans="1:37">
      <c r="B10" s="350" t="s">
        <v>7</v>
      </c>
      <c r="C10" s="350" t="s">
        <v>8</v>
      </c>
      <c r="D10" s="350" t="s">
        <v>9</v>
      </c>
      <c r="E10" s="350" t="s">
        <v>10</v>
      </c>
      <c r="F10" s="351" t="s">
        <v>11</v>
      </c>
      <c r="G10" s="304" t="s">
        <v>12</v>
      </c>
      <c r="H10" s="304" t="s">
        <v>13</v>
      </c>
      <c r="I10" s="304" t="s">
        <v>14</v>
      </c>
      <c r="J10" s="304" t="s">
        <v>15</v>
      </c>
      <c r="K10" s="304" t="s">
        <v>16</v>
      </c>
      <c r="L10" s="304" t="s">
        <v>17</v>
      </c>
      <c r="M10" s="304" t="s">
        <v>18</v>
      </c>
      <c r="N10" s="304" t="s">
        <v>19</v>
      </c>
      <c r="O10" s="304" t="s">
        <v>20</v>
      </c>
      <c r="P10" s="304" t="s">
        <v>21</v>
      </c>
      <c r="Q10" s="304" t="s">
        <v>22</v>
      </c>
      <c r="R10" s="304" t="s">
        <v>23</v>
      </c>
      <c r="S10" s="304" t="s">
        <v>24</v>
      </c>
      <c r="T10" s="304" t="s">
        <v>25</v>
      </c>
      <c r="U10" s="304" t="s">
        <v>26</v>
      </c>
      <c r="V10" s="304" t="s">
        <v>27</v>
      </c>
      <c r="W10" s="304" t="s">
        <v>28</v>
      </c>
      <c r="X10" s="304" t="s">
        <v>29</v>
      </c>
      <c r="Y10" s="304" t="s">
        <v>30</v>
      </c>
      <c r="Z10" s="304" t="s">
        <v>31</v>
      </c>
      <c r="AA10" s="304" t="s">
        <v>588</v>
      </c>
      <c r="AB10" s="304" t="s">
        <v>589</v>
      </c>
      <c r="AC10" s="304" t="s">
        <v>590</v>
      </c>
      <c r="AD10" s="304" t="s">
        <v>591</v>
      </c>
      <c r="AE10" s="304" t="s">
        <v>592</v>
      </c>
      <c r="AF10" s="304" t="s">
        <v>593</v>
      </c>
      <c r="AG10" s="304" t="s">
        <v>594</v>
      </c>
      <c r="AH10" s="304" t="s">
        <v>595</v>
      </c>
      <c r="AI10" s="304" t="s">
        <v>596</v>
      </c>
      <c r="AJ10" s="304" t="s">
        <v>597</v>
      </c>
      <c r="AK10" s="304">
        <v>2040</v>
      </c>
    </row>
    <row r="13" spans="1:37">
      <c r="A13" s="6" t="s">
        <v>189</v>
      </c>
    </row>
    <row r="14" spans="1:37">
      <c r="A14" s="6" t="s">
        <v>188</v>
      </c>
      <c r="B14" s="352">
        <v>5.1020002365112296</v>
      </c>
      <c r="C14" s="352">
        <v>5.0669999122619602</v>
      </c>
      <c r="D14" s="352">
        <v>4.9539995193481401</v>
      </c>
      <c r="E14" s="352">
        <v>5.3799490928649902</v>
      </c>
      <c r="F14" s="353">
        <v>5.6095256805419904</v>
      </c>
      <c r="G14" s="297">
        <v>5.6580000000000004</v>
      </c>
      <c r="H14" s="297">
        <v>6.4939989999999996</v>
      </c>
      <c r="I14" s="297">
        <v>7.7220000000000004</v>
      </c>
      <c r="J14" s="297">
        <v>8.5288000000000004</v>
      </c>
      <c r="K14" s="297">
        <v>9.0378019999999992</v>
      </c>
      <c r="L14" s="297">
        <v>9.5417810000000003</v>
      </c>
      <c r="M14" s="297">
        <v>9.5568039999999996</v>
      </c>
      <c r="N14" s="297">
        <v>9.5754859999999997</v>
      </c>
      <c r="O14" s="297">
        <v>9.6082459999999994</v>
      </c>
      <c r="P14" s="297">
        <v>9.5525409999999997</v>
      </c>
      <c r="Q14" s="297">
        <v>9.4165030000000005</v>
      </c>
      <c r="R14" s="297">
        <v>9.2888249999999992</v>
      </c>
      <c r="S14" s="297">
        <v>9.1907350000000001</v>
      </c>
      <c r="T14" s="297">
        <v>9.0728480000000005</v>
      </c>
      <c r="U14" s="297">
        <v>9.0041829999999994</v>
      </c>
      <c r="V14" s="297">
        <v>8.8329439999999995</v>
      </c>
      <c r="W14" s="297">
        <v>8.6696600000000004</v>
      </c>
      <c r="X14" s="297">
        <v>8.5159219999999998</v>
      </c>
      <c r="Y14" s="297">
        <v>8.3804160000000003</v>
      </c>
      <c r="Z14" s="297">
        <v>8.3047140000000006</v>
      </c>
      <c r="AA14" s="297">
        <v>8.1595440000000004</v>
      </c>
      <c r="AB14" s="297">
        <v>8.0727349999999998</v>
      </c>
      <c r="AC14" s="297">
        <v>8.0446790000000004</v>
      </c>
      <c r="AD14" s="297">
        <v>7.984591</v>
      </c>
      <c r="AE14" s="297">
        <v>7.8722690000000002</v>
      </c>
      <c r="AF14" s="297">
        <v>7.7546290000000004</v>
      </c>
      <c r="AG14" s="297">
        <v>7.6994870000000004</v>
      </c>
      <c r="AH14" s="297">
        <v>7.5588430000000004</v>
      </c>
      <c r="AI14" s="297">
        <v>7.5302829999999998</v>
      </c>
      <c r="AJ14" s="297">
        <v>7.4801669999999998</v>
      </c>
      <c r="AK14" s="298">
        <v>5.0000000000000001E-3</v>
      </c>
    </row>
    <row r="15" spans="1:37">
      <c r="A15" s="6" t="s">
        <v>187</v>
      </c>
      <c r="B15" s="352">
        <v>0.74099999666214</v>
      </c>
      <c r="C15" s="352">
        <v>0.71899998188018799</v>
      </c>
      <c r="D15" s="352">
        <v>0.68000000715255704</v>
      </c>
      <c r="E15" s="352">
        <v>0.73478877544403098</v>
      </c>
      <c r="F15" s="353">
        <v>0.68565064668655396</v>
      </c>
      <c r="G15" s="297">
        <v>0.57199999999999995</v>
      </c>
      <c r="H15" s="297">
        <v>0.53</v>
      </c>
      <c r="I15" s="297">
        <v>0.51</v>
      </c>
      <c r="J15" s="297">
        <v>0.4738</v>
      </c>
      <c r="K15" s="297">
        <v>0.462835</v>
      </c>
      <c r="L15" s="297">
        <v>0.46215800000000001</v>
      </c>
      <c r="M15" s="297">
        <v>0.46993800000000002</v>
      </c>
      <c r="N15" s="297">
        <v>0.47195500000000001</v>
      </c>
      <c r="O15" s="297">
        <v>0.45399899999999999</v>
      </c>
      <c r="P15" s="297">
        <v>0.43714199999999998</v>
      </c>
      <c r="Q15" s="297">
        <v>0.41283700000000001</v>
      </c>
      <c r="R15" s="297">
        <v>0.388714</v>
      </c>
      <c r="S15" s="297">
        <v>0.36631000000000002</v>
      </c>
      <c r="T15" s="297">
        <v>0.34568500000000002</v>
      </c>
      <c r="U15" s="297">
        <v>0.32666899999999999</v>
      </c>
      <c r="V15" s="297">
        <v>0.30766500000000002</v>
      </c>
      <c r="W15" s="297">
        <v>0.28877399999999998</v>
      </c>
      <c r="X15" s="297">
        <v>0.27134900000000001</v>
      </c>
      <c r="Y15" s="297">
        <v>0.25525500000000001</v>
      </c>
      <c r="Z15" s="297">
        <v>0.240371</v>
      </c>
      <c r="AA15" s="297">
        <v>0.22658700000000001</v>
      </c>
      <c r="AB15" s="297">
        <v>0.273065</v>
      </c>
      <c r="AC15" s="297">
        <v>0.34021099999999999</v>
      </c>
      <c r="AD15" s="297">
        <v>0.38843800000000001</v>
      </c>
      <c r="AE15" s="297">
        <v>0.378168</v>
      </c>
      <c r="AF15" s="297">
        <v>0.36859700000000001</v>
      </c>
      <c r="AG15" s="297">
        <v>0.35966500000000001</v>
      </c>
      <c r="AH15" s="297">
        <v>0.321691</v>
      </c>
      <c r="AI15" s="297">
        <v>0.28870200000000001</v>
      </c>
      <c r="AJ15" s="297">
        <v>0.25998700000000002</v>
      </c>
      <c r="AK15" s="298">
        <v>-2.5000000000000001E-2</v>
      </c>
    </row>
    <row r="16" spans="1:37">
      <c r="A16" s="6" t="s">
        <v>186</v>
      </c>
      <c r="B16" s="352">
        <v>4.3610000610351598</v>
      </c>
      <c r="C16" s="352">
        <v>4.34800004959106</v>
      </c>
      <c r="D16" s="352">
        <v>4.2739996910095197</v>
      </c>
      <c r="E16" s="352">
        <v>4.6451601982116699</v>
      </c>
      <c r="F16" s="353">
        <v>4.9238753318786603</v>
      </c>
      <c r="G16" s="297">
        <v>5.0860000000000003</v>
      </c>
      <c r="H16" s="297">
        <v>5.9640000000000004</v>
      </c>
      <c r="I16" s="297">
        <v>7.2119999999999997</v>
      </c>
      <c r="J16" s="297">
        <v>8.0549999999999997</v>
      </c>
      <c r="K16" s="297">
        <v>8.5749659999999999</v>
      </c>
      <c r="L16" s="297">
        <v>9.0796240000000008</v>
      </c>
      <c r="M16" s="297">
        <v>9.0868660000000006</v>
      </c>
      <c r="N16" s="297">
        <v>9.1035310000000003</v>
      </c>
      <c r="O16" s="297">
        <v>9.1542469999999998</v>
      </c>
      <c r="P16" s="297">
        <v>9.1153980000000008</v>
      </c>
      <c r="Q16" s="297">
        <v>9.0036670000000001</v>
      </c>
      <c r="R16" s="297">
        <v>8.9001110000000008</v>
      </c>
      <c r="S16" s="297">
        <v>8.8244249999999997</v>
      </c>
      <c r="T16" s="297">
        <v>8.7271629999999991</v>
      </c>
      <c r="U16" s="297">
        <v>8.6775140000000004</v>
      </c>
      <c r="V16" s="297">
        <v>8.5252789999999994</v>
      </c>
      <c r="W16" s="297">
        <v>8.3808860000000003</v>
      </c>
      <c r="X16" s="297">
        <v>8.2445730000000008</v>
      </c>
      <c r="Y16" s="297">
        <v>8.1251610000000003</v>
      </c>
      <c r="Z16" s="297">
        <v>8.0643429999999992</v>
      </c>
      <c r="AA16" s="297">
        <v>7.932957</v>
      </c>
      <c r="AB16" s="297">
        <v>7.7996699999999999</v>
      </c>
      <c r="AC16" s="297">
        <v>7.7044680000000003</v>
      </c>
      <c r="AD16" s="297">
        <v>7.5961540000000003</v>
      </c>
      <c r="AE16" s="297">
        <v>7.4941009999999997</v>
      </c>
      <c r="AF16" s="297">
        <v>7.3860330000000003</v>
      </c>
      <c r="AG16" s="297">
        <v>7.3398209999999997</v>
      </c>
      <c r="AH16" s="297">
        <v>7.2371509999999999</v>
      </c>
      <c r="AI16" s="297">
        <v>7.241581</v>
      </c>
      <c r="AJ16" s="297">
        <v>7.2201810000000002</v>
      </c>
      <c r="AK16" s="298">
        <v>7.0000000000000001E-3</v>
      </c>
    </row>
    <row r="17" spans="1:38">
      <c r="A17" s="6" t="s">
        <v>185</v>
      </c>
      <c r="B17" s="352">
        <v>10.093000411987299</v>
      </c>
      <c r="C17" s="352">
        <v>10.003999710083001</v>
      </c>
      <c r="D17" s="352">
        <v>9.7010002136230504</v>
      </c>
      <c r="E17" s="352">
        <v>8.9919996261596697</v>
      </c>
      <c r="F17" s="353">
        <v>8.3191394805908203</v>
      </c>
      <c r="G17" s="297">
        <v>8.8879999999999999</v>
      </c>
      <c r="H17" s="297">
        <v>8.4319989999999994</v>
      </c>
      <c r="I17" s="297">
        <v>7.3609999999999998</v>
      </c>
      <c r="J17" s="297">
        <v>6.452</v>
      </c>
      <c r="K17" s="297">
        <v>6.1656769999999996</v>
      </c>
      <c r="L17" s="297">
        <v>5.7677230000000002</v>
      </c>
      <c r="M17" s="297">
        <v>5.8143669999999998</v>
      </c>
      <c r="N17" s="297">
        <v>5.8087150000000003</v>
      </c>
      <c r="O17" s="297">
        <v>5.7589199999999998</v>
      </c>
      <c r="P17" s="297">
        <v>5.7870730000000004</v>
      </c>
      <c r="Q17" s="297">
        <v>5.8889449999999997</v>
      </c>
      <c r="R17" s="297">
        <v>5.9421790000000003</v>
      </c>
      <c r="S17" s="297">
        <v>5.9748789999999996</v>
      </c>
      <c r="T17" s="297">
        <v>6.0359290000000003</v>
      </c>
      <c r="U17" s="297">
        <v>6.0526869999999997</v>
      </c>
      <c r="V17" s="297">
        <v>6.1879960000000001</v>
      </c>
      <c r="W17" s="297">
        <v>6.3329610000000001</v>
      </c>
      <c r="X17" s="297">
        <v>6.455387</v>
      </c>
      <c r="Y17" s="297">
        <v>6.5668860000000002</v>
      </c>
      <c r="Z17" s="297">
        <v>6.635491</v>
      </c>
      <c r="AA17" s="297">
        <v>6.7795449999999997</v>
      </c>
      <c r="AB17" s="297">
        <v>6.8623289999999999</v>
      </c>
      <c r="AC17" s="297">
        <v>6.8977040000000001</v>
      </c>
      <c r="AD17" s="297">
        <v>6.9983430000000002</v>
      </c>
      <c r="AE17" s="297">
        <v>7.1493440000000001</v>
      </c>
      <c r="AF17" s="297">
        <v>7.303795</v>
      </c>
      <c r="AG17" s="297">
        <v>7.4063970000000001</v>
      </c>
      <c r="AH17" s="297">
        <v>7.6181229999999998</v>
      </c>
      <c r="AI17" s="297">
        <v>7.6624980000000003</v>
      </c>
      <c r="AJ17" s="297">
        <v>7.742801</v>
      </c>
      <c r="AK17" s="298">
        <v>-3.0000000000000001E-3</v>
      </c>
    </row>
    <row r="18" spans="1:38">
      <c r="A18" s="6" t="s">
        <v>184</v>
      </c>
      <c r="B18" s="352">
        <v>10.118000030517599</v>
      </c>
      <c r="C18" s="352">
        <v>10.0310001373291</v>
      </c>
      <c r="D18" s="352">
        <v>9.7280006408691406</v>
      </c>
      <c r="E18" s="352">
        <v>9.0190000534057599</v>
      </c>
      <c r="F18" s="353">
        <v>8.3490304946899396</v>
      </c>
      <c r="G18" s="297">
        <v>8.9350000000000005</v>
      </c>
      <c r="H18" s="297">
        <v>8.4920000000000009</v>
      </c>
      <c r="I18" s="297">
        <v>7.4809999999999999</v>
      </c>
      <c r="J18" s="297">
        <v>6.585</v>
      </c>
      <c r="K18" s="297">
        <v>6.3116139999999996</v>
      </c>
      <c r="L18" s="297">
        <v>5.9214209999999996</v>
      </c>
      <c r="M18" s="297">
        <v>5.9680070000000001</v>
      </c>
      <c r="N18" s="297">
        <v>5.9630130000000001</v>
      </c>
      <c r="O18" s="297">
        <v>5.9123679999999998</v>
      </c>
      <c r="P18" s="297">
        <v>5.9393659999999997</v>
      </c>
      <c r="Q18" s="297">
        <v>6.0361729999999998</v>
      </c>
      <c r="R18" s="297">
        <v>6.0801559999999997</v>
      </c>
      <c r="S18" s="297">
        <v>6.1090929999999997</v>
      </c>
      <c r="T18" s="297">
        <v>6.1684799999999997</v>
      </c>
      <c r="U18" s="297">
        <v>6.1836919999999997</v>
      </c>
      <c r="V18" s="297">
        <v>6.31792</v>
      </c>
      <c r="W18" s="297">
        <v>6.4623739999999996</v>
      </c>
      <c r="X18" s="297">
        <v>6.5838710000000003</v>
      </c>
      <c r="Y18" s="297">
        <v>6.6953279999999999</v>
      </c>
      <c r="Z18" s="297">
        <v>6.7654339999999999</v>
      </c>
      <c r="AA18" s="297">
        <v>6.9090009999999999</v>
      </c>
      <c r="AB18" s="297">
        <v>6.9898129999999998</v>
      </c>
      <c r="AC18" s="297">
        <v>7.0234620000000003</v>
      </c>
      <c r="AD18" s="297">
        <v>7.1230440000000002</v>
      </c>
      <c r="AE18" s="297">
        <v>7.2727890000000004</v>
      </c>
      <c r="AF18" s="297">
        <v>7.4277439999999997</v>
      </c>
      <c r="AG18" s="297">
        <v>7.5305350000000004</v>
      </c>
      <c r="AH18" s="297">
        <v>7.7422449999999996</v>
      </c>
      <c r="AI18" s="297">
        <v>7.7863189999999998</v>
      </c>
      <c r="AJ18" s="297">
        <v>7.866511</v>
      </c>
      <c r="AK18" s="298">
        <v>-3.0000000000000001E-3</v>
      </c>
    </row>
    <row r="19" spans="1:38">
      <c r="A19" s="6" t="s">
        <v>175</v>
      </c>
      <c r="B19" s="352">
        <v>2.5000000372528999E-2</v>
      </c>
      <c r="C19" s="352">
        <v>2.70000007003546E-2</v>
      </c>
      <c r="D19" s="352">
        <v>2.70000007003546E-2</v>
      </c>
      <c r="E19" s="352">
        <v>2.70000007003546E-2</v>
      </c>
      <c r="F19" s="353">
        <v>2.9890902340412102E-2</v>
      </c>
      <c r="G19" s="297">
        <v>4.7E-2</v>
      </c>
      <c r="H19" s="297">
        <v>0.06</v>
      </c>
      <c r="I19" s="297">
        <v>0.12</v>
      </c>
      <c r="J19" s="297">
        <v>0.13300000000000001</v>
      </c>
      <c r="K19" s="297">
        <v>0.14593700000000001</v>
      </c>
      <c r="L19" s="297">
        <v>0.153697</v>
      </c>
      <c r="M19" s="297">
        <v>0.15364</v>
      </c>
      <c r="N19" s="297">
        <v>0.15429799999999999</v>
      </c>
      <c r="O19" s="297">
        <v>0.153447</v>
      </c>
      <c r="P19" s="297">
        <v>0.15229300000000001</v>
      </c>
      <c r="Q19" s="297">
        <v>0.147228</v>
      </c>
      <c r="R19" s="297">
        <v>0.13797699999999999</v>
      </c>
      <c r="S19" s="297">
        <v>0.134215</v>
      </c>
      <c r="T19" s="297">
        <v>0.132551</v>
      </c>
      <c r="U19" s="297">
        <v>0.13100500000000001</v>
      </c>
      <c r="V19" s="297">
        <v>0.12992400000000001</v>
      </c>
      <c r="W19" s="297">
        <v>0.129414</v>
      </c>
      <c r="X19" s="297">
        <v>0.12848499999999999</v>
      </c>
      <c r="Y19" s="297">
        <v>0.128441</v>
      </c>
      <c r="Z19" s="297">
        <v>0.129943</v>
      </c>
      <c r="AA19" s="297">
        <v>0.12945599999999999</v>
      </c>
      <c r="AB19" s="297">
        <v>0.12748399999999999</v>
      </c>
      <c r="AC19" s="297">
        <v>0.12575900000000001</v>
      </c>
      <c r="AD19" s="297">
        <v>0.12470100000000001</v>
      </c>
      <c r="AE19" s="297">
        <v>0.123445</v>
      </c>
      <c r="AF19" s="297">
        <v>0.123949</v>
      </c>
      <c r="AG19" s="297">
        <v>0.124137</v>
      </c>
      <c r="AH19" s="297">
        <v>0.124122</v>
      </c>
      <c r="AI19" s="297">
        <v>0.123821</v>
      </c>
      <c r="AJ19" s="297">
        <v>0.12371</v>
      </c>
      <c r="AK19" s="298">
        <v>2.5999999999999999E-2</v>
      </c>
    </row>
    <row r="20" spans="1:38">
      <c r="A20" s="6" t="s">
        <v>183</v>
      </c>
      <c r="B20" s="352">
        <v>4.80000004172325E-2</v>
      </c>
      <c r="C20" s="352">
        <v>8.79999995231628E-2</v>
      </c>
      <c r="D20" s="352">
        <v>-2.9999997466802601E-2</v>
      </c>
      <c r="E20" s="352">
        <v>1.9999999552965199E-2</v>
      </c>
      <c r="F20" s="353">
        <v>0</v>
      </c>
      <c r="G20" s="297">
        <v>0.26600000000000001</v>
      </c>
      <c r="H20" s="297">
        <v>8.6999999999999994E-2</v>
      </c>
      <c r="I20" s="297">
        <v>0.23400000000000001</v>
      </c>
      <c r="J20" s="297">
        <v>0.161</v>
      </c>
      <c r="K20" s="297">
        <v>0</v>
      </c>
      <c r="L20" s="297">
        <v>0</v>
      </c>
      <c r="M20" s="297">
        <v>0</v>
      </c>
      <c r="N20" s="297">
        <v>0</v>
      </c>
      <c r="O20" s="297">
        <v>0</v>
      </c>
      <c r="P20" s="297">
        <v>0</v>
      </c>
      <c r="Q20" s="297">
        <v>0</v>
      </c>
      <c r="R20" s="297">
        <v>0</v>
      </c>
      <c r="S20" s="297">
        <v>0</v>
      </c>
      <c r="T20" s="297">
        <v>0</v>
      </c>
      <c r="U20" s="297">
        <v>0</v>
      </c>
      <c r="V20" s="297">
        <v>0</v>
      </c>
      <c r="W20" s="297">
        <v>0</v>
      </c>
      <c r="X20" s="297">
        <v>0</v>
      </c>
      <c r="Y20" s="297">
        <v>0</v>
      </c>
      <c r="Z20" s="297">
        <v>0</v>
      </c>
      <c r="AA20" s="297">
        <v>0</v>
      </c>
      <c r="AB20" s="297">
        <v>0</v>
      </c>
      <c r="AC20" s="297">
        <v>0</v>
      </c>
      <c r="AD20" s="297">
        <v>0</v>
      </c>
      <c r="AE20" s="297">
        <v>0</v>
      </c>
      <c r="AF20" s="297">
        <v>0</v>
      </c>
      <c r="AG20" s="297">
        <v>0</v>
      </c>
      <c r="AH20" s="297">
        <v>0</v>
      </c>
      <c r="AI20" s="297">
        <v>0</v>
      </c>
      <c r="AJ20" s="297">
        <v>0</v>
      </c>
      <c r="AK20" s="297" t="s">
        <v>41</v>
      </c>
    </row>
    <row r="21" spans="1:38">
      <c r="A21" s="6" t="s">
        <v>182</v>
      </c>
      <c r="B21" s="352">
        <v>15.2430009841919</v>
      </c>
      <c r="C21" s="352">
        <v>15.158999443054199</v>
      </c>
      <c r="D21" s="352">
        <v>14.625</v>
      </c>
      <c r="E21" s="352">
        <v>14.3919486999512</v>
      </c>
      <c r="F21" s="353">
        <v>13.9286651611328</v>
      </c>
      <c r="G21" s="249">
        <v>14.811999999999999</v>
      </c>
      <c r="H21" s="249">
        <v>15.012999000000001</v>
      </c>
      <c r="I21" s="249">
        <v>15.317</v>
      </c>
      <c r="J21" s="249">
        <v>15.141800999999999</v>
      </c>
      <c r="K21" s="249">
        <v>15.203478</v>
      </c>
      <c r="L21" s="249">
        <v>15.309505</v>
      </c>
      <c r="M21" s="249">
        <v>15.371171</v>
      </c>
      <c r="N21" s="249">
        <v>15.384200999999999</v>
      </c>
      <c r="O21" s="249">
        <v>15.367167</v>
      </c>
      <c r="P21" s="249">
        <v>15.339613999999999</v>
      </c>
      <c r="Q21" s="249">
        <v>15.305448999999999</v>
      </c>
      <c r="R21" s="249">
        <v>15.231005</v>
      </c>
      <c r="S21" s="249">
        <v>15.165613</v>
      </c>
      <c r="T21" s="249">
        <v>15.108777</v>
      </c>
      <c r="U21" s="249">
        <v>15.05687</v>
      </c>
      <c r="V21" s="249">
        <v>15.020941000000001</v>
      </c>
      <c r="W21" s="249">
        <v>15.002621</v>
      </c>
      <c r="X21" s="249">
        <v>14.971308000000001</v>
      </c>
      <c r="Y21" s="249">
        <v>14.947302000000001</v>
      </c>
      <c r="Z21" s="249">
        <v>14.940206</v>
      </c>
      <c r="AA21" s="249">
        <v>14.939088999999999</v>
      </c>
      <c r="AB21" s="249">
        <v>14.935063</v>
      </c>
      <c r="AC21" s="249">
        <v>14.942383</v>
      </c>
      <c r="AD21" s="249">
        <v>14.982934999999999</v>
      </c>
      <c r="AE21" s="249">
        <v>15.021611999999999</v>
      </c>
      <c r="AF21" s="249">
        <v>15.058424</v>
      </c>
      <c r="AG21" s="249">
        <v>15.105885000000001</v>
      </c>
      <c r="AH21" s="249">
        <v>15.176966</v>
      </c>
      <c r="AI21" s="249">
        <v>15.192781</v>
      </c>
      <c r="AJ21" s="249">
        <v>15.222968</v>
      </c>
      <c r="AK21" s="250">
        <v>0</v>
      </c>
    </row>
    <row r="23" spans="1:38">
      <c r="A23" s="6" t="s">
        <v>181</v>
      </c>
    </row>
    <row r="24" spans="1:38" s="252" customFormat="1">
      <c r="A24" s="251" t="s">
        <v>180</v>
      </c>
      <c r="B24" s="352">
        <v>1.7380001544952399</v>
      </c>
      <c r="C24" s="352">
        <v>1.7829999923706099</v>
      </c>
      <c r="D24" s="352">
        <v>1.82499992847443</v>
      </c>
      <c r="E24" s="352">
        <v>1.81299996376038</v>
      </c>
      <c r="F24" s="353">
        <v>1.86609554290771</v>
      </c>
      <c r="G24" s="299">
        <v>2.2160000000000002</v>
      </c>
      <c r="H24" s="299">
        <v>2.4</v>
      </c>
      <c r="I24" s="299">
        <v>2.4900000000000002</v>
      </c>
      <c r="J24" s="299">
        <v>2.5089999999999999</v>
      </c>
      <c r="K24" s="299">
        <v>2.5561180000000001</v>
      </c>
      <c r="L24" s="299">
        <v>2.6337290000000002</v>
      </c>
      <c r="M24" s="299">
        <v>2.6633930000000001</v>
      </c>
      <c r="N24" s="299">
        <v>2.6705079999999999</v>
      </c>
      <c r="O24" s="299">
        <v>2.669905</v>
      </c>
      <c r="P24" s="299">
        <v>2.6458759999999999</v>
      </c>
      <c r="Q24" s="299">
        <v>2.60798</v>
      </c>
      <c r="R24" s="299">
        <v>2.7045080000000001</v>
      </c>
      <c r="S24" s="299">
        <v>2.7930269999999999</v>
      </c>
      <c r="T24" s="299">
        <v>2.8390249999999999</v>
      </c>
      <c r="U24" s="299">
        <v>2.8728980000000002</v>
      </c>
      <c r="V24" s="299">
        <v>2.9033150000000001</v>
      </c>
      <c r="W24" s="299">
        <v>2.9228930000000002</v>
      </c>
      <c r="X24" s="299">
        <v>2.9406509999999999</v>
      </c>
      <c r="Y24" s="299">
        <v>2.9505080000000001</v>
      </c>
      <c r="Z24" s="299">
        <v>2.978853</v>
      </c>
      <c r="AA24" s="299">
        <v>3.0103460000000002</v>
      </c>
      <c r="AB24" s="299">
        <v>3.0288490000000001</v>
      </c>
      <c r="AC24" s="299">
        <v>3.0383969999999998</v>
      </c>
      <c r="AD24" s="299">
        <v>3.0546120000000001</v>
      </c>
      <c r="AE24" s="299">
        <v>3.0492400000000002</v>
      </c>
      <c r="AF24" s="299">
        <v>3.0289980000000001</v>
      </c>
      <c r="AG24" s="299">
        <v>3.058621</v>
      </c>
      <c r="AH24" s="299">
        <v>3.037477</v>
      </c>
      <c r="AI24" s="299">
        <v>3.013617</v>
      </c>
      <c r="AJ24" s="299">
        <v>2.983552</v>
      </c>
      <c r="AK24" s="300">
        <v>8.0000000000000002E-3</v>
      </c>
    </row>
    <row r="25" spans="1:38">
      <c r="A25" s="6" t="s">
        <v>179</v>
      </c>
      <c r="B25" s="352">
        <v>2.3140001296997101</v>
      </c>
      <c r="C25" s="352">
        <v>2.0869998931884801</v>
      </c>
      <c r="D25" s="352">
        <v>1.29999995231628</v>
      </c>
      <c r="E25" s="352">
        <v>1.3280000686645499</v>
      </c>
      <c r="F25" s="353">
        <v>1.6039888858795199</v>
      </c>
      <c r="G25" s="297">
        <v>-0.252</v>
      </c>
      <c r="H25" s="297">
        <v>-0.91600000000000004</v>
      </c>
      <c r="I25" s="297">
        <v>-0.98799999999999999</v>
      </c>
      <c r="J25" s="297">
        <v>-1.0289999999999999</v>
      </c>
      <c r="K25" s="297">
        <v>-0.96462499999999995</v>
      </c>
      <c r="L25" s="297">
        <v>-0.94448699999999997</v>
      </c>
      <c r="M25" s="297">
        <v>-0.93183700000000003</v>
      </c>
      <c r="N25" s="297">
        <v>-0.91123600000000005</v>
      </c>
      <c r="O25" s="297">
        <v>-0.88706300000000005</v>
      </c>
      <c r="P25" s="297">
        <v>-0.85573100000000002</v>
      </c>
      <c r="Q25" s="297">
        <v>-0.83163799999999999</v>
      </c>
      <c r="R25" s="297">
        <v>-0.89107099999999995</v>
      </c>
      <c r="S25" s="297">
        <v>-0.94251600000000002</v>
      </c>
      <c r="T25" s="297">
        <v>-0.97565599999999997</v>
      </c>
      <c r="U25" s="297">
        <v>-1.0068220000000001</v>
      </c>
      <c r="V25" s="297">
        <v>-1.068271</v>
      </c>
      <c r="W25" s="297">
        <v>-1.122708</v>
      </c>
      <c r="X25" s="297">
        <v>-1.1588719999999999</v>
      </c>
      <c r="Y25" s="297">
        <v>-1.2142729999999999</v>
      </c>
      <c r="Z25" s="297">
        <v>-1.293569</v>
      </c>
      <c r="AA25" s="297">
        <v>-1.3683129999999999</v>
      </c>
      <c r="AB25" s="297">
        <v>-1.4270320000000001</v>
      </c>
      <c r="AC25" s="297">
        <v>-1.482378</v>
      </c>
      <c r="AD25" s="297">
        <v>-1.563064</v>
      </c>
      <c r="AE25" s="297">
        <v>-1.613156</v>
      </c>
      <c r="AF25" s="297">
        <v>-1.650264</v>
      </c>
      <c r="AG25" s="297">
        <v>-1.716191</v>
      </c>
      <c r="AH25" s="297">
        <v>-1.7615620000000001</v>
      </c>
      <c r="AI25" s="297">
        <v>-1.7771790000000001</v>
      </c>
      <c r="AJ25" s="297">
        <v>-1.816797</v>
      </c>
      <c r="AK25" s="298">
        <v>2.5000000000000001E-2</v>
      </c>
    </row>
    <row r="26" spans="1:38">
      <c r="A26" s="6" t="s">
        <v>178</v>
      </c>
      <c r="B26" s="352">
        <v>2.1710000038146999</v>
      </c>
      <c r="C26" s="352">
        <v>1.93800008296967</v>
      </c>
      <c r="D26" s="352">
        <v>1.0240000486373899</v>
      </c>
      <c r="E26" s="352">
        <v>1.06200003623962</v>
      </c>
      <c r="F26" s="353">
        <v>1.54514491558075</v>
      </c>
      <c r="G26" s="297">
        <v>1.151</v>
      </c>
      <c r="H26" s="297">
        <v>0.84799999999999998</v>
      </c>
      <c r="I26" s="297">
        <v>0.70899999999999996</v>
      </c>
      <c r="J26" s="297">
        <v>0.72</v>
      </c>
      <c r="K26" s="297">
        <v>0.81863200000000003</v>
      </c>
      <c r="L26" s="297">
        <v>0.88173000000000001</v>
      </c>
      <c r="M26" s="297">
        <v>0.906914</v>
      </c>
      <c r="N26" s="297">
        <v>0.93180099999999999</v>
      </c>
      <c r="O26" s="297">
        <v>0.95816500000000004</v>
      </c>
      <c r="P26" s="297">
        <v>0.97589599999999999</v>
      </c>
      <c r="Q26" s="297">
        <v>0.98990599999999995</v>
      </c>
      <c r="R26" s="297">
        <v>1.006778</v>
      </c>
      <c r="S26" s="297">
        <v>1.0199199999999999</v>
      </c>
      <c r="T26" s="297">
        <v>1.03091</v>
      </c>
      <c r="U26" s="297">
        <v>1.05515</v>
      </c>
      <c r="V26" s="297">
        <v>1.0587679999999999</v>
      </c>
      <c r="W26" s="297">
        <v>1.0657570000000001</v>
      </c>
      <c r="X26" s="297">
        <v>1.0659179999999999</v>
      </c>
      <c r="Y26" s="297">
        <v>1.061431</v>
      </c>
      <c r="Z26" s="297">
        <v>1.0560160000000001</v>
      </c>
      <c r="AA26" s="297">
        <v>1.05697</v>
      </c>
      <c r="AB26" s="297">
        <v>1.0702149999999999</v>
      </c>
      <c r="AC26" s="297">
        <v>1.072165</v>
      </c>
      <c r="AD26" s="297">
        <v>1.0766100000000001</v>
      </c>
      <c r="AE26" s="297">
        <v>1.0822270000000001</v>
      </c>
      <c r="AF26" s="297">
        <v>1.093154</v>
      </c>
      <c r="AG26" s="297">
        <v>1.095712</v>
      </c>
      <c r="AH26" s="297">
        <v>1.0972550000000001</v>
      </c>
      <c r="AI26" s="297">
        <v>1.1087450000000001</v>
      </c>
      <c r="AJ26" s="297">
        <v>1.0974060000000001</v>
      </c>
      <c r="AK26" s="298">
        <v>8.9999999999999993E-3</v>
      </c>
    </row>
    <row r="27" spans="1:38">
      <c r="A27" s="6" t="s">
        <v>177</v>
      </c>
      <c r="B27" s="352">
        <v>0.68900001049041704</v>
      </c>
      <c r="C27" s="352">
        <v>0.71700000762939498</v>
      </c>
      <c r="D27" s="352">
        <v>0.60663330554962203</v>
      </c>
      <c r="E27" s="352">
        <v>0.60996818542480502</v>
      </c>
      <c r="F27" s="353">
        <v>0.60277581214904796</v>
      </c>
      <c r="G27" s="297">
        <v>0.68700000000000006</v>
      </c>
      <c r="H27" s="297">
        <v>0.60299999999999998</v>
      </c>
      <c r="I27" s="297">
        <v>0.58599999999999997</v>
      </c>
      <c r="J27" s="297">
        <v>0.54400000000000004</v>
      </c>
      <c r="K27" s="297">
        <v>0.540385</v>
      </c>
      <c r="L27" s="297">
        <v>0.53676900000000005</v>
      </c>
      <c r="M27" s="297">
        <v>0.53315299999999999</v>
      </c>
      <c r="N27" s="297">
        <v>0.52953899999999998</v>
      </c>
      <c r="O27" s="297">
        <v>0.52592300000000003</v>
      </c>
      <c r="P27" s="297">
        <v>0.52230699999999997</v>
      </c>
      <c r="Q27" s="297">
        <v>0.51869299999999996</v>
      </c>
      <c r="R27" s="297">
        <v>0.51507700000000001</v>
      </c>
      <c r="S27" s="297">
        <v>0.51146100000000005</v>
      </c>
      <c r="T27" s="297">
        <v>0.50784600000000002</v>
      </c>
      <c r="U27" s="297">
        <v>0.50423099999999998</v>
      </c>
      <c r="V27" s="297">
        <v>0.50061500000000003</v>
      </c>
      <c r="W27" s="297">
        <v>0.497</v>
      </c>
      <c r="X27" s="297">
        <v>0.49338500000000002</v>
      </c>
      <c r="Y27" s="297">
        <v>0.48976900000000001</v>
      </c>
      <c r="Z27" s="297">
        <v>0.48615399999999998</v>
      </c>
      <c r="AA27" s="297">
        <v>0.48253800000000002</v>
      </c>
      <c r="AB27" s="297">
        <v>0.47892299999999999</v>
      </c>
      <c r="AC27" s="297">
        <v>0.47530800000000001</v>
      </c>
      <c r="AD27" s="297">
        <v>0.471692</v>
      </c>
      <c r="AE27" s="297">
        <v>0.46807700000000002</v>
      </c>
      <c r="AF27" s="297">
        <v>0.46446199999999999</v>
      </c>
      <c r="AG27" s="297">
        <v>0.46084599999999998</v>
      </c>
      <c r="AH27" s="297">
        <v>0.45723000000000003</v>
      </c>
      <c r="AI27" s="297">
        <v>0.45361600000000002</v>
      </c>
      <c r="AJ27" s="297">
        <v>0.45</v>
      </c>
      <c r="AK27" s="298">
        <v>-0.01</v>
      </c>
    </row>
    <row r="28" spans="1:38">
      <c r="A28" s="6" t="s">
        <v>176</v>
      </c>
      <c r="B28" s="352">
        <v>0.67700004577636697</v>
      </c>
      <c r="C28" s="352">
        <v>0.75300002098083496</v>
      </c>
      <c r="D28" s="352">
        <v>0.73199999332428001</v>
      </c>
      <c r="E28" s="352">
        <v>0.71799999475479104</v>
      </c>
      <c r="F28" s="353">
        <v>0.62520116567611705</v>
      </c>
      <c r="G28" s="297">
        <v>0.71799999999999997</v>
      </c>
      <c r="H28" s="297">
        <v>0.61599999999999999</v>
      </c>
      <c r="I28" s="297">
        <v>0.61</v>
      </c>
      <c r="J28" s="297">
        <v>0.6</v>
      </c>
      <c r="K28" s="297">
        <v>0.67105999999999999</v>
      </c>
      <c r="L28" s="297">
        <v>0.66229499999999997</v>
      </c>
      <c r="M28" s="297">
        <v>0.65169100000000002</v>
      </c>
      <c r="N28" s="297">
        <v>0.64020900000000003</v>
      </c>
      <c r="O28" s="297">
        <v>0.62541100000000005</v>
      </c>
      <c r="P28" s="297">
        <v>0.61513700000000004</v>
      </c>
      <c r="Q28" s="297">
        <v>0.606742</v>
      </c>
      <c r="R28" s="297">
        <v>0.595522</v>
      </c>
      <c r="S28" s="297">
        <v>0.58620099999999997</v>
      </c>
      <c r="T28" s="297">
        <v>0.57591400000000004</v>
      </c>
      <c r="U28" s="297">
        <v>0.55055799999999999</v>
      </c>
      <c r="V28" s="297">
        <v>0.53803599999999996</v>
      </c>
      <c r="W28" s="297">
        <v>0.524864</v>
      </c>
      <c r="X28" s="297">
        <v>0.51505000000000001</v>
      </c>
      <c r="Y28" s="297">
        <v>0.50508799999999998</v>
      </c>
      <c r="Z28" s="297">
        <v>0.49612200000000001</v>
      </c>
      <c r="AA28" s="297">
        <v>0.48664200000000002</v>
      </c>
      <c r="AB28" s="297">
        <v>0.47747699999999998</v>
      </c>
      <c r="AC28" s="297">
        <v>0.46830300000000002</v>
      </c>
      <c r="AD28" s="297">
        <v>0.45679599999999998</v>
      </c>
      <c r="AE28" s="297">
        <v>0.44836500000000001</v>
      </c>
      <c r="AF28" s="297">
        <v>0.43787900000000002</v>
      </c>
      <c r="AG28" s="297">
        <v>0.42837799999999998</v>
      </c>
      <c r="AH28" s="297">
        <v>0.41841600000000001</v>
      </c>
      <c r="AI28" s="297">
        <v>0.40845399999999998</v>
      </c>
      <c r="AJ28" s="297">
        <v>0.39849099999999998</v>
      </c>
      <c r="AK28" s="298">
        <v>-1.4999999999999999E-2</v>
      </c>
    </row>
    <row r="29" spans="1:38">
      <c r="A29" s="6" t="s">
        <v>175</v>
      </c>
      <c r="B29" s="352">
        <v>1.2150000333786</v>
      </c>
      <c r="C29" s="352">
        <v>1.32100009918213</v>
      </c>
      <c r="D29" s="352">
        <v>1.2150000333786</v>
      </c>
      <c r="E29" s="352">
        <v>1.2150000333786</v>
      </c>
      <c r="F29" s="353">
        <v>1.16913342475891</v>
      </c>
      <c r="G29" s="297">
        <v>2.8079999999999998</v>
      </c>
      <c r="H29" s="297">
        <v>2.9830000000000001</v>
      </c>
      <c r="I29" s="297">
        <v>2.8929999999999998</v>
      </c>
      <c r="J29" s="297">
        <v>2.8929999999999998</v>
      </c>
      <c r="K29" s="297">
        <v>2.9947010000000001</v>
      </c>
      <c r="L29" s="297">
        <v>3.0252810000000001</v>
      </c>
      <c r="M29" s="297">
        <v>3.023596</v>
      </c>
      <c r="N29" s="297">
        <v>3.0127839999999999</v>
      </c>
      <c r="O29" s="297">
        <v>2.9965619999999999</v>
      </c>
      <c r="P29" s="297">
        <v>2.9690720000000002</v>
      </c>
      <c r="Q29" s="297">
        <v>2.9469789999999998</v>
      </c>
      <c r="R29" s="297">
        <v>3.0084490000000002</v>
      </c>
      <c r="S29" s="297">
        <v>3.0600990000000001</v>
      </c>
      <c r="T29" s="297">
        <v>3.090325</v>
      </c>
      <c r="U29" s="297">
        <v>3.1167609999999999</v>
      </c>
      <c r="V29" s="297">
        <v>3.1656900000000001</v>
      </c>
      <c r="W29" s="297">
        <v>3.2103290000000002</v>
      </c>
      <c r="X29" s="297">
        <v>3.2332260000000002</v>
      </c>
      <c r="Y29" s="297">
        <v>3.2705609999999998</v>
      </c>
      <c r="Z29" s="297">
        <v>3.331861</v>
      </c>
      <c r="AA29" s="297">
        <v>3.3944640000000001</v>
      </c>
      <c r="AB29" s="297">
        <v>3.4536470000000001</v>
      </c>
      <c r="AC29" s="297">
        <v>3.498154</v>
      </c>
      <c r="AD29" s="297">
        <v>3.5681620000000001</v>
      </c>
      <c r="AE29" s="297">
        <v>3.6118250000000001</v>
      </c>
      <c r="AF29" s="297">
        <v>3.6457579999999998</v>
      </c>
      <c r="AG29" s="297">
        <v>3.7011270000000001</v>
      </c>
      <c r="AH29" s="297">
        <v>3.7344629999999999</v>
      </c>
      <c r="AI29" s="297">
        <v>3.7479930000000001</v>
      </c>
      <c r="AJ29" s="297">
        <v>3.7626949999999999</v>
      </c>
      <c r="AK29" s="298">
        <v>8.0000000000000002E-3</v>
      </c>
    </row>
    <row r="30" spans="1:38">
      <c r="A30" s="6" t="s">
        <v>174</v>
      </c>
      <c r="B30" s="352">
        <v>0.99400001764297496</v>
      </c>
      <c r="C30" s="352">
        <v>0.99599999189376798</v>
      </c>
      <c r="D30" s="352">
        <v>0.99699997901916504</v>
      </c>
      <c r="E30" s="352">
        <v>0.97899997234344505</v>
      </c>
      <c r="F30" s="353">
        <v>0.97222220897674605</v>
      </c>
      <c r="G30" s="297">
        <v>1.0760000000000001</v>
      </c>
      <c r="H30" s="297">
        <v>1.077</v>
      </c>
      <c r="I30" s="297">
        <v>1.0620000000000001</v>
      </c>
      <c r="J30" s="297">
        <v>1.0549999999999999</v>
      </c>
      <c r="K30" s="297">
        <v>1.1173770000000001</v>
      </c>
      <c r="L30" s="297">
        <v>1.107977</v>
      </c>
      <c r="M30" s="297">
        <v>1.1068800000000001</v>
      </c>
      <c r="N30" s="297">
        <v>1.1013949999999999</v>
      </c>
      <c r="O30" s="297">
        <v>1.0899559999999999</v>
      </c>
      <c r="P30" s="297">
        <v>1.0810919999999999</v>
      </c>
      <c r="Q30" s="297">
        <v>1.070587</v>
      </c>
      <c r="R30" s="297">
        <v>1.0513539999999999</v>
      </c>
      <c r="S30" s="297">
        <v>1.032008</v>
      </c>
      <c r="T30" s="297">
        <v>1.0139609999999999</v>
      </c>
      <c r="U30" s="297">
        <v>0.99733000000000005</v>
      </c>
      <c r="V30" s="297">
        <v>0.98163100000000003</v>
      </c>
      <c r="W30" s="297">
        <v>0.97328499999999996</v>
      </c>
      <c r="X30" s="297">
        <v>0.96382100000000004</v>
      </c>
      <c r="Y30" s="297">
        <v>0.95674199999999998</v>
      </c>
      <c r="Z30" s="297">
        <v>0.95704199999999995</v>
      </c>
      <c r="AA30" s="297">
        <v>0.95328999999999997</v>
      </c>
      <c r="AB30" s="297">
        <v>0.95369499999999996</v>
      </c>
      <c r="AC30" s="297">
        <v>0.949291</v>
      </c>
      <c r="AD30" s="297">
        <v>0.94474999999999998</v>
      </c>
      <c r="AE30" s="297">
        <v>0.94433999999999996</v>
      </c>
      <c r="AF30" s="297">
        <v>0.94618999999999998</v>
      </c>
      <c r="AG30" s="297">
        <v>0.94669300000000001</v>
      </c>
      <c r="AH30" s="297">
        <v>0.95018899999999995</v>
      </c>
      <c r="AI30" s="297">
        <v>0.95436399999999999</v>
      </c>
      <c r="AJ30" s="297">
        <v>0.95464199999999999</v>
      </c>
      <c r="AK30" s="298">
        <v>-4.0000000000000001E-3</v>
      </c>
    </row>
    <row r="31" spans="1:38">
      <c r="A31" s="6" t="s">
        <v>701</v>
      </c>
      <c r="B31" s="352">
        <v>0.40835106372833302</v>
      </c>
      <c r="C31" s="352">
        <v>0.74303030967712402</v>
      </c>
      <c r="D31" s="352">
        <v>0.90019965171813998</v>
      </c>
      <c r="E31" s="352">
        <v>0.90936332941055298</v>
      </c>
      <c r="F31" s="353">
        <v>1.2169610261917101</v>
      </c>
      <c r="G31" s="297">
        <v>0.87458199999999997</v>
      </c>
      <c r="H31" s="297">
        <v>0.88629000000000002</v>
      </c>
      <c r="I31" s="297">
        <v>0.91131799999999996</v>
      </c>
      <c r="J31" s="297">
        <v>0.94543999999999995</v>
      </c>
      <c r="K31" s="297">
        <v>0.95931299999999997</v>
      </c>
      <c r="L31" s="297">
        <v>0.96406000000000003</v>
      </c>
      <c r="M31" s="297">
        <v>0.97751200000000005</v>
      </c>
      <c r="N31" s="297">
        <v>0.98974300000000004</v>
      </c>
      <c r="O31" s="297">
        <v>1.0016430000000001</v>
      </c>
      <c r="P31" s="297">
        <v>1.014486</v>
      </c>
      <c r="Q31" s="297">
        <v>1.026421</v>
      </c>
      <c r="R31" s="297">
        <v>1.04257</v>
      </c>
      <c r="S31" s="297">
        <v>1.0409060000000001</v>
      </c>
      <c r="T31" s="297">
        <v>1.042815</v>
      </c>
      <c r="U31" s="297">
        <v>1.0410189999999999</v>
      </c>
      <c r="V31" s="297">
        <v>1.0405869999999999</v>
      </c>
      <c r="W31" s="297">
        <v>1.0406690000000001</v>
      </c>
      <c r="X31" s="297">
        <v>1.0407820000000001</v>
      </c>
      <c r="Y31" s="297">
        <v>1.0402199999999999</v>
      </c>
      <c r="Z31" s="297">
        <v>1.0406690000000001</v>
      </c>
      <c r="AA31" s="297">
        <v>1.0418559999999999</v>
      </c>
      <c r="AB31" s="297">
        <v>1.0410980000000001</v>
      </c>
      <c r="AC31" s="297">
        <v>1.041115</v>
      </c>
      <c r="AD31" s="297">
        <v>1.0421020000000001</v>
      </c>
      <c r="AE31" s="297">
        <v>1.0415099999999999</v>
      </c>
      <c r="AF31" s="297">
        <v>1.039404</v>
      </c>
      <c r="AG31" s="297">
        <v>1.038624</v>
      </c>
      <c r="AH31" s="297">
        <v>1.041671</v>
      </c>
      <c r="AI31" s="297">
        <v>1.0532999999999999</v>
      </c>
      <c r="AJ31" s="297">
        <v>1.0676890000000001</v>
      </c>
      <c r="AK31" s="298">
        <v>7.0000000000000001E-3</v>
      </c>
    </row>
    <row r="32" spans="1:38" s="18" customFormat="1">
      <c r="A32" s="17" t="s">
        <v>173</v>
      </c>
      <c r="B32" s="354">
        <v>0.31900000572204601</v>
      </c>
      <c r="C32" s="354">
        <v>0.42500001192092901</v>
      </c>
      <c r="D32" s="354">
        <v>0.60299998521804798</v>
      </c>
      <c r="E32" s="354">
        <v>0.68500006198883101</v>
      </c>
      <c r="F32" s="355">
        <v>0.84147453308105502</v>
      </c>
      <c r="G32" s="297">
        <v>0.81834200000000001</v>
      </c>
      <c r="H32" s="297">
        <v>0.82725800000000005</v>
      </c>
      <c r="I32" s="297">
        <v>0.825187</v>
      </c>
      <c r="J32" s="297">
        <v>0.85004199999999996</v>
      </c>
      <c r="K32" s="297">
        <v>0.865282</v>
      </c>
      <c r="L32" s="297">
        <v>0.869251</v>
      </c>
      <c r="M32" s="297">
        <v>0.88145200000000001</v>
      </c>
      <c r="N32" s="297">
        <v>0.88586200000000004</v>
      </c>
      <c r="O32" s="297">
        <v>0.88890000000000002</v>
      </c>
      <c r="P32" s="297">
        <v>0.89585899999999996</v>
      </c>
      <c r="Q32" s="297">
        <v>0.89987200000000001</v>
      </c>
      <c r="R32" s="297">
        <v>0.91550900000000002</v>
      </c>
      <c r="S32" s="297">
        <v>0.91492399999999996</v>
      </c>
      <c r="T32" s="297">
        <v>0.91555299999999995</v>
      </c>
      <c r="U32" s="297">
        <v>0.91523600000000005</v>
      </c>
      <c r="V32" s="297">
        <v>0.91508800000000001</v>
      </c>
      <c r="W32" s="297">
        <v>0.91518600000000006</v>
      </c>
      <c r="X32" s="297">
        <v>0.91533399999999998</v>
      </c>
      <c r="Y32" s="297">
        <v>0.91476000000000002</v>
      </c>
      <c r="Z32" s="297">
        <v>0.91483099999999995</v>
      </c>
      <c r="AA32" s="297">
        <v>0.91463499999999998</v>
      </c>
      <c r="AB32" s="297">
        <v>0.91389500000000001</v>
      </c>
      <c r="AC32" s="297">
        <v>0.91388999999999998</v>
      </c>
      <c r="AD32" s="297">
        <v>0.91484699999999997</v>
      </c>
      <c r="AE32" s="297">
        <v>0.91425800000000002</v>
      </c>
      <c r="AF32" s="297">
        <v>0.91217999999999999</v>
      </c>
      <c r="AG32" s="297">
        <v>0.91165499999999999</v>
      </c>
      <c r="AH32" s="297">
        <v>0.91445399999999999</v>
      </c>
      <c r="AI32" s="297">
        <v>0.92887299999999995</v>
      </c>
      <c r="AJ32" s="297">
        <v>0.94600499999999998</v>
      </c>
      <c r="AK32" s="298">
        <v>5.0000000000000001E-3</v>
      </c>
      <c r="AL32" s="51">
        <f>C32*(1+AK32)^23</f>
        <v>0.4766596202229666</v>
      </c>
    </row>
    <row r="33" spans="1:38" s="18" customFormat="1">
      <c r="A33" s="17" t="s">
        <v>171</v>
      </c>
      <c r="B33" s="354">
        <v>0.273288995027542</v>
      </c>
      <c r="C33" s="354">
        <v>0.40336400270461997</v>
      </c>
      <c r="D33" s="354">
        <v>0.58252400159835804</v>
      </c>
      <c r="E33" s="354">
        <v>0.68972003459930398</v>
      </c>
      <c r="F33" s="355">
        <v>0.84179353713989302</v>
      </c>
      <c r="G33" s="297">
        <v>0.88597599999999999</v>
      </c>
      <c r="H33" s="297">
        <v>0.84365599999999996</v>
      </c>
      <c r="I33" s="297">
        <v>0.83595299999999995</v>
      </c>
      <c r="J33" s="297">
        <v>0.86998399999999998</v>
      </c>
      <c r="K33" s="297">
        <v>0.82013999999999998</v>
      </c>
      <c r="L33" s="297">
        <v>0.82233599999999996</v>
      </c>
      <c r="M33" s="297">
        <v>0.83316999999999997</v>
      </c>
      <c r="N33" s="297">
        <v>0.834866</v>
      </c>
      <c r="O33" s="297">
        <v>0.83494199999999996</v>
      </c>
      <c r="P33" s="297">
        <v>0.84040599999999999</v>
      </c>
      <c r="Q33" s="297">
        <v>0.83868500000000001</v>
      </c>
      <c r="R33" s="297">
        <v>0.84875</v>
      </c>
      <c r="S33" s="297">
        <v>0.85439200000000004</v>
      </c>
      <c r="T33" s="297">
        <v>0.85437700000000005</v>
      </c>
      <c r="U33" s="297">
        <v>0.85438800000000004</v>
      </c>
      <c r="V33" s="297">
        <v>0.85439200000000004</v>
      </c>
      <c r="W33" s="297">
        <v>0.85523000000000005</v>
      </c>
      <c r="X33" s="297">
        <v>0.85584700000000002</v>
      </c>
      <c r="Y33" s="297">
        <v>0.85583500000000001</v>
      </c>
      <c r="Z33" s="297">
        <v>0.85584700000000002</v>
      </c>
      <c r="AA33" s="297">
        <v>0.85584700000000002</v>
      </c>
      <c r="AB33" s="297">
        <v>0.85583500000000001</v>
      </c>
      <c r="AC33" s="297">
        <v>0.85583500000000001</v>
      </c>
      <c r="AD33" s="297">
        <v>0.85583500000000001</v>
      </c>
      <c r="AE33" s="297">
        <v>0.85358400000000001</v>
      </c>
      <c r="AF33" s="297">
        <v>0.84983299999999995</v>
      </c>
      <c r="AG33" s="297">
        <v>0.84757499999999997</v>
      </c>
      <c r="AH33" s="297">
        <v>0.84855400000000003</v>
      </c>
      <c r="AI33" s="297">
        <v>0.85902400000000001</v>
      </c>
      <c r="AJ33" s="297">
        <v>0.86278500000000002</v>
      </c>
      <c r="AK33" s="298">
        <v>1E-3</v>
      </c>
      <c r="AL33" s="51" t="s">
        <v>0</v>
      </c>
    </row>
    <row r="34" spans="1:38">
      <c r="A34" s="6" t="s">
        <v>170</v>
      </c>
      <c r="B34" s="352">
        <v>4.5710995793342597E-2</v>
      </c>
      <c r="C34" s="352">
        <v>2.1635998040437698E-2</v>
      </c>
      <c r="D34" s="352">
        <v>2.0475998520851101E-2</v>
      </c>
      <c r="E34" s="352">
        <v>-4.7199996188283001E-3</v>
      </c>
      <c r="F34" s="353">
        <v>-3.1897879671305402E-4</v>
      </c>
      <c r="G34" s="297">
        <v>-6.6753999999999994E-2</v>
      </c>
      <c r="H34" s="297">
        <v>-1.6397999999999999E-2</v>
      </c>
      <c r="I34" s="297">
        <v>-1.0766E-2</v>
      </c>
      <c r="J34" s="297">
        <v>-1.9942000000000001E-2</v>
      </c>
      <c r="K34" s="297">
        <v>4.5142000000000002E-2</v>
      </c>
      <c r="L34" s="297">
        <v>4.6915999999999999E-2</v>
      </c>
      <c r="M34" s="297">
        <v>4.8281999999999999E-2</v>
      </c>
      <c r="N34" s="297">
        <v>5.0996E-2</v>
      </c>
      <c r="O34" s="297">
        <v>5.3957999999999999E-2</v>
      </c>
      <c r="P34" s="297">
        <v>5.5452000000000001E-2</v>
      </c>
      <c r="Q34" s="297">
        <v>6.1186999999999998E-2</v>
      </c>
      <c r="R34" s="297">
        <v>6.6758999999999999E-2</v>
      </c>
      <c r="S34" s="297">
        <v>6.0532000000000002E-2</v>
      </c>
      <c r="T34" s="297">
        <v>6.1176000000000001E-2</v>
      </c>
      <c r="U34" s="297">
        <v>6.0847999999999999E-2</v>
      </c>
      <c r="V34" s="297">
        <v>6.0696E-2</v>
      </c>
      <c r="W34" s="297">
        <v>5.9957000000000003E-2</v>
      </c>
      <c r="X34" s="297">
        <v>5.9486999999999998E-2</v>
      </c>
      <c r="Y34" s="297">
        <v>5.8924999999999998E-2</v>
      </c>
      <c r="Z34" s="297">
        <v>5.8984000000000002E-2</v>
      </c>
      <c r="AA34" s="297">
        <v>5.8788E-2</v>
      </c>
      <c r="AB34" s="297">
        <v>5.806E-2</v>
      </c>
      <c r="AC34" s="297">
        <v>5.8056000000000003E-2</v>
      </c>
      <c r="AD34" s="297">
        <v>5.9012000000000002E-2</v>
      </c>
      <c r="AE34" s="297">
        <v>6.0673999999999999E-2</v>
      </c>
      <c r="AF34" s="297">
        <v>6.2348000000000001E-2</v>
      </c>
      <c r="AG34" s="297">
        <v>6.4079999999999998E-2</v>
      </c>
      <c r="AH34" s="297">
        <v>6.59E-2</v>
      </c>
      <c r="AI34" s="297">
        <v>6.9848999999999994E-2</v>
      </c>
      <c r="AJ34" s="297">
        <v>8.3220000000000002E-2</v>
      </c>
      <c r="AK34" s="297" t="s">
        <v>41</v>
      </c>
    </row>
    <row r="35" spans="1:38" s="18" customFormat="1">
      <c r="A35" s="17" t="s">
        <v>172</v>
      </c>
      <c r="B35" s="354">
        <v>1.6338998451829002E-2</v>
      </c>
      <c r="C35" s="354">
        <v>3.2029997557401699E-2</v>
      </c>
      <c r="D35" s="354">
        <v>5.1199223846197101E-2</v>
      </c>
      <c r="E35" s="354">
        <v>6.0358572751283597E-2</v>
      </c>
      <c r="F35" s="355">
        <v>6.3932694494724301E-2</v>
      </c>
      <c r="G35" s="297">
        <v>5.6239999999999998E-2</v>
      </c>
      <c r="H35" s="297">
        <v>5.9032000000000001E-2</v>
      </c>
      <c r="I35" s="297">
        <v>8.6099999999999996E-2</v>
      </c>
      <c r="J35" s="297">
        <v>9.0199000000000001E-2</v>
      </c>
      <c r="K35" s="297">
        <v>9.0070999999999998E-2</v>
      </c>
      <c r="L35" s="297">
        <v>8.6830000000000004E-2</v>
      </c>
      <c r="M35" s="297">
        <v>8.6858000000000005E-2</v>
      </c>
      <c r="N35" s="297">
        <v>8.5750999999999994E-2</v>
      </c>
      <c r="O35" s="297">
        <v>8.7317000000000006E-2</v>
      </c>
      <c r="P35" s="297">
        <v>8.8449E-2</v>
      </c>
      <c r="Q35" s="297">
        <v>8.8486999999999996E-2</v>
      </c>
      <c r="R35" s="297">
        <v>8.8999999999999996E-2</v>
      </c>
      <c r="S35" s="297">
        <v>8.8025000000000006E-2</v>
      </c>
      <c r="T35" s="297">
        <v>8.9304999999999995E-2</v>
      </c>
      <c r="U35" s="297">
        <v>8.7721999999999994E-2</v>
      </c>
      <c r="V35" s="297">
        <v>8.7541999999999995E-2</v>
      </c>
      <c r="W35" s="297">
        <v>8.7525000000000006E-2</v>
      </c>
      <c r="X35" s="297">
        <v>8.7489999999999998E-2</v>
      </c>
      <c r="Y35" s="297">
        <v>8.7501999999999996E-2</v>
      </c>
      <c r="Z35" s="297">
        <v>8.788E-2</v>
      </c>
      <c r="AA35" s="297">
        <v>8.9262999999999995E-2</v>
      </c>
      <c r="AB35" s="297">
        <v>8.9245000000000005E-2</v>
      </c>
      <c r="AC35" s="297">
        <v>8.9370000000000005E-2</v>
      </c>
      <c r="AD35" s="297">
        <v>8.9401999999999995E-2</v>
      </c>
      <c r="AE35" s="297">
        <v>8.9397000000000004E-2</v>
      </c>
      <c r="AF35" s="297">
        <v>8.9370000000000005E-2</v>
      </c>
      <c r="AG35" s="297">
        <v>8.9115E-2</v>
      </c>
      <c r="AH35" s="297">
        <v>8.9362999999999998E-2</v>
      </c>
      <c r="AI35" s="297">
        <v>8.9108000000000007E-2</v>
      </c>
      <c r="AJ35" s="297">
        <v>8.9448E-2</v>
      </c>
      <c r="AK35" s="297" t="s">
        <v>41</v>
      </c>
    </row>
    <row r="36" spans="1:38" s="18" customFormat="1">
      <c r="A36" s="17" t="s">
        <v>171</v>
      </c>
      <c r="B36" s="354">
        <v>1.6338998451829002E-2</v>
      </c>
      <c r="C36" s="354">
        <v>3.2029997557401699E-2</v>
      </c>
      <c r="D36" s="354">
        <v>5.1199223846197101E-2</v>
      </c>
      <c r="E36" s="354">
        <v>6.0358572751283597E-2</v>
      </c>
      <c r="F36" s="355">
        <v>6.3932694494724301E-2</v>
      </c>
      <c r="G36" s="297">
        <v>6.3100000000000003E-2</v>
      </c>
      <c r="H36" s="297">
        <v>6.3100000000000003E-2</v>
      </c>
      <c r="I36" s="297">
        <v>8.1100000000000005E-2</v>
      </c>
      <c r="J36" s="297">
        <v>8.7099999999999997E-2</v>
      </c>
      <c r="K36" s="297">
        <v>7.9580999999999999E-2</v>
      </c>
      <c r="L36" s="297">
        <v>7.6044E-2</v>
      </c>
      <c r="M36" s="297">
        <v>7.5939000000000006E-2</v>
      </c>
      <c r="N36" s="297">
        <v>7.4647000000000005E-2</v>
      </c>
      <c r="O36" s="297">
        <v>7.6071E-2</v>
      </c>
      <c r="P36" s="297">
        <v>7.6998999999999998E-2</v>
      </c>
      <c r="Q36" s="297">
        <v>7.6729000000000006E-2</v>
      </c>
      <c r="R36" s="297">
        <v>7.7030000000000001E-2</v>
      </c>
      <c r="S36" s="297">
        <v>7.5851000000000002E-2</v>
      </c>
      <c r="T36" s="297">
        <v>7.7146000000000006E-2</v>
      </c>
      <c r="U36" s="297">
        <v>7.5544E-2</v>
      </c>
      <c r="V36" s="297">
        <v>7.5385999999999995E-2</v>
      </c>
      <c r="W36" s="297">
        <v>7.5385999999999995E-2</v>
      </c>
      <c r="X36" s="297">
        <v>7.5385999999999995E-2</v>
      </c>
      <c r="Y36" s="297">
        <v>7.5385999999999995E-2</v>
      </c>
      <c r="Z36" s="297">
        <v>7.5749999999999998E-2</v>
      </c>
      <c r="AA36" s="297">
        <v>7.7146000000000006E-2</v>
      </c>
      <c r="AB36" s="297">
        <v>7.7146000000000006E-2</v>
      </c>
      <c r="AC36" s="297">
        <v>7.7260999999999996E-2</v>
      </c>
      <c r="AD36" s="297">
        <v>7.7260999999999996E-2</v>
      </c>
      <c r="AE36" s="297">
        <v>7.7260999999999996E-2</v>
      </c>
      <c r="AF36" s="297">
        <v>7.7260999999999996E-2</v>
      </c>
      <c r="AG36" s="297">
        <v>7.7010999999999996E-2</v>
      </c>
      <c r="AH36" s="297">
        <v>7.7260999999999996E-2</v>
      </c>
      <c r="AI36" s="297">
        <v>7.7010999999999996E-2</v>
      </c>
      <c r="AJ36" s="297">
        <v>7.7376E-2</v>
      </c>
      <c r="AK36" s="298">
        <v>7.0000000000000001E-3</v>
      </c>
    </row>
    <row r="37" spans="1:38">
      <c r="A37" s="6" t="s">
        <v>170</v>
      </c>
      <c r="B37" s="352">
        <v>0</v>
      </c>
      <c r="C37" s="352">
        <v>0</v>
      </c>
      <c r="D37" s="352">
        <v>0</v>
      </c>
      <c r="E37" s="352">
        <v>0</v>
      </c>
      <c r="F37" s="353">
        <v>0</v>
      </c>
      <c r="G37" s="297">
        <v>-3.4629999999999999E-3</v>
      </c>
      <c r="H37" s="297">
        <v>-4.0679999999999996E-3</v>
      </c>
      <c r="I37" s="297">
        <v>5.0000000000000001E-3</v>
      </c>
      <c r="J37" s="297">
        <v>3.0990000000000002E-3</v>
      </c>
      <c r="K37" s="297">
        <v>1.0489999999999999E-2</v>
      </c>
      <c r="L37" s="297">
        <v>1.0786E-2</v>
      </c>
      <c r="M37" s="297">
        <v>1.0919E-2</v>
      </c>
      <c r="N37" s="297">
        <v>1.1103999999999999E-2</v>
      </c>
      <c r="O37" s="297">
        <v>1.1247E-2</v>
      </c>
      <c r="P37" s="297">
        <v>1.145E-2</v>
      </c>
      <c r="Q37" s="297">
        <v>1.1757999999999999E-2</v>
      </c>
      <c r="R37" s="297">
        <v>1.197E-2</v>
      </c>
      <c r="S37" s="297">
        <v>1.2174000000000001E-2</v>
      </c>
      <c r="T37" s="297">
        <v>1.2159E-2</v>
      </c>
      <c r="U37" s="297">
        <v>1.2178E-2</v>
      </c>
      <c r="V37" s="297">
        <v>1.2154999999999999E-2</v>
      </c>
      <c r="W37" s="297">
        <v>1.2139E-2</v>
      </c>
      <c r="X37" s="297">
        <v>1.2104E-2</v>
      </c>
      <c r="Y37" s="297">
        <v>1.2116E-2</v>
      </c>
      <c r="Z37" s="297">
        <v>1.2130999999999999E-2</v>
      </c>
      <c r="AA37" s="297">
        <v>1.2118E-2</v>
      </c>
      <c r="AB37" s="297">
        <v>1.21E-2</v>
      </c>
      <c r="AC37" s="297">
        <v>1.2109999999999999E-2</v>
      </c>
      <c r="AD37" s="297">
        <v>1.2141000000000001E-2</v>
      </c>
      <c r="AE37" s="297">
        <v>1.2137E-2</v>
      </c>
      <c r="AF37" s="297">
        <v>1.2109E-2</v>
      </c>
      <c r="AG37" s="297">
        <v>1.2102999999999999E-2</v>
      </c>
      <c r="AH37" s="297">
        <v>1.2102E-2</v>
      </c>
      <c r="AI37" s="297">
        <v>1.2096000000000001E-2</v>
      </c>
      <c r="AJ37" s="297">
        <v>1.2071999999999999E-2</v>
      </c>
      <c r="AK37" s="297" t="s">
        <v>41</v>
      </c>
    </row>
    <row r="38" spans="1:38">
      <c r="A38" s="6" t="s">
        <v>169</v>
      </c>
      <c r="B38" s="352">
        <v>0</v>
      </c>
      <c r="C38" s="352">
        <v>0</v>
      </c>
      <c r="D38" s="352">
        <v>0</v>
      </c>
      <c r="E38" s="352">
        <v>0</v>
      </c>
      <c r="F38" s="353">
        <v>0</v>
      </c>
      <c r="G38" s="297">
        <v>2.2160000000000002</v>
      </c>
      <c r="H38" s="297">
        <v>2.4</v>
      </c>
      <c r="I38" s="297">
        <v>2.4900000000000002</v>
      </c>
      <c r="J38" s="297">
        <v>2.5089999999999999</v>
      </c>
      <c r="K38" s="297">
        <v>2.5561180000000001</v>
      </c>
      <c r="L38" s="297">
        <v>2.6337290000000002</v>
      </c>
      <c r="M38" s="297">
        <v>2.6633930000000001</v>
      </c>
      <c r="N38" s="297">
        <v>2.6705079999999999</v>
      </c>
      <c r="O38" s="297">
        <v>2.669905</v>
      </c>
      <c r="P38" s="297">
        <v>2.6458759999999999</v>
      </c>
      <c r="Q38" s="297">
        <v>2.60798</v>
      </c>
      <c r="R38" s="297">
        <v>2.7045080000000001</v>
      </c>
      <c r="S38" s="297">
        <v>2.7930269999999999</v>
      </c>
      <c r="T38" s="297">
        <v>2.8390249999999999</v>
      </c>
      <c r="U38" s="297">
        <v>2.8728980000000002</v>
      </c>
      <c r="V38" s="297">
        <v>2.9033150000000001</v>
      </c>
      <c r="W38" s="297">
        <v>2.9228930000000002</v>
      </c>
      <c r="X38" s="297">
        <v>2.9406509999999999</v>
      </c>
      <c r="Y38" s="297">
        <v>2.9505080000000001</v>
      </c>
      <c r="Z38" s="297">
        <v>2.978853</v>
      </c>
      <c r="AA38" s="297">
        <v>3.0103460000000002</v>
      </c>
      <c r="AB38" s="297">
        <v>3.0288490000000001</v>
      </c>
      <c r="AC38" s="297">
        <v>3.0383969999999998</v>
      </c>
      <c r="AD38" s="297">
        <v>3.0546120000000001</v>
      </c>
      <c r="AE38" s="297">
        <v>3.0492400000000002</v>
      </c>
      <c r="AF38" s="297">
        <v>3.0289980000000001</v>
      </c>
      <c r="AG38" s="297">
        <v>3.058621</v>
      </c>
      <c r="AH38" s="297">
        <v>3.037477</v>
      </c>
      <c r="AI38" s="297">
        <v>3.013617</v>
      </c>
      <c r="AJ38" s="297">
        <v>2.983552</v>
      </c>
      <c r="AK38" s="298">
        <v>8.0000000000000002E-3</v>
      </c>
    </row>
    <row r="39" spans="1:38">
      <c r="A39" s="6" t="s">
        <v>168</v>
      </c>
      <c r="B39" s="352">
        <v>0</v>
      </c>
      <c r="C39" s="352">
        <v>0</v>
      </c>
      <c r="D39" s="352">
        <v>0</v>
      </c>
      <c r="E39" s="352">
        <v>0</v>
      </c>
      <c r="F39" s="353">
        <v>0</v>
      </c>
      <c r="G39" s="297">
        <v>0</v>
      </c>
      <c r="H39" s="297">
        <v>0</v>
      </c>
      <c r="I39" s="297">
        <v>0</v>
      </c>
      <c r="J39" s="297">
        <v>0</v>
      </c>
      <c r="K39" s="297">
        <v>0</v>
      </c>
      <c r="L39" s="297">
        <v>0</v>
      </c>
      <c r="M39" s="297">
        <v>0</v>
      </c>
      <c r="N39" s="297">
        <v>0</v>
      </c>
      <c r="O39" s="297">
        <v>0</v>
      </c>
      <c r="P39" s="297">
        <v>0</v>
      </c>
      <c r="Q39" s="297">
        <v>0</v>
      </c>
      <c r="R39" s="297">
        <v>0</v>
      </c>
      <c r="S39" s="297">
        <v>0</v>
      </c>
      <c r="T39" s="297">
        <v>0</v>
      </c>
      <c r="U39" s="297">
        <v>0</v>
      </c>
      <c r="V39" s="297">
        <v>0</v>
      </c>
      <c r="W39" s="297">
        <v>0</v>
      </c>
      <c r="X39" s="297">
        <v>0</v>
      </c>
      <c r="Y39" s="297">
        <v>0</v>
      </c>
      <c r="Z39" s="297">
        <v>0</v>
      </c>
      <c r="AA39" s="297">
        <v>0</v>
      </c>
      <c r="AB39" s="297">
        <v>0</v>
      </c>
      <c r="AC39" s="297">
        <v>0</v>
      </c>
      <c r="AD39" s="297">
        <v>0</v>
      </c>
      <c r="AE39" s="297">
        <v>0</v>
      </c>
      <c r="AF39" s="297">
        <v>0</v>
      </c>
      <c r="AG39" s="297">
        <v>0</v>
      </c>
      <c r="AH39" s="297">
        <v>0</v>
      </c>
      <c r="AI39" s="297">
        <v>0</v>
      </c>
      <c r="AJ39" s="297">
        <v>0</v>
      </c>
      <c r="AK39" s="297" t="s">
        <v>41</v>
      </c>
    </row>
    <row r="40" spans="1:38" s="271" customFormat="1">
      <c r="A40" s="270" t="s">
        <v>167</v>
      </c>
      <c r="B40" s="354">
        <v>0</v>
      </c>
      <c r="C40" s="354">
        <v>0</v>
      </c>
      <c r="D40" s="354">
        <v>0</v>
      </c>
      <c r="E40" s="354">
        <v>0</v>
      </c>
      <c r="F40" s="355">
        <v>0</v>
      </c>
      <c r="G40" s="305">
        <v>0</v>
      </c>
      <c r="H40" s="305">
        <v>3.4809526987373799E-3</v>
      </c>
      <c r="I40" s="305">
        <v>5.2319555543363103E-3</v>
      </c>
      <c r="J40" s="305">
        <v>7.8436248004436493E-3</v>
      </c>
      <c r="K40" s="305">
        <v>1.17142805829644E-2</v>
      </c>
      <c r="L40" s="305">
        <v>1.7396988347172699E-2</v>
      </c>
      <c r="M40" s="305">
        <v>2.5625614449381801E-2</v>
      </c>
      <c r="N40" s="305">
        <v>3.7305567413568497E-2</v>
      </c>
      <c r="O40" s="305">
        <v>5.34236840903759E-2</v>
      </c>
      <c r="P40" s="305">
        <v>7.4822284281253801E-2</v>
      </c>
      <c r="Q40" s="305">
        <v>0.10181753337383299</v>
      </c>
      <c r="R40" s="305">
        <v>0.133762747049332</v>
      </c>
      <c r="S40" s="305">
        <v>0.16882437467575101</v>
      </c>
      <c r="T40" s="305">
        <v>0.204265296459198</v>
      </c>
      <c r="U40" s="305">
        <v>0.237230360507965</v>
      </c>
      <c r="V40" s="305">
        <v>0.26560345292091397</v>
      </c>
      <c r="W40" s="305">
        <v>0.28843852877616899</v>
      </c>
      <c r="X40" s="305">
        <v>0.30584391951561002</v>
      </c>
      <c r="Y40" s="305">
        <v>0.31856861710548401</v>
      </c>
      <c r="Z40" s="305">
        <v>0.32759037613868702</v>
      </c>
      <c r="AA40" s="305"/>
      <c r="AB40" s="305"/>
      <c r="AC40" s="305"/>
      <c r="AD40" s="305"/>
      <c r="AE40" s="305"/>
      <c r="AF40" s="305"/>
      <c r="AG40" s="305"/>
      <c r="AH40" s="305"/>
      <c r="AI40" s="305"/>
      <c r="AJ40" s="305"/>
      <c r="AK40" s="306" t="s">
        <v>41</v>
      </c>
    </row>
    <row r="41" spans="1:38">
      <c r="A41" s="6" t="s">
        <v>702</v>
      </c>
      <c r="B41" s="352">
        <v>7.3012053966522203E-2</v>
      </c>
      <c r="C41" s="352">
        <v>0.28600034117698703</v>
      </c>
      <c r="D41" s="352">
        <v>0.24600045382976499</v>
      </c>
      <c r="E41" s="352">
        <v>0.16400466859340701</v>
      </c>
      <c r="F41" s="353">
        <v>0.31155380606651301</v>
      </c>
      <c r="G41" s="297">
        <v>0.182</v>
      </c>
      <c r="H41" s="297">
        <v>0.191</v>
      </c>
      <c r="I41" s="297">
        <v>0.193</v>
      </c>
      <c r="J41" s="297">
        <v>0.193</v>
      </c>
      <c r="K41" s="297">
        <v>0.28578500000000001</v>
      </c>
      <c r="L41" s="297">
        <v>0.28816599999999998</v>
      </c>
      <c r="M41" s="297">
        <v>0.290412</v>
      </c>
      <c r="N41" s="297">
        <v>0.29299799999999998</v>
      </c>
      <c r="O41" s="297">
        <v>0.293852</v>
      </c>
      <c r="P41" s="297">
        <v>0.29503000000000001</v>
      </c>
      <c r="Q41" s="297">
        <v>0.298292</v>
      </c>
      <c r="R41" s="297">
        <v>0.29944399999999999</v>
      </c>
      <c r="S41" s="297">
        <v>0.29972700000000002</v>
      </c>
      <c r="T41" s="297">
        <v>0.301095</v>
      </c>
      <c r="U41" s="297">
        <v>0.30102299999999999</v>
      </c>
      <c r="V41" s="297">
        <v>0.30064000000000002</v>
      </c>
      <c r="W41" s="297">
        <v>0.30251600000000001</v>
      </c>
      <c r="X41" s="297">
        <v>0.30219699999999999</v>
      </c>
      <c r="Y41" s="297">
        <v>0.30013899999999999</v>
      </c>
      <c r="Z41" s="297">
        <v>0.30297200000000002</v>
      </c>
      <c r="AA41" s="297">
        <v>0.30451</v>
      </c>
      <c r="AB41" s="297">
        <v>0.306419</v>
      </c>
      <c r="AC41" s="297">
        <v>0.30664000000000002</v>
      </c>
      <c r="AD41" s="297">
        <v>0.30698399999999998</v>
      </c>
      <c r="AE41" s="297">
        <v>0.308342</v>
      </c>
      <c r="AF41" s="297">
        <v>0.30915900000000002</v>
      </c>
      <c r="AG41" s="297">
        <v>0.30972699999999997</v>
      </c>
      <c r="AH41" s="297">
        <v>0.31073899999999999</v>
      </c>
      <c r="AI41" s="297">
        <v>0.31163999999999997</v>
      </c>
      <c r="AJ41" s="297">
        <v>0.31290899999999999</v>
      </c>
      <c r="AK41" s="298">
        <v>1.7999999999999999E-2</v>
      </c>
    </row>
    <row r="42" spans="1:38">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row>
    <row r="43" spans="1:38" s="18" customFormat="1">
      <c r="A43" s="17" t="s">
        <v>703</v>
      </c>
      <c r="B43" s="354">
        <v>20.697353363037099</v>
      </c>
      <c r="C43" s="354">
        <v>20.768030166626001</v>
      </c>
      <c r="D43" s="354">
        <v>19.647199630737301</v>
      </c>
      <c r="E43" s="354">
        <v>19.421310424804702</v>
      </c>
      <c r="F43" s="355">
        <v>19.587932586669901</v>
      </c>
      <c r="G43" s="249">
        <v>18.938583000000001</v>
      </c>
      <c r="H43" s="249">
        <v>18.592289000000001</v>
      </c>
      <c r="I43" s="249">
        <v>18.985319</v>
      </c>
      <c r="J43" s="249">
        <v>18.815241</v>
      </c>
      <c r="K43" s="249">
        <v>19.157446</v>
      </c>
      <c r="L43" s="249">
        <v>19.35895</v>
      </c>
      <c r="M43" s="249">
        <v>19.477530000000002</v>
      </c>
      <c r="N43" s="249">
        <v>19.527609000000002</v>
      </c>
      <c r="O43" s="249">
        <v>19.535461000000002</v>
      </c>
      <c r="P43" s="249">
        <v>19.520367</v>
      </c>
      <c r="Q43" s="249">
        <v>19.477088999999999</v>
      </c>
      <c r="R43" s="249">
        <v>19.437809000000001</v>
      </c>
      <c r="S43" s="249">
        <v>19.388767000000001</v>
      </c>
      <c r="T43" s="249">
        <v>19.330017000000002</v>
      </c>
      <c r="U43" s="249">
        <v>19.262318</v>
      </c>
      <c r="V43" s="249">
        <v>19.178843000000001</v>
      </c>
      <c r="W43" s="249">
        <v>19.119274000000001</v>
      </c>
      <c r="X43" s="249">
        <v>19.059887</v>
      </c>
      <c r="Y43" s="249">
        <v>18.980637000000002</v>
      </c>
      <c r="Z43" s="249">
        <v>18.926172000000001</v>
      </c>
      <c r="AA43" s="249">
        <v>18.880776999999998</v>
      </c>
      <c r="AB43" s="249">
        <v>18.838093000000001</v>
      </c>
      <c r="AC43" s="249">
        <v>18.795445999999998</v>
      </c>
      <c r="AD43" s="249">
        <v>18.768318000000001</v>
      </c>
      <c r="AE43" s="249">
        <v>18.751888000000001</v>
      </c>
      <c r="AF43" s="249">
        <v>18.731911</v>
      </c>
      <c r="AG43" s="249">
        <v>18.743359000000002</v>
      </c>
      <c r="AH43" s="249">
        <v>18.755479999999999</v>
      </c>
      <c r="AI43" s="249">
        <v>18.748524</v>
      </c>
      <c r="AJ43" s="249">
        <v>18.724962000000001</v>
      </c>
      <c r="AK43" s="250">
        <v>0</v>
      </c>
    </row>
    <row r="44" spans="1:38" s="260" customFormat="1">
      <c r="A44" s="259" t="s">
        <v>202</v>
      </c>
      <c r="B44" s="356">
        <f t="shared" ref="B44:H44" si="0">B43*365</f>
        <v>7554.5339775085413</v>
      </c>
      <c r="C44" s="356">
        <f t="shared" si="0"/>
        <v>7580.3310108184905</v>
      </c>
      <c r="D44" s="356">
        <f t="shared" si="0"/>
        <v>7171.2278652191153</v>
      </c>
      <c r="E44" s="356">
        <f t="shared" si="0"/>
        <v>7088.7783050537164</v>
      </c>
      <c r="F44" s="357">
        <f t="shared" si="0"/>
        <v>7149.5953941345133</v>
      </c>
      <c r="G44" s="307">
        <f t="shared" si="0"/>
        <v>6912.5827950000003</v>
      </c>
      <c r="H44" s="307">
        <f t="shared" si="0"/>
        <v>6786.185485</v>
      </c>
      <c r="I44" s="307">
        <f t="shared" ref="I44:AJ44" si="1">I43*365</f>
        <v>6929.6414350000005</v>
      </c>
      <c r="J44" s="307">
        <f t="shared" si="1"/>
        <v>6867.5629650000001</v>
      </c>
      <c r="K44" s="307">
        <f t="shared" si="1"/>
        <v>6992.4677899999997</v>
      </c>
      <c r="L44" s="307">
        <f t="shared" si="1"/>
        <v>7066.0167499999998</v>
      </c>
      <c r="M44" s="307">
        <f t="shared" si="1"/>
        <v>7109.2984500000002</v>
      </c>
      <c r="N44" s="307">
        <f t="shared" si="1"/>
        <v>7127.5772850000003</v>
      </c>
      <c r="O44" s="307">
        <f t="shared" si="1"/>
        <v>7130.4432650000008</v>
      </c>
      <c r="P44" s="307">
        <f t="shared" si="1"/>
        <v>7124.9339550000004</v>
      </c>
      <c r="Q44" s="307">
        <f t="shared" si="1"/>
        <v>7109.1374850000002</v>
      </c>
      <c r="R44" s="307">
        <f t="shared" si="1"/>
        <v>7094.8002850000003</v>
      </c>
      <c r="S44" s="307">
        <f t="shared" si="1"/>
        <v>7076.8999550000008</v>
      </c>
      <c r="T44" s="307">
        <f t="shared" si="1"/>
        <v>7055.4562050000004</v>
      </c>
      <c r="U44" s="307">
        <f t="shared" si="1"/>
        <v>7030.7460700000001</v>
      </c>
      <c r="V44" s="307">
        <f t="shared" si="1"/>
        <v>7000.2776949999998</v>
      </c>
      <c r="W44" s="307">
        <f t="shared" si="1"/>
        <v>6978.5350100000005</v>
      </c>
      <c r="X44" s="307">
        <f t="shared" si="1"/>
        <v>6956.8587550000002</v>
      </c>
      <c r="Y44" s="307">
        <f t="shared" si="1"/>
        <v>6927.9325050000007</v>
      </c>
      <c r="Z44" s="307">
        <f t="shared" si="1"/>
        <v>6908.05278</v>
      </c>
      <c r="AA44" s="307">
        <f t="shared" si="1"/>
        <v>6891.4836049999994</v>
      </c>
      <c r="AB44" s="307">
        <f t="shared" si="1"/>
        <v>6875.903945</v>
      </c>
      <c r="AC44" s="307">
        <f t="shared" si="1"/>
        <v>6860.3377899999996</v>
      </c>
      <c r="AD44" s="307">
        <f t="shared" si="1"/>
        <v>6850.4360700000007</v>
      </c>
      <c r="AE44" s="307">
        <f t="shared" si="1"/>
        <v>6844.43912</v>
      </c>
      <c r="AF44" s="307">
        <f t="shared" si="1"/>
        <v>6837.1475149999997</v>
      </c>
      <c r="AG44" s="307">
        <f t="shared" si="1"/>
        <v>6841.326035000001</v>
      </c>
      <c r="AH44" s="307">
        <f t="shared" si="1"/>
        <v>6845.7501999999995</v>
      </c>
      <c r="AI44" s="307">
        <f t="shared" si="1"/>
        <v>6843.21126</v>
      </c>
      <c r="AJ44" s="307">
        <f t="shared" si="1"/>
        <v>6834.6111300000002</v>
      </c>
      <c r="AK44" s="308"/>
    </row>
    <row r="45" spans="1:38" s="264" customFormat="1">
      <c r="A45" s="263" t="s">
        <v>193</v>
      </c>
      <c r="B45" s="358">
        <f>SUM(B33,B36,B40)</f>
        <v>0.28962799347937102</v>
      </c>
      <c r="C45" s="358">
        <f t="shared" ref="C45:AJ45" si="2">SUM(C33,C36,C40)</f>
        <v>0.43539400026202169</v>
      </c>
      <c r="D45" s="358">
        <f t="shared" si="2"/>
        <v>0.63372322544455517</v>
      </c>
      <c r="E45" s="358">
        <f t="shared" si="2"/>
        <v>0.75007860735058762</v>
      </c>
      <c r="F45" s="359">
        <f t="shared" si="2"/>
        <v>0.9057262316346173</v>
      </c>
      <c r="G45" s="309">
        <f t="shared" si="2"/>
        <v>0.94907600000000003</v>
      </c>
      <c r="H45" s="309">
        <f t="shared" si="2"/>
        <v>0.91023695269873739</v>
      </c>
      <c r="I45" s="309">
        <f t="shared" si="2"/>
        <v>0.92228495555433621</v>
      </c>
      <c r="J45" s="309">
        <f t="shared" si="2"/>
        <v>0.96492762480044358</v>
      </c>
      <c r="K45" s="309">
        <f t="shared" si="2"/>
        <v>0.91143528058296441</v>
      </c>
      <c r="L45" s="309">
        <f t="shared" si="2"/>
        <v>0.91577698834717269</v>
      </c>
      <c r="M45" s="309">
        <f t="shared" si="2"/>
        <v>0.93473461444938177</v>
      </c>
      <c r="N45" s="309">
        <f t="shared" si="2"/>
        <v>0.94681856741356851</v>
      </c>
      <c r="O45" s="309">
        <f t="shared" si="2"/>
        <v>0.96443668409037586</v>
      </c>
      <c r="P45" s="309">
        <f t="shared" si="2"/>
        <v>0.99222728428125384</v>
      </c>
      <c r="Q45" s="309">
        <f t="shared" si="2"/>
        <v>1.0172315333738331</v>
      </c>
      <c r="R45" s="309">
        <f t="shared" si="2"/>
        <v>1.0595427470493322</v>
      </c>
      <c r="S45" s="309">
        <f t="shared" si="2"/>
        <v>1.0990673746757511</v>
      </c>
      <c r="T45" s="309">
        <f t="shared" si="2"/>
        <v>1.1357882964591981</v>
      </c>
      <c r="U45" s="309">
        <f t="shared" si="2"/>
        <v>1.1671623605079651</v>
      </c>
      <c r="V45" s="309">
        <f t="shared" si="2"/>
        <v>1.1953814529209139</v>
      </c>
      <c r="W45" s="309">
        <f t="shared" si="2"/>
        <v>1.2190545287761689</v>
      </c>
      <c r="X45" s="309">
        <f t="shared" si="2"/>
        <v>1.2370769195156099</v>
      </c>
      <c r="Y45" s="309">
        <f t="shared" si="2"/>
        <v>1.2497896171054839</v>
      </c>
      <c r="Z45" s="309">
        <f t="shared" si="2"/>
        <v>1.2591873761386871</v>
      </c>
      <c r="AA45" s="309">
        <f t="shared" si="2"/>
        <v>0.93299300000000007</v>
      </c>
      <c r="AB45" s="309">
        <f t="shared" si="2"/>
        <v>0.93298100000000006</v>
      </c>
      <c r="AC45" s="309">
        <f t="shared" si="2"/>
        <v>0.93309600000000004</v>
      </c>
      <c r="AD45" s="309">
        <f t="shared" si="2"/>
        <v>0.93309600000000004</v>
      </c>
      <c r="AE45" s="309">
        <f t="shared" si="2"/>
        <v>0.93084500000000003</v>
      </c>
      <c r="AF45" s="309">
        <f t="shared" si="2"/>
        <v>0.92709399999999997</v>
      </c>
      <c r="AG45" s="309">
        <f t="shared" si="2"/>
        <v>0.92458599999999991</v>
      </c>
      <c r="AH45" s="309">
        <f t="shared" si="2"/>
        <v>0.92581500000000005</v>
      </c>
      <c r="AI45" s="309">
        <f t="shared" si="2"/>
        <v>0.93603499999999995</v>
      </c>
      <c r="AJ45" s="309">
        <f t="shared" si="2"/>
        <v>0.94016100000000002</v>
      </c>
      <c r="AK45" s="310"/>
    </row>
    <row r="46" spans="1:38" s="260" customFormat="1">
      <c r="A46" s="265" t="s">
        <v>199</v>
      </c>
      <c r="B46" s="354">
        <f>B45*365</f>
        <v>105.71421761997043</v>
      </c>
      <c r="C46" s="354">
        <f t="shared" ref="C46:AJ46" si="3">C45*365</f>
        <v>158.91881009563792</v>
      </c>
      <c r="D46" s="354">
        <f t="shared" si="3"/>
        <v>231.30897728726265</v>
      </c>
      <c r="E46" s="354">
        <f t="shared" si="3"/>
        <v>273.77869168296451</v>
      </c>
      <c r="F46" s="355">
        <f t="shared" si="3"/>
        <v>330.59007454663532</v>
      </c>
      <c r="G46" s="311">
        <f t="shared" si="3"/>
        <v>346.41273999999999</v>
      </c>
      <c r="H46" s="311">
        <f t="shared" si="3"/>
        <v>332.23648773503913</v>
      </c>
      <c r="I46" s="311">
        <f t="shared" si="3"/>
        <v>336.63400877733272</v>
      </c>
      <c r="J46" s="311">
        <f t="shared" si="3"/>
        <v>352.19858305216189</v>
      </c>
      <c r="K46" s="311">
        <f t="shared" si="3"/>
        <v>332.67387741278202</v>
      </c>
      <c r="L46" s="311">
        <f t="shared" si="3"/>
        <v>334.25860074671806</v>
      </c>
      <c r="M46" s="311">
        <f t="shared" si="3"/>
        <v>341.17813427402433</v>
      </c>
      <c r="N46" s="311">
        <f t="shared" si="3"/>
        <v>345.58877710595249</v>
      </c>
      <c r="O46" s="311">
        <f t="shared" si="3"/>
        <v>352.0193896929872</v>
      </c>
      <c r="P46" s="311">
        <f t="shared" si="3"/>
        <v>362.16295876265764</v>
      </c>
      <c r="Q46" s="311">
        <f t="shared" si="3"/>
        <v>371.28950968144909</v>
      </c>
      <c r="R46" s="311">
        <f t="shared" si="3"/>
        <v>386.73310267300621</v>
      </c>
      <c r="S46" s="311">
        <f t="shared" si="3"/>
        <v>401.15959175664915</v>
      </c>
      <c r="T46" s="311">
        <f t="shared" si="3"/>
        <v>414.56272820760728</v>
      </c>
      <c r="U46" s="311">
        <f t="shared" si="3"/>
        <v>426.01426158540727</v>
      </c>
      <c r="V46" s="311">
        <f t="shared" si="3"/>
        <v>436.3142303161336</v>
      </c>
      <c r="W46" s="311">
        <f t="shared" si="3"/>
        <v>444.95490300330164</v>
      </c>
      <c r="X46" s="311">
        <f t="shared" si="3"/>
        <v>451.53307562319765</v>
      </c>
      <c r="Y46" s="311">
        <f t="shared" si="3"/>
        <v>456.17321024350161</v>
      </c>
      <c r="Z46" s="311">
        <f t="shared" si="3"/>
        <v>459.60339229062083</v>
      </c>
      <c r="AA46" s="311">
        <f t="shared" si="3"/>
        <v>340.54244500000004</v>
      </c>
      <c r="AB46" s="311">
        <f t="shared" si="3"/>
        <v>340.53806500000002</v>
      </c>
      <c r="AC46" s="311">
        <f t="shared" si="3"/>
        <v>340.58004</v>
      </c>
      <c r="AD46" s="311">
        <f t="shared" si="3"/>
        <v>340.58004</v>
      </c>
      <c r="AE46" s="311">
        <f t="shared" si="3"/>
        <v>339.75842499999999</v>
      </c>
      <c r="AF46" s="311">
        <f t="shared" si="3"/>
        <v>338.38930999999997</v>
      </c>
      <c r="AG46" s="311">
        <f t="shared" si="3"/>
        <v>337.47388999999998</v>
      </c>
      <c r="AH46" s="311">
        <f t="shared" si="3"/>
        <v>337.92247500000002</v>
      </c>
      <c r="AI46" s="311">
        <f t="shared" si="3"/>
        <v>341.65277499999996</v>
      </c>
      <c r="AJ46" s="311">
        <f t="shared" si="3"/>
        <v>343.15876500000002</v>
      </c>
      <c r="AK46" s="308"/>
    </row>
    <row r="47" spans="1:38" s="260" customFormat="1">
      <c r="A47" s="265" t="s">
        <v>198</v>
      </c>
      <c r="B47" s="354"/>
      <c r="C47" s="360">
        <f>C46/B46-1</f>
        <v>0.50328700976562524</v>
      </c>
      <c r="D47" s="360">
        <f t="shared" ref="D47:Z47" si="4">D46/C46-1</f>
        <v>0.45551667010381003</v>
      </c>
      <c r="E47" s="360">
        <f t="shared" si="4"/>
        <v>0.1836059927019551</v>
      </c>
      <c r="F47" s="361">
        <f t="shared" si="4"/>
        <v>0.20750841679621423</v>
      </c>
      <c r="G47" s="312"/>
      <c r="H47" s="312">
        <f t="shared" si="4"/>
        <v>-4.0923010698050155E-2</v>
      </c>
      <c r="I47" s="312">
        <f t="shared" si="4"/>
        <v>1.32361170570785E-2</v>
      </c>
      <c r="J47" s="312">
        <f t="shared" si="4"/>
        <v>4.6235893786727766E-2</v>
      </c>
      <c r="K47" s="312">
        <f t="shared" si="4"/>
        <v>-5.5436638813757488E-2</v>
      </c>
      <c r="L47" s="312">
        <f t="shared" si="4"/>
        <v>4.7635941428900708E-3</v>
      </c>
      <c r="M47" s="312">
        <f t="shared" si="4"/>
        <v>2.0701138315807999E-2</v>
      </c>
      <c r="N47" s="312">
        <f t="shared" si="4"/>
        <v>1.2927683191988004E-2</v>
      </c>
      <c r="O47" s="312">
        <f t="shared" si="4"/>
        <v>1.8607700866001275E-2</v>
      </c>
      <c r="P47" s="312">
        <f t="shared" si="4"/>
        <v>2.8815370308201249E-2</v>
      </c>
      <c r="Q47" s="312">
        <f t="shared" si="4"/>
        <v>2.5200122480699472E-2</v>
      </c>
      <c r="R47" s="312">
        <f t="shared" si="4"/>
        <v>4.1594477055942436E-2</v>
      </c>
      <c r="S47" s="312">
        <f t="shared" si="4"/>
        <v>3.730347618016272E-2</v>
      </c>
      <c r="T47" s="312">
        <f t="shared" si="4"/>
        <v>3.3410983375137038E-2</v>
      </c>
      <c r="U47" s="312">
        <f t="shared" si="4"/>
        <v>2.762316194538661E-2</v>
      </c>
      <c r="V47" s="312">
        <f t="shared" si="4"/>
        <v>2.4177520941188968E-2</v>
      </c>
      <c r="W47" s="312">
        <f t="shared" si="4"/>
        <v>1.9803783802575969E-2</v>
      </c>
      <c r="X47" s="312">
        <f t="shared" si="4"/>
        <v>1.4783908606232909E-2</v>
      </c>
      <c r="Y47" s="312">
        <f t="shared" si="4"/>
        <v>1.0276400270123665E-2</v>
      </c>
      <c r="Z47" s="312">
        <f t="shared" si="4"/>
        <v>7.5194728013252554E-3</v>
      </c>
      <c r="AA47" s="312">
        <f t="shared" ref="AA47:AJ47" si="5">AA46/Z46-1</f>
        <v>-0.25905149806930716</v>
      </c>
      <c r="AB47" s="312">
        <f t="shared" si="5"/>
        <v>-1.2861832832666842E-5</v>
      </c>
      <c r="AC47" s="312">
        <f t="shared" si="5"/>
        <v>1.2326081667257682E-4</v>
      </c>
      <c r="AD47" s="312">
        <f t="shared" si="5"/>
        <v>0</v>
      </c>
      <c r="AE47" s="312">
        <f t="shared" si="5"/>
        <v>-2.412399152927458E-3</v>
      </c>
      <c r="AF47" s="312">
        <f t="shared" si="5"/>
        <v>-4.0296719647202606E-3</v>
      </c>
      <c r="AG47" s="312">
        <f t="shared" si="5"/>
        <v>-2.7052273016543449E-3</v>
      </c>
      <c r="AH47" s="312">
        <f t="shared" si="5"/>
        <v>1.3292435749623355E-3</v>
      </c>
      <c r="AI47" s="312">
        <f t="shared" si="5"/>
        <v>1.1038922462910827E-2</v>
      </c>
      <c r="AJ47" s="312">
        <f t="shared" si="5"/>
        <v>4.4079548307489613E-3</v>
      </c>
      <c r="AK47" s="308"/>
    </row>
    <row r="48" spans="1:38" s="266" customFormat="1">
      <c r="A48" s="263" t="s">
        <v>201</v>
      </c>
      <c r="B48" s="362">
        <f>SUM(B33,B36,B40)/B43</f>
        <v>1.3993479668594277E-2</v>
      </c>
      <c r="C48" s="362">
        <f t="shared" ref="C48:AJ48" si="6">SUM(C33,C36,C40)/C43</f>
        <v>2.0964626725248844E-2</v>
      </c>
      <c r="D48" s="362">
        <f t="shared" si="6"/>
        <v>3.2255142582921545E-2</v>
      </c>
      <c r="E48" s="362">
        <f t="shared" si="6"/>
        <v>3.8621421054708789E-2</v>
      </c>
      <c r="F48" s="363">
        <f t="shared" si="6"/>
        <v>4.6238990645239793E-2</v>
      </c>
      <c r="G48" s="313">
        <f t="shared" si="6"/>
        <v>5.0113358533740354E-2</v>
      </c>
      <c r="H48" s="313">
        <f t="shared" si="6"/>
        <v>4.8957766991398283E-2</v>
      </c>
      <c r="I48" s="313">
        <f t="shared" si="6"/>
        <v>4.8578849560248959E-2</v>
      </c>
      <c r="J48" s="313">
        <f t="shared" si="6"/>
        <v>5.1284361693822764E-2</v>
      </c>
      <c r="K48" s="313">
        <f t="shared" si="6"/>
        <v>4.7576032869045506E-2</v>
      </c>
      <c r="L48" s="313">
        <f t="shared" si="6"/>
        <v>4.7305096007127075E-2</v>
      </c>
      <c r="M48" s="313">
        <f t="shared" si="6"/>
        <v>4.7990408149769591E-2</v>
      </c>
      <c r="N48" s="313">
        <f t="shared" si="6"/>
        <v>4.8486149400757073E-2</v>
      </c>
      <c r="O48" s="313">
        <f t="shared" si="6"/>
        <v>4.9368514215783074E-2</v>
      </c>
      <c r="P48" s="313">
        <f t="shared" si="6"/>
        <v>5.0830360119830421E-2</v>
      </c>
      <c r="Q48" s="313">
        <f t="shared" si="6"/>
        <v>5.2227082464624625E-2</v>
      </c>
      <c r="R48" s="314">
        <f t="shared" si="6"/>
        <v>5.4509371249060634E-2</v>
      </c>
      <c r="S48" s="313">
        <f t="shared" si="6"/>
        <v>5.6685779692733994E-2</v>
      </c>
      <c r="T48" s="313">
        <f t="shared" si="6"/>
        <v>5.8757749486676503E-2</v>
      </c>
      <c r="U48" s="313">
        <f t="shared" si="6"/>
        <v>6.059303768673973E-2</v>
      </c>
      <c r="V48" s="313">
        <f t="shared" si="6"/>
        <v>6.2328131729370427E-2</v>
      </c>
      <c r="W48" s="313">
        <f t="shared" si="6"/>
        <v>6.3760503080617439E-2</v>
      </c>
      <c r="X48" s="313">
        <f t="shared" si="6"/>
        <v>6.4904735244002754E-2</v>
      </c>
      <c r="Y48" s="313">
        <f t="shared" si="6"/>
        <v>6.5845504400378327E-2</v>
      </c>
      <c r="Z48" s="314">
        <f t="shared" si="6"/>
        <v>6.6531540352623181E-2</v>
      </c>
      <c r="AA48" s="314">
        <f t="shared" si="6"/>
        <v>4.9414968462367842E-2</v>
      </c>
      <c r="AB48" s="314">
        <f t="shared" si="6"/>
        <v>4.9526297592861444E-2</v>
      </c>
      <c r="AC48" s="314">
        <f t="shared" si="6"/>
        <v>4.9644791616011673E-2</v>
      </c>
      <c r="AD48" s="314">
        <f t="shared" si="6"/>
        <v>4.9716548920366761E-2</v>
      </c>
      <c r="AE48" s="314">
        <f t="shared" si="6"/>
        <v>4.9640068242728409E-2</v>
      </c>
      <c r="AF48" s="314">
        <f t="shared" si="6"/>
        <v>4.9492761309831122E-2</v>
      </c>
      <c r="AG48" s="314">
        <f t="shared" si="6"/>
        <v>4.932872490998011E-2</v>
      </c>
      <c r="AH48" s="314">
        <f t="shared" si="6"/>
        <v>4.9362373023777592E-2</v>
      </c>
      <c r="AI48" s="314">
        <f t="shared" si="6"/>
        <v>4.9925796825392763E-2</v>
      </c>
      <c r="AJ48" s="314">
        <f t="shared" si="6"/>
        <v>5.0208967046234856E-2</v>
      </c>
      <c r="AK48" s="315"/>
    </row>
    <row r="49" spans="1:37" s="266" customFormat="1">
      <c r="A49" s="266" t="s">
        <v>192</v>
      </c>
      <c r="B49" s="364">
        <f>B33*365 * 42/1000</f>
        <v>4.1895202937722189</v>
      </c>
      <c r="C49" s="364">
        <f t="shared" ref="C49:AJ49" si="7">C33*365 * 42/1000</f>
        <v>6.1835701614618239</v>
      </c>
      <c r="D49" s="364">
        <f t="shared" si="7"/>
        <v>8.9300929445028281</v>
      </c>
      <c r="E49" s="364">
        <f t="shared" si="7"/>
        <v>10.57340813040733</v>
      </c>
      <c r="F49" s="365">
        <f t="shared" si="7"/>
        <v>12.90469492435456</v>
      </c>
      <c r="G49" s="316">
        <f t="shared" si="7"/>
        <v>13.58201208</v>
      </c>
      <c r="H49" s="316">
        <f t="shared" si="7"/>
        <v>12.933246479999999</v>
      </c>
      <c r="I49" s="316">
        <f t="shared" si="7"/>
        <v>12.815159489999999</v>
      </c>
      <c r="J49" s="316">
        <f t="shared" si="7"/>
        <v>13.33685472</v>
      </c>
      <c r="K49" s="316">
        <f t="shared" si="7"/>
        <v>12.572746199999999</v>
      </c>
      <c r="L49" s="316">
        <f t="shared" si="7"/>
        <v>12.606410879999997</v>
      </c>
      <c r="M49" s="316">
        <f t="shared" si="7"/>
        <v>12.7724961</v>
      </c>
      <c r="N49" s="316">
        <f t="shared" si="7"/>
        <v>12.79849578</v>
      </c>
      <c r="O49" s="316">
        <f t="shared" si="7"/>
        <v>12.799660859999999</v>
      </c>
      <c r="P49" s="316">
        <f t="shared" si="7"/>
        <v>12.883423980000002</v>
      </c>
      <c r="Q49" s="316">
        <f t="shared" si="7"/>
        <v>12.857041049999999</v>
      </c>
      <c r="R49" s="316">
        <f t="shared" si="7"/>
        <v>13.0113375</v>
      </c>
      <c r="S49" s="316">
        <f t="shared" si="7"/>
        <v>13.097829360000002</v>
      </c>
      <c r="T49" s="316">
        <f t="shared" si="7"/>
        <v>13.097599410000003</v>
      </c>
      <c r="U49" s="316">
        <f t="shared" si="7"/>
        <v>13.09776804</v>
      </c>
      <c r="V49" s="316">
        <f t="shared" si="7"/>
        <v>13.097829360000002</v>
      </c>
      <c r="W49" s="316">
        <f t="shared" si="7"/>
        <v>13.1106759</v>
      </c>
      <c r="X49" s="316">
        <f t="shared" si="7"/>
        <v>13.120134510000002</v>
      </c>
      <c r="Y49" s="316">
        <f t="shared" si="7"/>
        <v>13.11995055</v>
      </c>
      <c r="Z49" s="316">
        <f t="shared" si="7"/>
        <v>13.120134510000002</v>
      </c>
      <c r="AA49" s="316">
        <f t="shared" si="7"/>
        <v>13.120134510000002</v>
      </c>
      <c r="AB49" s="316">
        <f t="shared" si="7"/>
        <v>13.11995055</v>
      </c>
      <c r="AC49" s="316">
        <f t="shared" si="7"/>
        <v>13.11995055</v>
      </c>
      <c r="AD49" s="316">
        <f t="shared" si="7"/>
        <v>13.11995055</v>
      </c>
      <c r="AE49" s="316">
        <f t="shared" si="7"/>
        <v>13.08544272</v>
      </c>
      <c r="AF49" s="316">
        <f t="shared" si="7"/>
        <v>13.027939889999997</v>
      </c>
      <c r="AG49" s="316">
        <f t="shared" si="7"/>
        <v>12.993324749999999</v>
      </c>
      <c r="AH49" s="316">
        <f t="shared" si="7"/>
        <v>13.008332820000001</v>
      </c>
      <c r="AI49" s="316">
        <f t="shared" si="7"/>
        <v>13.168837920000001</v>
      </c>
      <c r="AJ49" s="316">
        <f t="shared" si="7"/>
        <v>13.226494050000001</v>
      </c>
      <c r="AK49" s="317"/>
    </row>
    <row r="50" spans="1:37">
      <c r="A50" s="6" t="s">
        <v>166</v>
      </c>
      <c r="R50" s="303" t="s">
        <v>0</v>
      </c>
    </row>
    <row r="51" spans="1:37">
      <c r="A51" s="6" t="s">
        <v>165</v>
      </c>
    </row>
    <row r="52" spans="1:37">
      <c r="A52" s="6" t="s">
        <v>705</v>
      </c>
      <c r="B52" s="352">
        <v>2.0520000457763699</v>
      </c>
      <c r="C52" s="352">
        <v>2.08500003814697</v>
      </c>
      <c r="D52" s="352">
        <v>2.02300000190735</v>
      </c>
      <c r="E52" s="352">
        <v>1.9900000095367401</v>
      </c>
      <c r="F52" s="353">
        <v>1.9984494447708101</v>
      </c>
      <c r="G52" s="297">
        <v>2.3039999999999998</v>
      </c>
      <c r="H52" s="297">
        <v>2.3239999999999998</v>
      </c>
      <c r="I52" s="297">
        <v>2.407</v>
      </c>
      <c r="J52" s="297">
        <v>2.4159999999999999</v>
      </c>
      <c r="K52" s="297">
        <v>2.4498690000000001</v>
      </c>
      <c r="L52" s="297">
        <v>2.5403880000000001</v>
      </c>
      <c r="M52" s="297">
        <v>2.599494</v>
      </c>
      <c r="N52" s="297">
        <v>2.6464240000000001</v>
      </c>
      <c r="O52" s="297">
        <v>2.693587</v>
      </c>
      <c r="P52" s="297">
        <v>2.7283230000000001</v>
      </c>
      <c r="Q52" s="297">
        <v>2.742324</v>
      </c>
      <c r="R52" s="297">
        <v>2.7799209999999999</v>
      </c>
      <c r="S52" s="297">
        <v>2.8150529999999998</v>
      </c>
      <c r="T52" s="297">
        <v>2.8347359999999999</v>
      </c>
      <c r="U52" s="297">
        <v>2.8433090000000001</v>
      </c>
      <c r="V52" s="297">
        <v>2.840814</v>
      </c>
      <c r="W52" s="297">
        <v>2.844868</v>
      </c>
      <c r="X52" s="297">
        <v>2.8578079999999999</v>
      </c>
      <c r="Y52" s="297">
        <v>2.8486820000000002</v>
      </c>
      <c r="Z52" s="297">
        <v>2.8402569999999998</v>
      </c>
      <c r="AA52" s="297">
        <v>2.8361179999999999</v>
      </c>
      <c r="AB52" s="297">
        <v>2.8308490000000002</v>
      </c>
      <c r="AC52" s="297">
        <v>2.8180170000000002</v>
      </c>
      <c r="AD52" s="297">
        <v>2.7924669999999998</v>
      </c>
      <c r="AE52" s="297">
        <v>2.7826710000000001</v>
      </c>
      <c r="AF52" s="297">
        <v>2.76675</v>
      </c>
      <c r="AG52" s="297">
        <v>2.7715809999999999</v>
      </c>
      <c r="AH52" s="297">
        <v>2.7629000000000001</v>
      </c>
      <c r="AI52" s="297">
        <v>2.7495129999999999</v>
      </c>
      <c r="AJ52" s="297">
        <v>2.7286790000000001</v>
      </c>
      <c r="AK52" s="298">
        <v>6.0000000000000001E-3</v>
      </c>
    </row>
    <row r="53" spans="1:37">
      <c r="A53" s="6" t="s">
        <v>704</v>
      </c>
      <c r="B53" s="352">
        <v>8.6600880604237296E-4</v>
      </c>
      <c r="C53" s="352">
        <v>1.0510511929169299E-3</v>
      </c>
      <c r="D53" s="352">
        <v>8.0768426414579196E-4</v>
      </c>
      <c r="E53" s="352">
        <v>4.3171385186724403E-4</v>
      </c>
      <c r="F53" s="353">
        <v>1.8219171324744801E-3</v>
      </c>
      <c r="G53" s="297">
        <v>1.882E-3</v>
      </c>
      <c r="H53" s="297">
        <v>9.8740000000000008E-3</v>
      </c>
      <c r="I53" s="297">
        <v>1.3136999999999999E-2</v>
      </c>
      <c r="J53" s="297">
        <v>1.4973999999999999E-2</v>
      </c>
      <c r="K53" s="297">
        <v>1.2047E-2</v>
      </c>
      <c r="L53" s="297">
        <v>2.5141E-2</v>
      </c>
      <c r="M53" s="297">
        <v>5.3563E-2</v>
      </c>
      <c r="N53" s="297">
        <v>8.0305000000000001E-2</v>
      </c>
      <c r="O53" s="297">
        <v>0.10901</v>
      </c>
      <c r="P53" s="297">
        <v>0.13106100000000001</v>
      </c>
      <c r="Q53" s="297">
        <v>0.162138</v>
      </c>
      <c r="R53" s="297">
        <v>0.20447299999999999</v>
      </c>
      <c r="S53" s="297">
        <v>0.22256600000000001</v>
      </c>
      <c r="T53" s="297">
        <v>0.242672</v>
      </c>
      <c r="U53" s="297">
        <v>0.26248500000000002</v>
      </c>
      <c r="V53" s="297">
        <v>0.279335</v>
      </c>
      <c r="W53" s="297">
        <v>0.29406700000000002</v>
      </c>
      <c r="X53" s="297">
        <v>0.30546400000000001</v>
      </c>
      <c r="Y53" s="297">
        <v>0.31323699999999999</v>
      </c>
      <c r="Z53" s="297">
        <v>0.31872699999999998</v>
      </c>
      <c r="AA53" s="297">
        <v>0.321052</v>
      </c>
      <c r="AB53" s="297">
        <v>0.31902700000000001</v>
      </c>
      <c r="AC53" s="297">
        <v>0.31467200000000001</v>
      </c>
      <c r="AD53" s="297">
        <v>0.30996699999999999</v>
      </c>
      <c r="AE53" s="297">
        <v>0.29748400000000003</v>
      </c>
      <c r="AF53" s="297">
        <v>0.28148600000000001</v>
      </c>
      <c r="AG53" s="297">
        <v>0.26450099999999999</v>
      </c>
      <c r="AH53" s="297">
        <v>0.245667</v>
      </c>
      <c r="AI53" s="297">
        <v>0.23741399999999999</v>
      </c>
      <c r="AJ53" s="297">
        <v>0.22813</v>
      </c>
      <c r="AK53" s="298">
        <v>0.11899999999999999</v>
      </c>
    </row>
    <row r="54" spans="1:37">
      <c r="A54" s="6" t="s">
        <v>706</v>
      </c>
      <c r="B54" s="352">
        <v>9.2527751922607404</v>
      </c>
      <c r="C54" s="352">
        <v>9.2857265472412092</v>
      </c>
      <c r="D54" s="352">
        <v>9.0097904205322301</v>
      </c>
      <c r="E54" s="352">
        <v>8.9638872146606392</v>
      </c>
      <c r="F54" s="353">
        <v>9.3608798980712908</v>
      </c>
      <c r="G54" s="297">
        <v>8.7543939999999996</v>
      </c>
      <c r="H54" s="297">
        <v>8.7103070000000002</v>
      </c>
      <c r="I54" s="297">
        <v>8.7047209999999993</v>
      </c>
      <c r="J54" s="297">
        <v>8.6720810000000004</v>
      </c>
      <c r="K54" s="297">
        <v>8.7711889999999997</v>
      </c>
      <c r="L54" s="297">
        <v>8.7249210000000001</v>
      </c>
      <c r="M54" s="297">
        <v>8.665521</v>
      </c>
      <c r="N54" s="297">
        <v>8.5782380000000007</v>
      </c>
      <c r="O54" s="297">
        <v>8.4654989999999994</v>
      </c>
      <c r="P54" s="297">
        <v>8.3493230000000001</v>
      </c>
      <c r="Q54" s="297">
        <v>8.2274130000000003</v>
      </c>
      <c r="R54" s="297">
        <v>8.1002519999999993</v>
      </c>
      <c r="S54" s="297">
        <v>7.9630890000000001</v>
      </c>
      <c r="T54" s="297">
        <v>7.8215009999999996</v>
      </c>
      <c r="U54" s="297">
        <v>7.6724129999999997</v>
      </c>
      <c r="V54" s="297">
        <v>7.5382249999999997</v>
      </c>
      <c r="W54" s="297">
        <v>7.4181600000000003</v>
      </c>
      <c r="X54" s="297">
        <v>7.3157300000000003</v>
      </c>
      <c r="Y54" s="297">
        <v>7.224996</v>
      </c>
      <c r="Z54" s="297">
        <v>7.1462729999999999</v>
      </c>
      <c r="AA54" s="297">
        <v>7.080946</v>
      </c>
      <c r="AB54" s="297">
        <v>7.0268600000000001</v>
      </c>
      <c r="AC54" s="297">
        <v>6.9825390000000001</v>
      </c>
      <c r="AD54" s="297">
        <v>6.943378</v>
      </c>
      <c r="AE54" s="297">
        <v>6.9093359999999997</v>
      </c>
      <c r="AF54" s="297">
        <v>6.8818789999999996</v>
      </c>
      <c r="AG54" s="297">
        <v>6.8622290000000001</v>
      </c>
      <c r="AH54" s="297">
        <v>6.8497510000000004</v>
      </c>
      <c r="AI54" s="297">
        <v>6.8444979999999997</v>
      </c>
      <c r="AJ54" s="297">
        <v>6.8408179999999996</v>
      </c>
      <c r="AK54" s="298">
        <v>-8.9999999999999993E-3</v>
      </c>
    </row>
    <row r="55" spans="1:37">
      <c r="A55" s="6" t="s">
        <v>707</v>
      </c>
      <c r="B55" s="352">
        <v>1.63300001621246</v>
      </c>
      <c r="C55" s="352">
        <v>1.6219999790191699</v>
      </c>
      <c r="D55" s="352">
        <v>1.5329999923706099</v>
      </c>
      <c r="E55" s="352">
        <v>1.47300004959106</v>
      </c>
      <c r="F55" s="353">
        <v>1.45558297634125</v>
      </c>
      <c r="G55" s="297">
        <v>1.425</v>
      </c>
      <c r="H55" s="297">
        <v>1.399</v>
      </c>
      <c r="I55" s="297">
        <v>1.4039999999999999</v>
      </c>
      <c r="J55" s="297">
        <v>1.4059999999999999</v>
      </c>
      <c r="K55" s="297">
        <v>1.459821</v>
      </c>
      <c r="L55" s="297">
        <v>1.466666</v>
      </c>
      <c r="M55" s="297">
        <v>1.4738910000000001</v>
      </c>
      <c r="N55" s="297">
        <v>1.4802960000000001</v>
      </c>
      <c r="O55" s="297">
        <v>1.4860789999999999</v>
      </c>
      <c r="P55" s="297">
        <v>1.491026</v>
      </c>
      <c r="Q55" s="297">
        <v>1.496483</v>
      </c>
      <c r="R55" s="297">
        <v>1.5023390000000001</v>
      </c>
      <c r="S55" s="297">
        <v>1.5080819999999999</v>
      </c>
      <c r="T55" s="297">
        <v>1.514818</v>
      </c>
      <c r="U55" s="297">
        <v>1.5222910000000001</v>
      </c>
      <c r="V55" s="297">
        <v>1.529134</v>
      </c>
      <c r="W55" s="297">
        <v>1.5350699999999999</v>
      </c>
      <c r="X55" s="297">
        <v>1.540705</v>
      </c>
      <c r="Y55" s="297">
        <v>1.5457909999999999</v>
      </c>
      <c r="Z55" s="297">
        <v>1.550583</v>
      </c>
      <c r="AA55" s="297">
        <v>1.555024</v>
      </c>
      <c r="AB55" s="297">
        <v>1.559142</v>
      </c>
      <c r="AC55" s="297">
        <v>1.562889</v>
      </c>
      <c r="AD55" s="297">
        <v>1.5661639999999999</v>
      </c>
      <c r="AE55" s="297">
        <v>1.5691090000000001</v>
      </c>
      <c r="AF55" s="297">
        <v>1.5733360000000001</v>
      </c>
      <c r="AG55" s="297">
        <v>1.577515</v>
      </c>
      <c r="AH55" s="297">
        <v>1.5816300000000001</v>
      </c>
      <c r="AI55" s="297">
        <v>1.585529</v>
      </c>
      <c r="AJ55" s="297">
        <v>1.5896079999999999</v>
      </c>
      <c r="AK55" s="298">
        <v>5.0000000000000001E-3</v>
      </c>
    </row>
    <row r="56" spans="1:37">
      <c r="A56" s="6" t="s">
        <v>708</v>
      </c>
      <c r="B56" s="352">
        <v>4.1690001487731898</v>
      </c>
      <c r="C56" s="352">
        <v>4.1960000991821298</v>
      </c>
      <c r="D56" s="352">
        <v>3.9430000782012899</v>
      </c>
      <c r="E56" s="352">
        <v>3.90199995040894</v>
      </c>
      <c r="F56" s="353">
        <v>4.0923304557800302</v>
      </c>
      <c r="G56" s="297">
        <v>3.899</v>
      </c>
      <c r="H56" s="297">
        <v>3.7429999999999999</v>
      </c>
      <c r="I56" s="297">
        <v>3.859</v>
      </c>
      <c r="J56" s="297">
        <v>3.9089999999999998</v>
      </c>
      <c r="K56" s="297">
        <v>4.0858679999999996</v>
      </c>
      <c r="L56" s="297">
        <v>4.177359</v>
      </c>
      <c r="M56" s="297">
        <v>4.228364</v>
      </c>
      <c r="N56" s="297">
        <v>4.2508220000000003</v>
      </c>
      <c r="O56" s="297">
        <v>4.2730649999999999</v>
      </c>
      <c r="P56" s="297">
        <v>4.295331</v>
      </c>
      <c r="Q56" s="297">
        <v>4.319947</v>
      </c>
      <c r="R56" s="297">
        <v>4.3484850000000002</v>
      </c>
      <c r="S56" s="297">
        <v>4.3784619999999999</v>
      </c>
      <c r="T56" s="297">
        <v>4.4044730000000003</v>
      </c>
      <c r="U56" s="297">
        <v>4.436998</v>
      </c>
      <c r="V56" s="297">
        <v>4.460839</v>
      </c>
      <c r="W56" s="297">
        <v>4.4796500000000004</v>
      </c>
      <c r="X56" s="297">
        <v>4.4870289999999997</v>
      </c>
      <c r="Y56" s="297">
        <v>4.4989540000000003</v>
      </c>
      <c r="Z56" s="297">
        <v>4.5163840000000004</v>
      </c>
      <c r="AA56" s="297">
        <v>4.5280180000000003</v>
      </c>
      <c r="AB56" s="297">
        <v>4.5344899999999999</v>
      </c>
      <c r="AC56" s="297">
        <v>4.5444589999999998</v>
      </c>
      <c r="AD56" s="297">
        <v>4.5662190000000002</v>
      </c>
      <c r="AE56" s="297">
        <v>4.5865479999999996</v>
      </c>
      <c r="AF56" s="297">
        <v>4.5978500000000002</v>
      </c>
      <c r="AG56" s="297">
        <v>4.6070399999999996</v>
      </c>
      <c r="AH56" s="297">
        <v>4.6156879999999996</v>
      </c>
      <c r="AI56" s="297">
        <v>4.6224400000000001</v>
      </c>
      <c r="AJ56" s="297">
        <v>4.6207630000000002</v>
      </c>
      <c r="AK56" s="298">
        <v>8.0000000000000002E-3</v>
      </c>
    </row>
    <row r="57" spans="1:37">
      <c r="A57" s="6" t="s">
        <v>164</v>
      </c>
      <c r="B57" s="352">
        <v>3.21000003814697</v>
      </c>
      <c r="C57" s="352">
        <v>3.4670000076293901</v>
      </c>
      <c r="D57" s="352">
        <v>3.46799993515015</v>
      </c>
      <c r="E57" s="352">
        <v>3.4189999103546098</v>
      </c>
      <c r="F57" s="353">
        <v>3.47832202911377</v>
      </c>
      <c r="G57" s="297">
        <v>3.5059999999999998</v>
      </c>
      <c r="H57" s="297">
        <v>3.448</v>
      </c>
      <c r="I57" s="297">
        <v>3.5550000000000002</v>
      </c>
      <c r="J57" s="297">
        <v>3.601</v>
      </c>
      <c r="K57" s="297">
        <v>3.6780590000000002</v>
      </c>
      <c r="L57" s="297">
        <v>3.788999</v>
      </c>
      <c r="M57" s="297">
        <v>3.841418</v>
      </c>
      <c r="N57" s="297">
        <v>3.888255</v>
      </c>
      <c r="O57" s="297">
        <v>3.9148960000000002</v>
      </c>
      <c r="P57" s="297">
        <v>3.942434</v>
      </c>
      <c r="Q57" s="297">
        <v>3.9721639999999998</v>
      </c>
      <c r="R57" s="297">
        <v>4.005528</v>
      </c>
      <c r="S57" s="297">
        <v>4.0400039999999997</v>
      </c>
      <c r="T57" s="297">
        <v>4.0698509999999999</v>
      </c>
      <c r="U57" s="297">
        <v>4.1063919999999996</v>
      </c>
      <c r="V57" s="297">
        <v>4.1354759999999997</v>
      </c>
      <c r="W57" s="297">
        <v>4.1591009999999997</v>
      </c>
      <c r="X57" s="297">
        <v>4.1709329999999998</v>
      </c>
      <c r="Y57" s="297">
        <v>4.1869290000000001</v>
      </c>
      <c r="Z57" s="297">
        <v>4.2079300000000002</v>
      </c>
      <c r="AA57" s="297">
        <v>4.2245819999999998</v>
      </c>
      <c r="AB57" s="297">
        <v>4.2349610000000002</v>
      </c>
      <c r="AC57" s="297">
        <v>4.2486269999999999</v>
      </c>
      <c r="AD57" s="297">
        <v>4.2736000000000001</v>
      </c>
      <c r="AE57" s="297">
        <v>4.2970110000000004</v>
      </c>
      <c r="AF57" s="297">
        <v>4.3111389999999998</v>
      </c>
      <c r="AG57" s="297">
        <v>4.3229870000000004</v>
      </c>
      <c r="AH57" s="297">
        <v>4.3342970000000003</v>
      </c>
      <c r="AI57" s="297">
        <v>4.3436260000000004</v>
      </c>
      <c r="AJ57" s="297">
        <v>4.344544</v>
      </c>
      <c r="AK57" s="298">
        <v>8.0000000000000002E-3</v>
      </c>
    </row>
    <row r="58" spans="1:37">
      <c r="A58" s="6" t="s">
        <v>163</v>
      </c>
      <c r="B58" s="352">
        <v>0.68900001049041704</v>
      </c>
      <c r="C58" s="352">
        <v>0.72299998998642001</v>
      </c>
      <c r="D58" s="352">
        <v>0.60799998044967696</v>
      </c>
      <c r="E58" s="352">
        <v>0.58099997043609597</v>
      </c>
      <c r="F58" s="353">
        <v>0.63298153877258301</v>
      </c>
      <c r="G58" s="297">
        <v>0.46100000000000002</v>
      </c>
      <c r="H58" s="297">
        <v>0.34499999999999997</v>
      </c>
      <c r="I58" s="297">
        <v>0.32200000000000001</v>
      </c>
      <c r="J58" s="297">
        <v>0.35</v>
      </c>
      <c r="K58" s="297">
        <v>0.38553500000000002</v>
      </c>
      <c r="L58" s="297">
        <v>0.39021600000000001</v>
      </c>
      <c r="M58" s="297">
        <v>0.38447300000000001</v>
      </c>
      <c r="N58" s="297">
        <v>0.390044</v>
      </c>
      <c r="O58" s="297">
        <v>0.38984200000000002</v>
      </c>
      <c r="P58" s="297">
        <v>0.38874799999999998</v>
      </c>
      <c r="Q58" s="297">
        <v>0.38986300000000002</v>
      </c>
      <c r="R58" s="297">
        <v>0.38962000000000002</v>
      </c>
      <c r="S58" s="297">
        <v>0.390509</v>
      </c>
      <c r="T58" s="297">
        <v>0.392071</v>
      </c>
      <c r="U58" s="297">
        <v>0.392706</v>
      </c>
      <c r="V58" s="297">
        <v>0.39272899999999999</v>
      </c>
      <c r="W58" s="297">
        <v>0.39312000000000002</v>
      </c>
      <c r="X58" s="297">
        <v>0.39413599999999999</v>
      </c>
      <c r="Y58" s="297">
        <v>0.39485900000000002</v>
      </c>
      <c r="Z58" s="297">
        <v>0.396202</v>
      </c>
      <c r="AA58" s="297">
        <v>0.39659499999999998</v>
      </c>
      <c r="AB58" s="297">
        <v>0.39696300000000001</v>
      </c>
      <c r="AC58" s="297">
        <v>0.398011</v>
      </c>
      <c r="AD58" s="297">
        <v>0.39871400000000001</v>
      </c>
      <c r="AE58" s="297">
        <v>0.39992499999999997</v>
      </c>
      <c r="AF58" s="297">
        <v>0.40121899999999999</v>
      </c>
      <c r="AG58" s="297">
        <v>0.40172999999999998</v>
      </c>
      <c r="AH58" s="297">
        <v>0.402443</v>
      </c>
      <c r="AI58" s="297">
        <v>0.40342099999999997</v>
      </c>
      <c r="AJ58" s="297">
        <v>0.40445900000000001</v>
      </c>
      <c r="AK58" s="298">
        <v>6.0000000000000001E-3</v>
      </c>
    </row>
    <row r="59" spans="1:37">
      <c r="A59" s="6" t="s">
        <v>709</v>
      </c>
      <c r="B59" s="352">
        <v>2.8580451011657702</v>
      </c>
      <c r="C59" s="352">
        <v>2.73703241348267</v>
      </c>
      <c r="D59" s="352">
        <v>2.4269983768463099</v>
      </c>
      <c r="E59" s="352">
        <v>2.3350048065185498</v>
      </c>
      <c r="F59" s="353">
        <v>2.2457344532012899</v>
      </c>
      <c r="G59" s="297">
        <v>2.0800260000000002</v>
      </c>
      <c r="H59" s="297">
        <v>1.965076</v>
      </c>
      <c r="I59" s="297">
        <v>1.942002</v>
      </c>
      <c r="J59" s="297">
        <v>1.9470000000000001</v>
      </c>
      <c r="K59" s="297">
        <v>2.0148790000000001</v>
      </c>
      <c r="L59" s="297">
        <v>2.0685479999999998</v>
      </c>
      <c r="M59" s="297">
        <v>2.1349170000000002</v>
      </c>
      <c r="N59" s="297">
        <v>2.1911809999999998</v>
      </c>
      <c r="O59" s="297">
        <v>2.2368299999999999</v>
      </c>
      <c r="P59" s="297">
        <v>2.276913</v>
      </c>
      <c r="Q59" s="297">
        <v>2.3108819999999999</v>
      </c>
      <c r="R59" s="297">
        <v>2.3269329999999999</v>
      </c>
      <c r="S59" s="297">
        <v>2.343264</v>
      </c>
      <c r="T59" s="297">
        <v>2.3722750000000001</v>
      </c>
      <c r="U59" s="297">
        <v>2.404312</v>
      </c>
      <c r="V59" s="297">
        <v>2.4265159999999999</v>
      </c>
      <c r="W59" s="297">
        <v>2.458132</v>
      </c>
      <c r="X59" s="297">
        <v>2.474024</v>
      </c>
      <c r="Y59" s="297">
        <v>2.4762659999999999</v>
      </c>
      <c r="Z59" s="297">
        <v>2.4857459999999998</v>
      </c>
      <c r="AA59" s="297">
        <v>2.4935139999999998</v>
      </c>
      <c r="AB59" s="297">
        <v>2.4994040000000002</v>
      </c>
      <c r="AC59" s="297">
        <v>2.4986790000000001</v>
      </c>
      <c r="AD59" s="297">
        <v>2.5103719999999998</v>
      </c>
      <c r="AE59" s="297">
        <v>2.5131139999999998</v>
      </c>
      <c r="AF59" s="297">
        <v>2.519142</v>
      </c>
      <c r="AG59" s="297">
        <v>2.531539</v>
      </c>
      <c r="AH59" s="297">
        <v>2.5507759999999999</v>
      </c>
      <c r="AI59" s="297">
        <v>2.550128</v>
      </c>
      <c r="AJ59" s="297">
        <v>2.5471759999999999</v>
      </c>
      <c r="AK59" s="298">
        <v>8.9999999999999993E-3</v>
      </c>
    </row>
    <row r="60" spans="1:37">
      <c r="A60" s="6" t="s">
        <v>162</v>
      </c>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1:37">
      <c r="A61" s="6" t="s">
        <v>161</v>
      </c>
      <c r="B61" s="352">
        <v>1.0618205070495601</v>
      </c>
      <c r="C61" s="352">
        <v>1.1093590259552</v>
      </c>
      <c r="D61" s="352">
        <v>1.0993635654449501</v>
      </c>
      <c r="E61" s="352">
        <v>1.10606873035431</v>
      </c>
      <c r="F61" s="353">
        <v>1.0538341999053999</v>
      </c>
      <c r="G61" s="297">
        <v>0.96948900000000005</v>
      </c>
      <c r="H61" s="297">
        <v>0.94076099999999996</v>
      </c>
      <c r="I61" s="297">
        <v>0.95062599999999997</v>
      </c>
      <c r="J61" s="297">
        <v>0.94062699999999999</v>
      </c>
      <c r="K61" s="297">
        <v>0.91689699999999996</v>
      </c>
      <c r="L61" s="297">
        <v>0.91578099999999996</v>
      </c>
      <c r="M61" s="297">
        <v>0.90966899999999995</v>
      </c>
      <c r="N61" s="297">
        <v>0.90114399999999995</v>
      </c>
      <c r="O61" s="297">
        <v>0.89199799999999996</v>
      </c>
      <c r="P61" s="297">
        <v>0.88283199999999995</v>
      </c>
      <c r="Q61" s="297">
        <v>0.87347300000000005</v>
      </c>
      <c r="R61" s="297">
        <v>0.86438899999999996</v>
      </c>
      <c r="S61" s="297">
        <v>0.85625499999999999</v>
      </c>
      <c r="T61" s="297">
        <v>0.84867599999999999</v>
      </c>
      <c r="U61" s="297">
        <v>0.84107299999999996</v>
      </c>
      <c r="V61" s="297">
        <v>0.83371399999999996</v>
      </c>
      <c r="W61" s="297">
        <v>0.82639200000000002</v>
      </c>
      <c r="X61" s="297">
        <v>0.81992799999999999</v>
      </c>
      <c r="Y61" s="297">
        <v>0.81319300000000005</v>
      </c>
      <c r="Z61" s="297">
        <v>0.80710899999999997</v>
      </c>
      <c r="AA61" s="297">
        <v>0.80122000000000004</v>
      </c>
      <c r="AB61" s="297">
        <v>0.795458</v>
      </c>
      <c r="AC61" s="297">
        <v>0.79006900000000002</v>
      </c>
      <c r="AD61" s="297">
        <v>0.78411900000000001</v>
      </c>
      <c r="AE61" s="297">
        <v>0.77970600000000001</v>
      </c>
      <c r="AF61" s="297">
        <v>0.77555200000000002</v>
      </c>
      <c r="AG61" s="297">
        <v>0.771922</v>
      </c>
      <c r="AH61" s="297">
        <v>0.76868800000000004</v>
      </c>
      <c r="AI61" s="297">
        <v>0.76499200000000001</v>
      </c>
      <c r="AJ61" s="297">
        <v>0.76103399999999999</v>
      </c>
      <c r="AK61" s="298">
        <v>-8.0000000000000002E-3</v>
      </c>
    </row>
    <row r="62" spans="1:37">
      <c r="A62" s="6" t="s">
        <v>710</v>
      </c>
      <c r="B62" s="352">
        <v>5.3221449851989702</v>
      </c>
      <c r="C62" s="352">
        <v>5.2595095634460396</v>
      </c>
      <c r="D62" s="352">
        <v>4.9765362739562997</v>
      </c>
      <c r="E62" s="352">
        <v>4.70910596847534</v>
      </c>
      <c r="F62" s="353">
        <v>4.5219602584838903</v>
      </c>
      <c r="G62" s="297">
        <v>4.4511919999999998</v>
      </c>
      <c r="H62" s="297">
        <v>4.421297</v>
      </c>
      <c r="I62" s="297">
        <v>4.5209929999999998</v>
      </c>
      <c r="J62" s="297">
        <v>4.6163509999999999</v>
      </c>
      <c r="K62" s="297">
        <v>4.7672689999999998</v>
      </c>
      <c r="L62" s="297">
        <v>4.940448</v>
      </c>
      <c r="M62" s="297">
        <v>5.0828059999999997</v>
      </c>
      <c r="N62" s="297">
        <v>5.1973799999999999</v>
      </c>
      <c r="O62" s="297">
        <v>5.2962569999999998</v>
      </c>
      <c r="P62" s="297">
        <v>5.3737599999999999</v>
      </c>
      <c r="Q62" s="297">
        <v>5.42516</v>
      </c>
      <c r="R62" s="297">
        <v>5.4817600000000004</v>
      </c>
      <c r="S62" s="297">
        <v>5.536664</v>
      </c>
      <c r="T62" s="297">
        <v>5.5895760000000001</v>
      </c>
      <c r="U62" s="297">
        <v>5.635637</v>
      </c>
      <c r="V62" s="297">
        <v>5.6575449999999998</v>
      </c>
      <c r="W62" s="297">
        <v>5.6945290000000002</v>
      </c>
      <c r="X62" s="297">
        <v>5.724005</v>
      </c>
      <c r="Y62" s="297">
        <v>5.7184200000000001</v>
      </c>
      <c r="Z62" s="297">
        <v>5.7229380000000001</v>
      </c>
      <c r="AA62" s="297">
        <v>5.7270849999999998</v>
      </c>
      <c r="AB62" s="297">
        <v>5.7279549999999997</v>
      </c>
      <c r="AC62" s="297">
        <v>5.7151949999999996</v>
      </c>
      <c r="AD62" s="297">
        <v>5.7039289999999996</v>
      </c>
      <c r="AE62" s="297">
        <v>5.6985010000000003</v>
      </c>
      <c r="AF62" s="297">
        <v>5.6904269999999997</v>
      </c>
      <c r="AG62" s="297">
        <v>5.7088890000000001</v>
      </c>
      <c r="AH62" s="297">
        <v>5.7191020000000004</v>
      </c>
      <c r="AI62" s="297">
        <v>5.7061400000000004</v>
      </c>
      <c r="AJ62" s="297">
        <v>5.6839209999999998</v>
      </c>
      <c r="AK62" s="298">
        <v>8.9999999999999993E-3</v>
      </c>
    </row>
    <row r="63" spans="1:37">
      <c r="A63" s="6" t="s">
        <v>160</v>
      </c>
      <c r="B63" s="352">
        <v>14.205528259277299</v>
      </c>
      <c r="C63" s="352">
        <v>14.253752708435099</v>
      </c>
      <c r="D63" s="352">
        <v>13.661909103393601</v>
      </c>
      <c r="E63" s="352">
        <v>13.477608680725099</v>
      </c>
      <c r="F63" s="353">
        <v>13.9932947158813</v>
      </c>
      <c r="G63" s="297">
        <v>13.653123000000001</v>
      </c>
      <c r="H63" s="297">
        <v>13.443807</v>
      </c>
      <c r="I63" s="297">
        <v>13.46326</v>
      </c>
      <c r="J63" s="297">
        <v>13.410075000000001</v>
      </c>
      <c r="K63" s="297">
        <v>13.391593</v>
      </c>
      <c r="L63" s="297">
        <v>13.423278</v>
      </c>
      <c r="M63" s="297">
        <v>13.416093</v>
      </c>
      <c r="N63" s="297">
        <v>13.359128999999999</v>
      </c>
      <c r="O63" s="297">
        <v>13.277658000000001</v>
      </c>
      <c r="P63" s="297">
        <v>13.193913999999999</v>
      </c>
      <c r="Q63" s="297">
        <v>13.108468</v>
      </c>
      <c r="R63" s="297">
        <v>13.021044</v>
      </c>
      <c r="S63" s="297">
        <v>12.924597</v>
      </c>
      <c r="T63" s="297">
        <v>12.819832</v>
      </c>
      <c r="U63" s="297">
        <v>12.713536</v>
      </c>
      <c r="V63" s="297">
        <v>12.616394</v>
      </c>
      <c r="W63" s="297">
        <v>12.527696000000001</v>
      </c>
      <c r="X63" s="297">
        <v>12.445028000000001</v>
      </c>
      <c r="Y63" s="297">
        <v>12.377145000000001</v>
      </c>
      <c r="Z63" s="297">
        <v>12.324268</v>
      </c>
      <c r="AA63" s="297">
        <v>12.281888</v>
      </c>
      <c r="AB63" s="297">
        <v>12.244210000000001</v>
      </c>
      <c r="AC63" s="297">
        <v>12.219082999999999</v>
      </c>
      <c r="AD63" s="297">
        <v>12.208591999999999</v>
      </c>
      <c r="AE63" s="297">
        <v>12.201549</v>
      </c>
      <c r="AF63" s="297">
        <v>12.192887000000001</v>
      </c>
      <c r="AG63" s="297">
        <v>12.189211999999999</v>
      </c>
      <c r="AH63" s="297">
        <v>12.193395000000001</v>
      </c>
      <c r="AI63" s="297">
        <v>12.201965</v>
      </c>
      <c r="AJ63" s="297">
        <v>12.203708000000001</v>
      </c>
      <c r="AK63" s="298">
        <v>-3.0000000000000001E-3</v>
      </c>
    </row>
    <row r="64" spans="1:37">
      <c r="A64" s="6" t="s">
        <v>711</v>
      </c>
      <c r="B64" s="352">
        <v>0.28576692938804599</v>
      </c>
      <c r="C64" s="352">
        <v>0.295045405626297</v>
      </c>
      <c r="D64" s="352">
        <v>0.215673848986626</v>
      </c>
      <c r="E64" s="352">
        <v>0.21838557720184301</v>
      </c>
      <c r="F64" s="353">
        <v>0.21773074567317999</v>
      </c>
      <c r="G64" s="297">
        <v>0.13995199999999999</v>
      </c>
      <c r="H64" s="297">
        <v>0.10258100000000001</v>
      </c>
      <c r="I64" s="297">
        <v>9.1968999999999995E-2</v>
      </c>
      <c r="J64" s="297">
        <v>9.2428999999999997E-2</v>
      </c>
      <c r="K64" s="297">
        <v>9.2261999999999997E-2</v>
      </c>
      <c r="L64" s="297">
        <v>8.9524000000000006E-2</v>
      </c>
      <c r="M64" s="297">
        <v>7.9076999999999995E-2</v>
      </c>
      <c r="N64" s="297">
        <v>8.0381999999999995E-2</v>
      </c>
      <c r="O64" s="297">
        <v>8.0076999999999995E-2</v>
      </c>
      <c r="P64" s="297">
        <v>8.0298999999999995E-2</v>
      </c>
      <c r="Q64" s="297">
        <v>8.0979999999999996E-2</v>
      </c>
      <c r="R64" s="297">
        <v>8.1548999999999996E-2</v>
      </c>
      <c r="S64" s="297">
        <v>8.2155000000000006E-2</v>
      </c>
      <c r="T64" s="297">
        <v>8.3019999999999997E-2</v>
      </c>
      <c r="U64" s="297">
        <v>8.3024000000000001E-2</v>
      </c>
      <c r="V64" s="297">
        <v>8.1849000000000005E-2</v>
      </c>
      <c r="W64" s="297">
        <v>8.1641000000000005E-2</v>
      </c>
      <c r="X64" s="297">
        <v>8.1735000000000002E-2</v>
      </c>
      <c r="Y64" s="297">
        <v>8.2040000000000002E-2</v>
      </c>
      <c r="Z64" s="297">
        <v>8.2365999999999995E-2</v>
      </c>
      <c r="AA64" s="297">
        <v>8.1250000000000003E-2</v>
      </c>
      <c r="AB64" s="297">
        <v>8.1303E-2</v>
      </c>
      <c r="AC64" s="297">
        <v>8.1448999999999994E-2</v>
      </c>
      <c r="AD64" s="297">
        <v>8.1864999999999993E-2</v>
      </c>
      <c r="AE64" s="297">
        <v>8.2123000000000002E-2</v>
      </c>
      <c r="AF64" s="297">
        <v>8.2472000000000004E-2</v>
      </c>
      <c r="AG64" s="297">
        <v>8.2769999999999996E-2</v>
      </c>
      <c r="AH64" s="297">
        <v>8.3155000000000007E-2</v>
      </c>
      <c r="AI64" s="297">
        <v>8.3571999999999994E-2</v>
      </c>
      <c r="AJ64" s="297">
        <v>8.3961999999999995E-2</v>
      </c>
      <c r="AK64" s="298">
        <v>-7.0000000000000001E-3</v>
      </c>
    </row>
    <row r="65" spans="1:37">
      <c r="A65" s="6" t="s">
        <v>159</v>
      </c>
      <c r="B65" s="352">
        <v>20.654685974121101</v>
      </c>
      <c r="C65" s="352">
        <v>20.6498107910156</v>
      </c>
      <c r="D65" s="352">
        <v>19.5445957183838</v>
      </c>
      <c r="E65" s="352">
        <v>19.245325088501001</v>
      </c>
      <c r="F65" s="353">
        <v>19.787778854370099</v>
      </c>
      <c r="G65" s="249">
        <v>18.92342</v>
      </c>
      <c r="H65" s="249">
        <v>18.486381999999999</v>
      </c>
      <c r="I65" s="249">
        <v>18.638722999999999</v>
      </c>
      <c r="J65" s="249">
        <v>18.700082999999999</v>
      </c>
      <c r="K65" s="249">
        <v>19.167159999999999</v>
      </c>
      <c r="L65" s="249">
        <v>19.368099000000001</v>
      </c>
      <c r="M65" s="249">
        <v>19.486657999999998</v>
      </c>
      <c r="N65" s="249">
        <v>19.537004</v>
      </c>
      <c r="O65" s="249">
        <v>19.544903000000001</v>
      </c>
      <c r="P65" s="249">
        <v>19.529665000000001</v>
      </c>
      <c r="Q65" s="249">
        <v>19.486916000000001</v>
      </c>
      <c r="R65" s="249">
        <v>19.44755</v>
      </c>
      <c r="S65" s="249">
        <v>19.398457000000001</v>
      </c>
      <c r="T65" s="249">
        <v>19.339873999999998</v>
      </c>
      <c r="U65" s="249">
        <v>19.272027999999999</v>
      </c>
      <c r="V65" s="249">
        <v>19.188255000000002</v>
      </c>
      <c r="W65" s="249">
        <v>19.129000000000001</v>
      </c>
      <c r="X65" s="249">
        <v>19.069431000000002</v>
      </c>
      <c r="Y65" s="249">
        <v>18.989547999999999</v>
      </c>
      <c r="Z65" s="249">
        <v>18.935445999999999</v>
      </c>
      <c r="AA65" s="249">
        <v>18.890217</v>
      </c>
      <c r="AB65" s="249">
        <v>18.847709999999999</v>
      </c>
      <c r="AC65" s="249">
        <v>18.804594000000002</v>
      </c>
      <c r="AD65" s="249">
        <v>18.777315000000002</v>
      </c>
      <c r="AE65" s="249">
        <v>18.760704</v>
      </c>
      <c r="AF65" s="249">
        <v>18.740176999999999</v>
      </c>
      <c r="AG65" s="249">
        <v>18.751633000000002</v>
      </c>
      <c r="AH65" s="249">
        <v>18.763190999999999</v>
      </c>
      <c r="AI65" s="249">
        <v>18.755531000000001</v>
      </c>
      <c r="AJ65" s="249">
        <v>18.731504000000001</v>
      </c>
      <c r="AK65" s="250">
        <v>0</v>
      </c>
    </row>
    <row r="66" spans="1:37">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row>
    <row r="67" spans="1:37">
      <c r="A67" s="6" t="s">
        <v>712</v>
      </c>
      <c r="B67" s="352">
        <v>4.2667388916015597E-2</v>
      </c>
      <c r="C67" s="352">
        <v>0.11821937561035201</v>
      </c>
      <c r="D67" s="352">
        <v>0.102603912353516</v>
      </c>
      <c r="E67" s="352">
        <v>0.17598533630371099</v>
      </c>
      <c r="F67" s="353">
        <v>-0.19984626770019501</v>
      </c>
      <c r="G67" s="297">
        <v>1.5162999999999999E-2</v>
      </c>
      <c r="H67" s="297">
        <v>0.105907</v>
      </c>
      <c r="I67" s="297">
        <v>0.34659600000000002</v>
      </c>
      <c r="J67" s="297">
        <v>0.115158</v>
      </c>
      <c r="K67" s="297">
        <v>-9.7140000000000004E-3</v>
      </c>
      <c r="L67" s="297">
        <v>-9.1500000000000001E-3</v>
      </c>
      <c r="M67" s="297">
        <v>-9.129E-3</v>
      </c>
      <c r="N67" s="297">
        <v>-9.3959999999999998E-3</v>
      </c>
      <c r="O67" s="297">
        <v>-9.4409999999999997E-3</v>
      </c>
      <c r="P67" s="297">
        <v>-9.2980000000000007E-3</v>
      </c>
      <c r="Q67" s="297">
        <v>-9.8270000000000007E-3</v>
      </c>
      <c r="R67" s="297">
        <v>-9.7409999999999997E-3</v>
      </c>
      <c r="S67" s="297">
        <v>-9.6889999999999997E-3</v>
      </c>
      <c r="T67" s="297">
        <v>-9.8569999999999994E-3</v>
      </c>
      <c r="U67" s="297">
        <v>-9.7099999999999999E-3</v>
      </c>
      <c r="V67" s="297">
        <v>-9.4129999999999995E-3</v>
      </c>
      <c r="W67" s="297">
        <v>-9.7260000000000003E-3</v>
      </c>
      <c r="X67" s="297">
        <v>-9.5440000000000004E-3</v>
      </c>
      <c r="Y67" s="297">
        <v>-8.9110000000000005E-3</v>
      </c>
      <c r="Z67" s="297">
        <v>-9.2739999999999993E-3</v>
      </c>
      <c r="AA67" s="297">
        <v>-9.4389999999999995E-3</v>
      </c>
      <c r="AB67" s="297">
        <v>-9.6170000000000005E-3</v>
      </c>
      <c r="AC67" s="297">
        <v>-9.1479999999999999E-3</v>
      </c>
      <c r="AD67" s="297">
        <v>-8.9969999999999998E-3</v>
      </c>
      <c r="AE67" s="297">
        <v>-8.8159999999999992E-3</v>
      </c>
      <c r="AF67" s="297">
        <v>-8.2660000000000008E-3</v>
      </c>
      <c r="AG67" s="297">
        <v>-8.2740000000000001E-3</v>
      </c>
      <c r="AH67" s="297">
        <v>-7.711E-3</v>
      </c>
      <c r="AI67" s="297">
        <v>-7.0080000000000003E-3</v>
      </c>
      <c r="AJ67" s="297">
        <v>-6.5420000000000001E-3</v>
      </c>
      <c r="AK67" s="297" t="s">
        <v>41</v>
      </c>
    </row>
    <row r="68" spans="1:37">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row>
    <row r="69" spans="1:37">
      <c r="A69" s="6" t="s">
        <v>713</v>
      </c>
      <c r="B69" s="366">
        <v>17.3390007019043</v>
      </c>
      <c r="C69" s="366">
        <v>17.4409999847412</v>
      </c>
      <c r="D69" s="366">
        <v>17.5890007019043</v>
      </c>
      <c r="E69" s="366">
        <v>17.5890007019043</v>
      </c>
      <c r="F69" s="367">
        <v>17.994850158691399</v>
      </c>
      <c r="G69" s="297">
        <v>17.704999999999998</v>
      </c>
      <c r="H69" s="297">
        <v>17.315000999999999</v>
      </c>
      <c r="I69" s="297">
        <v>17.818999999999999</v>
      </c>
      <c r="J69" s="297">
        <v>17.818999999999999</v>
      </c>
      <c r="K69" s="297">
        <v>18.114657999999999</v>
      </c>
      <c r="L69" s="297">
        <v>18.129657999999999</v>
      </c>
      <c r="M69" s="297">
        <v>18.129657999999999</v>
      </c>
      <c r="N69" s="297">
        <v>18.129657999999999</v>
      </c>
      <c r="O69" s="297">
        <v>18.129657999999999</v>
      </c>
      <c r="P69" s="297">
        <v>18.129657999999999</v>
      </c>
      <c r="Q69" s="297">
        <v>18.129657999999999</v>
      </c>
      <c r="R69" s="297">
        <v>18.129657999999999</v>
      </c>
      <c r="S69" s="297">
        <v>18.129657999999999</v>
      </c>
      <c r="T69" s="297">
        <v>18.129657999999999</v>
      </c>
      <c r="U69" s="297">
        <v>18.129657999999999</v>
      </c>
      <c r="V69" s="297">
        <v>18.129657999999999</v>
      </c>
      <c r="W69" s="297">
        <v>18.129657999999999</v>
      </c>
      <c r="X69" s="297">
        <v>18.129657999999999</v>
      </c>
      <c r="Y69" s="297">
        <v>18.129657999999999</v>
      </c>
      <c r="Z69" s="297">
        <v>18.129657999999999</v>
      </c>
      <c r="AA69" s="297">
        <v>18.129657999999999</v>
      </c>
      <c r="AB69" s="297">
        <v>18.129657999999999</v>
      </c>
      <c r="AC69" s="297">
        <v>18.129657999999999</v>
      </c>
      <c r="AD69" s="297">
        <v>18.129657999999999</v>
      </c>
      <c r="AE69" s="297">
        <v>18.129657999999999</v>
      </c>
      <c r="AF69" s="297">
        <v>18.129657999999999</v>
      </c>
      <c r="AG69" s="297">
        <v>18.129657999999999</v>
      </c>
      <c r="AH69" s="297">
        <v>18.129657999999999</v>
      </c>
      <c r="AI69" s="297">
        <v>18.129657999999999</v>
      </c>
      <c r="AJ69" s="297">
        <v>18.129657999999999</v>
      </c>
      <c r="AK69" s="298">
        <v>2E-3</v>
      </c>
    </row>
    <row r="70" spans="1:37">
      <c r="A70" s="6" t="s">
        <v>714</v>
      </c>
      <c r="B70" s="366">
        <v>90</v>
      </c>
      <c r="C70" s="366">
        <v>89</v>
      </c>
      <c r="D70" s="366">
        <v>85</v>
      </c>
      <c r="E70" s="366">
        <v>84</v>
      </c>
      <c r="F70" s="367">
        <v>78.951698303222699</v>
      </c>
      <c r="G70" s="297">
        <v>86</v>
      </c>
      <c r="H70" s="297">
        <v>89</v>
      </c>
      <c r="I70" s="297">
        <v>87</v>
      </c>
      <c r="J70" s="297">
        <v>87</v>
      </c>
      <c r="K70" s="297">
        <v>83.929221999999996</v>
      </c>
      <c r="L70" s="297">
        <v>84.444526999999994</v>
      </c>
      <c r="M70" s="297">
        <v>84.784676000000005</v>
      </c>
      <c r="N70" s="297">
        <v>84.856537000000003</v>
      </c>
      <c r="O70" s="297">
        <v>84.762580999999997</v>
      </c>
      <c r="P70" s="297">
        <v>84.610602999999998</v>
      </c>
      <c r="Q70" s="297">
        <v>84.422150000000002</v>
      </c>
      <c r="R70" s="297">
        <v>84.011527999999998</v>
      </c>
      <c r="S70" s="297">
        <v>83.650841</v>
      </c>
      <c r="T70" s="297">
        <v>83.337349000000003</v>
      </c>
      <c r="U70" s="297">
        <v>83.051040999999998</v>
      </c>
      <c r="V70" s="297">
        <v>82.852858999999995</v>
      </c>
      <c r="W70" s="297">
        <v>82.751807999999997</v>
      </c>
      <c r="X70" s="297">
        <v>82.579086000000004</v>
      </c>
      <c r="Y70" s="297">
        <v>82.446686</v>
      </c>
      <c r="Z70" s="297">
        <v>82.407532000000003</v>
      </c>
      <c r="AA70" s="297">
        <v>82.401390000000006</v>
      </c>
      <c r="AB70" s="297">
        <v>82.379172999999994</v>
      </c>
      <c r="AC70" s="297">
        <v>82.419548000000006</v>
      </c>
      <c r="AD70" s="297">
        <v>82.643226999999996</v>
      </c>
      <c r="AE70" s="297">
        <v>82.856575000000007</v>
      </c>
      <c r="AF70" s="297">
        <v>83.059607999999997</v>
      </c>
      <c r="AG70" s="297">
        <v>83.321395999999993</v>
      </c>
      <c r="AH70" s="297">
        <v>83.713463000000004</v>
      </c>
      <c r="AI70" s="297">
        <v>83.800713000000002</v>
      </c>
      <c r="AJ70" s="297">
        <v>83.967208999999997</v>
      </c>
      <c r="AK70" s="298">
        <v>-2E-3</v>
      </c>
    </row>
    <row r="71" spans="1:37">
      <c r="A71" s="6" t="s">
        <v>158</v>
      </c>
      <c r="B71" s="366">
        <v>60.165718078613303</v>
      </c>
      <c r="C71" s="366">
        <v>58.3234672546387</v>
      </c>
      <c r="D71" s="366">
        <v>56.096931457519503</v>
      </c>
      <c r="E71" s="366">
        <v>53.113201141357401</v>
      </c>
      <c r="F71" s="367">
        <v>50.657768249511697</v>
      </c>
      <c r="G71" s="297">
        <v>45.229275000000001</v>
      </c>
      <c r="H71" s="297">
        <v>40.315280999999999</v>
      </c>
      <c r="I71" s="297">
        <v>33.537674000000003</v>
      </c>
      <c r="J71" s="297">
        <v>28.732861</v>
      </c>
      <c r="K71" s="297">
        <v>27.439371000000001</v>
      </c>
      <c r="L71" s="297">
        <v>25.212821999999999</v>
      </c>
      <c r="M71" s="297">
        <v>25.371447</v>
      </c>
      <c r="N71" s="297">
        <v>25.397780999999998</v>
      </c>
      <c r="O71" s="297">
        <v>25.272306</v>
      </c>
      <c r="P71" s="297">
        <v>25.605276</v>
      </c>
      <c r="Q71" s="297">
        <v>26.339932999999998</v>
      </c>
      <c r="R71" s="297">
        <v>26.391024000000002</v>
      </c>
      <c r="S71" s="297">
        <v>26.330031999999999</v>
      </c>
      <c r="T71" s="297">
        <v>26.557704999999999</v>
      </c>
      <c r="U71" s="297">
        <v>26.574638</v>
      </c>
      <c r="V71" s="297">
        <v>27.074511000000001</v>
      </c>
      <c r="W71" s="297">
        <v>27.628391000000001</v>
      </c>
      <c r="X71" s="297">
        <v>28.164417</v>
      </c>
      <c r="Y71" s="297">
        <v>28.574669</v>
      </c>
      <c r="Z71" s="297">
        <v>28.600802999999999</v>
      </c>
      <c r="AA71" s="297">
        <v>29.035553</v>
      </c>
      <c r="AB71" s="297">
        <v>29.225125999999999</v>
      </c>
      <c r="AC71" s="297">
        <v>29.185209</v>
      </c>
      <c r="AD71" s="297">
        <v>29.338975999999999</v>
      </c>
      <c r="AE71" s="297">
        <v>29.911650000000002</v>
      </c>
      <c r="AF71" s="297">
        <v>30.578768</v>
      </c>
      <c r="AG71" s="297">
        <v>30.764973000000001</v>
      </c>
      <c r="AH71" s="297">
        <v>31.641760000000001</v>
      </c>
      <c r="AI71" s="297">
        <v>31.827915000000001</v>
      </c>
      <c r="AJ71" s="297">
        <v>32.156517000000001</v>
      </c>
      <c r="AK71" s="298">
        <v>-8.0000000000000002E-3</v>
      </c>
    </row>
    <row r="72" spans="1:37" s="269" customFormat="1">
      <c r="A72" s="268" t="s">
        <v>157</v>
      </c>
      <c r="B72" s="352">
        <v>15.605100631713899</v>
      </c>
      <c r="C72" s="352">
        <v>15.522489547729499</v>
      </c>
      <c r="D72" s="352">
        <v>14.950650215148899</v>
      </c>
      <c r="E72" s="352">
        <v>14.7747602462769</v>
      </c>
      <c r="F72" s="353">
        <v>14.2072401046753</v>
      </c>
      <c r="G72" s="318">
        <v>14.3342885971069</v>
      </c>
      <c r="H72" s="318">
        <v>14.411810874939</v>
      </c>
      <c r="I72" s="318">
        <v>14.427806854248001</v>
      </c>
      <c r="J72" s="318">
        <v>14.247616767883301</v>
      </c>
      <c r="K72" s="318">
        <v>14.1760416030884</v>
      </c>
      <c r="L72" s="318">
        <v>14.1692085266113</v>
      </c>
      <c r="M72" s="318">
        <v>14.217811584472701</v>
      </c>
      <c r="N72" s="318">
        <v>14.219580650329601</v>
      </c>
      <c r="O72" s="318">
        <v>14.2103576660156</v>
      </c>
      <c r="P72" s="318">
        <v>14.200039863586399</v>
      </c>
      <c r="Q72" s="318">
        <v>14.1303453445435</v>
      </c>
      <c r="R72" s="318">
        <v>14.095740318298301</v>
      </c>
      <c r="S72" s="318">
        <v>14.0861167907715</v>
      </c>
      <c r="T72" s="318">
        <v>14.1125946044922</v>
      </c>
      <c r="U72" s="318">
        <v>14.163477897644</v>
      </c>
      <c r="V72" s="318">
        <v>14.242433547973601</v>
      </c>
      <c r="W72" s="318">
        <v>14.2973442077637</v>
      </c>
      <c r="X72" s="318">
        <v>14.4011936187744</v>
      </c>
      <c r="Y72" s="318">
        <v>14.4425506591797</v>
      </c>
      <c r="Z72" s="318">
        <v>14.573932647705099</v>
      </c>
      <c r="AA72" s="318"/>
      <c r="AB72" s="318"/>
      <c r="AC72" s="318"/>
      <c r="AD72" s="318"/>
      <c r="AE72" s="318"/>
      <c r="AF72" s="318"/>
      <c r="AG72" s="318"/>
      <c r="AH72" s="318"/>
      <c r="AI72" s="318"/>
      <c r="AJ72" s="318"/>
      <c r="AK72" s="319">
        <v>-2.73776054382324E-3</v>
      </c>
    </row>
    <row r="73" spans="1:37">
      <c r="A73" s="6" t="s">
        <v>156</v>
      </c>
    </row>
    <row r="74" spans="1:37">
      <c r="A74" s="6" t="s">
        <v>601</v>
      </c>
      <c r="B74" s="352">
        <v>272.80218505859398</v>
      </c>
      <c r="C74" s="352">
        <v>280.12564086914102</v>
      </c>
      <c r="D74" s="352">
        <v>321.28717041015602</v>
      </c>
      <c r="E74" s="352">
        <v>195.51596069335901</v>
      </c>
      <c r="F74" s="353">
        <v>246.62348937988301</v>
      </c>
      <c r="G74" s="297">
        <v>494.73007200000001</v>
      </c>
      <c r="H74" s="297">
        <v>313.70205700000002</v>
      </c>
      <c r="I74" s="297">
        <v>257.058716</v>
      </c>
      <c r="J74" s="297">
        <v>219.518845</v>
      </c>
      <c r="K74" s="297">
        <v>213.13346899999999</v>
      </c>
      <c r="L74" s="297">
        <v>192.04028299999999</v>
      </c>
      <c r="M74" s="297">
        <v>190.19305399999999</v>
      </c>
      <c r="N74" s="297">
        <v>190.97583</v>
      </c>
      <c r="O74" s="297">
        <v>193.05748</v>
      </c>
      <c r="P74" s="297">
        <v>198.85289</v>
      </c>
      <c r="Q74" s="297">
        <v>207.326324</v>
      </c>
      <c r="R74" s="297">
        <v>214.50224299999999</v>
      </c>
      <c r="S74" s="297">
        <v>220.992096</v>
      </c>
      <c r="T74" s="297">
        <v>228.38960299999999</v>
      </c>
      <c r="U74" s="297">
        <v>234.269226</v>
      </c>
      <c r="V74" s="297">
        <v>243.98199500000001</v>
      </c>
      <c r="W74" s="297">
        <v>254.790054</v>
      </c>
      <c r="X74" s="297">
        <v>263.61831699999999</v>
      </c>
      <c r="Y74" s="297">
        <v>272.543701</v>
      </c>
      <c r="Z74" s="297">
        <v>278.59802200000001</v>
      </c>
      <c r="AA74" s="297">
        <v>289.04888899999997</v>
      </c>
      <c r="AB74" s="297">
        <v>297.603973</v>
      </c>
      <c r="AC74" s="297">
        <v>305.14331099999998</v>
      </c>
      <c r="AD74" s="297">
        <v>315.75491299999999</v>
      </c>
      <c r="AE74" s="297">
        <v>327.328461</v>
      </c>
      <c r="AF74" s="297">
        <v>338.67947400000003</v>
      </c>
      <c r="AG74" s="297">
        <v>347.810272</v>
      </c>
      <c r="AH74" s="297">
        <v>363.35360700000001</v>
      </c>
      <c r="AI74" s="297">
        <v>372.92919899999998</v>
      </c>
      <c r="AJ74" s="297">
        <v>385.39370700000001</v>
      </c>
      <c r="AK74" s="298">
        <v>7.0000000000000001E-3</v>
      </c>
    </row>
    <row r="78" spans="1:37" s="267" customFormat="1" ht="15" customHeight="1">
      <c r="A78" s="550" t="s">
        <v>602</v>
      </c>
      <c r="B78" s="550"/>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302"/>
      <c r="AH78" s="302"/>
      <c r="AI78" s="302"/>
      <c r="AJ78" s="302"/>
      <c r="AK78" s="302"/>
    </row>
    <row r="79" spans="1:37" customFormat="1" ht="15" customHeight="1">
      <c r="A79" s="551" t="s">
        <v>603</v>
      </c>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301"/>
      <c r="AH79" s="301"/>
      <c r="AI79" s="301"/>
      <c r="AJ79" s="301"/>
      <c r="AK79" s="301"/>
    </row>
    <row r="80" spans="1:37" customFormat="1" ht="15" customHeight="1">
      <c r="A80" s="551" t="s">
        <v>604</v>
      </c>
      <c r="B80" s="551"/>
      <c r="C80" s="551"/>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301"/>
      <c r="AH80" s="301"/>
      <c r="AI80" s="301"/>
      <c r="AJ80" s="301"/>
      <c r="AK80" s="301"/>
    </row>
    <row r="81" spans="1:37" customFormat="1" ht="15" customHeight="1">
      <c r="A81" s="551" t="s">
        <v>605</v>
      </c>
      <c r="B81" s="551"/>
      <c r="C81" s="551"/>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301"/>
      <c r="AH81" s="301"/>
      <c r="AI81" s="301"/>
      <c r="AJ81" s="301"/>
      <c r="AK81" s="301"/>
    </row>
    <row r="82" spans="1:37" customFormat="1" ht="15" customHeight="1">
      <c r="A82" s="551" t="s">
        <v>606</v>
      </c>
      <c r="B82" s="551"/>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301"/>
      <c r="AH82" s="301"/>
      <c r="AI82" s="301"/>
      <c r="AJ82" s="301"/>
      <c r="AK82" s="301"/>
    </row>
    <row r="83" spans="1:37" customFormat="1" ht="15" customHeight="1">
      <c r="A83" s="551" t="s">
        <v>607</v>
      </c>
      <c r="B83" s="551"/>
      <c r="C83" s="551"/>
      <c r="D83" s="551"/>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301"/>
      <c r="AH83" s="301"/>
      <c r="AI83" s="301"/>
      <c r="AJ83" s="301"/>
      <c r="AK83" s="301"/>
    </row>
    <row r="84" spans="1:37" customFormat="1" ht="15" customHeight="1">
      <c r="A84" s="551" t="s">
        <v>608</v>
      </c>
      <c r="B84" s="551"/>
      <c r="C84" s="551"/>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301"/>
      <c r="AH84" s="301"/>
      <c r="AI84" s="301"/>
      <c r="AJ84" s="301"/>
      <c r="AK84" s="301"/>
    </row>
    <row r="85" spans="1:37" customFormat="1" ht="15" customHeight="1">
      <c r="A85" s="551" t="s">
        <v>609</v>
      </c>
      <c r="B85" s="551"/>
      <c r="C85" s="551"/>
      <c r="D85" s="551"/>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301"/>
      <c r="AH85" s="301"/>
      <c r="AI85" s="301"/>
      <c r="AJ85" s="301"/>
      <c r="AK85" s="301"/>
    </row>
    <row r="86" spans="1:37" customFormat="1" ht="15" customHeight="1">
      <c r="A86" s="551" t="s">
        <v>610</v>
      </c>
      <c r="B86" s="551"/>
      <c r="C86" s="551"/>
      <c r="D86" s="551"/>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301"/>
      <c r="AH86" s="301"/>
      <c r="AI86" s="301"/>
      <c r="AJ86" s="301"/>
      <c r="AK86" s="301"/>
    </row>
    <row r="87" spans="1:37" customFormat="1" ht="15" customHeight="1">
      <c r="A87" s="551" t="s">
        <v>611</v>
      </c>
      <c r="B87" s="551"/>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301"/>
      <c r="AH87" s="301"/>
      <c r="AI87" s="301"/>
      <c r="AJ87" s="301"/>
      <c r="AK87" s="301"/>
    </row>
    <row r="88" spans="1:37" customFormat="1" ht="15" customHeight="1">
      <c r="A88" s="551" t="s">
        <v>612</v>
      </c>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301"/>
      <c r="AH88" s="301"/>
      <c r="AI88" s="301"/>
      <c r="AJ88" s="301"/>
      <c r="AK88" s="301"/>
    </row>
    <row r="89" spans="1:37" customFormat="1" ht="15" customHeight="1">
      <c r="A89" s="551" t="s">
        <v>613</v>
      </c>
      <c r="B89" s="551"/>
      <c r="C89" s="551"/>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301"/>
      <c r="AH89" s="301"/>
      <c r="AI89" s="301"/>
      <c r="AJ89" s="301"/>
      <c r="AK89" s="301"/>
    </row>
    <row r="90" spans="1:37" customFormat="1" ht="15" customHeight="1">
      <c r="A90" s="551" t="s">
        <v>614</v>
      </c>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301"/>
      <c r="AH90" s="301"/>
      <c r="AI90" s="301"/>
      <c r="AJ90" s="301"/>
      <c r="AK90" s="301"/>
    </row>
    <row r="91" spans="1:37" customFormat="1" ht="15" customHeight="1">
      <c r="A91" s="551" t="s">
        <v>615</v>
      </c>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301"/>
      <c r="AH91" s="301"/>
      <c r="AI91" s="301"/>
      <c r="AJ91" s="301"/>
      <c r="AK91" s="301"/>
    </row>
    <row r="92" spans="1:37" customFormat="1" ht="15" customHeight="1">
      <c r="A92" s="551" t="s">
        <v>616</v>
      </c>
      <c r="B92" s="551"/>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301"/>
      <c r="AH92" s="301"/>
      <c r="AI92" s="301"/>
      <c r="AJ92" s="301"/>
      <c r="AK92" s="301"/>
    </row>
    <row r="93" spans="1:37" customFormat="1" ht="15" customHeight="1">
      <c r="A93" s="551" t="s">
        <v>617</v>
      </c>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301"/>
      <c r="AH93" s="301"/>
      <c r="AI93" s="301"/>
      <c r="AJ93" s="301"/>
      <c r="AK93" s="301"/>
    </row>
    <row r="94" spans="1:37" customFormat="1" ht="15" customHeight="1">
      <c r="A94" s="551" t="s">
        <v>618</v>
      </c>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301"/>
      <c r="AH94" s="301"/>
      <c r="AI94" s="301"/>
      <c r="AJ94" s="301"/>
      <c r="AK94" s="301"/>
    </row>
    <row r="95" spans="1:37" customFormat="1" ht="15" customHeight="1">
      <c r="A95" s="551" t="s">
        <v>619</v>
      </c>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301"/>
      <c r="AH95" s="301"/>
      <c r="AI95" s="301"/>
      <c r="AJ95" s="301"/>
      <c r="AK95" s="301"/>
    </row>
    <row r="96" spans="1:37" customFormat="1" ht="15" customHeight="1">
      <c r="A96" s="551" t="s">
        <v>620</v>
      </c>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301"/>
      <c r="AH96" s="301"/>
      <c r="AI96" s="301"/>
      <c r="AJ96" s="301"/>
      <c r="AK96" s="301"/>
    </row>
    <row r="97" spans="1:37" customFormat="1" ht="15" customHeight="1">
      <c r="A97" s="551" t="s">
        <v>621</v>
      </c>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301"/>
      <c r="AH97" s="301"/>
      <c r="AI97" s="301"/>
      <c r="AJ97" s="301"/>
      <c r="AK97" s="301"/>
    </row>
    <row r="98" spans="1:37" customFormat="1" ht="15" customHeight="1">
      <c r="A98" s="551" t="s">
        <v>622</v>
      </c>
      <c r="B98" s="551"/>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301"/>
      <c r="AH98" s="301"/>
      <c r="AI98" s="301"/>
      <c r="AJ98" s="301"/>
      <c r="AK98" s="301"/>
    </row>
    <row r="99" spans="1:37" customFormat="1" ht="15" customHeight="1">
      <c r="A99" s="551" t="s">
        <v>623</v>
      </c>
      <c r="B99" s="551"/>
      <c r="C99" s="551"/>
      <c r="D99" s="551"/>
      <c r="E99" s="55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301"/>
      <c r="AH99" s="301"/>
      <c r="AI99" s="301"/>
      <c r="AJ99" s="301"/>
      <c r="AK99" s="301"/>
    </row>
    <row r="100" spans="1:37" customFormat="1" ht="15" customHeight="1">
      <c r="A100" s="551" t="s">
        <v>624</v>
      </c>
      <c r="B100" s="551"/>
      <c r="C100" s="551"/>
      <c r="D100" s="551"/>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c r="AG100" s="301"/>
      <c r="AH100" s="301"/>
      <c r="AI100" s="301"/>
      <c r="AJ100" s="301"/>
      <c r="AK100" s="301"/>
    </row>
    <row r="101" spans="1:37" customFormat="1" ht="15" customHeight="1">
      <c r="A101" s="551" t="s">
        <v>625</v>
      </c>
      <c r="B101" s="551"/>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301"/>
      <c r="AH101" s="301"/>
      <c r="AI101" s="301"/>
      <c r="AJ101" s="301"/>
      <c r="AK101" s="301"/>
    </row>
    <row r="102" spans="1:37" customFormat="1" ht="15" customHeight="1">
      <c r="A102" s="551" t="s">
        <v>626</v>
      </c>
      <c r="B102" s="551"/>
      <c r="C102" s="551"/>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c r="AG102" s="301"/>
      <c r="AH102" s="301"/>
      <c r="AI102" s="301"/>
      <c r="AJ102" s="301"/>
      <c r="AK102" s="301"/>
    </row>
    <row r="103" spans="1:37" customFormat="1" ht="15" customHeight="1">
      <c r="A103" s="551" t="s">
        <v>627</v>
      </c>
      <c r="B103" s="551"/>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301"/>
      <c r="AH103" s="301"/>
      <c r="AI103" s="301"/>
      <c r="AJ103" s="301"/>
      <c r="AK103" s="301"/>
    </row>
    <row r="104" spans="1:37" customFormat="1" ht="15" customHeight="1">
      <c r="A104" s="551" t="s">
        <v>628</v>
      </c>
      <c r="B104" s="551"/>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301"/>
      <c r="AH104" s="301"/>
      <c r="AI104" s="301"/>
      <c r="AJ104" s="301"/>
      <c r="AK104" s="301"/>
    </row>
    <row r="105" spans="1:37" customFormat="1" ht="15" customHeight="1">
      <c r="A105" s="551" t="s">
        <v>629</v>
      </c>
      <c r="B105" s="551"/>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301"/>
      <c r="AH105" s="301"/>
      <c r="AI105" s="301"/>
      <c r="AJ105" s="301"/>
      <c r="AK105" s="301"/>
    </row>
    <row r="106" spans="1:37" customFormat="1" ht="15" customHeight="1">
      <c r="A106" s="551" t="s">
        <v>630</v>
      </c>
      <c r="B106" s="551"/>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301"/>
      <c r="AH106" s="301"/>
      <c r="AI106" s="301"/>
      <c r="AJ106" s="301"/>
      <c r="AK106" s="301"/>
    </row>
    <row r="107" spans="1:37" customFormat="1" ht="15" customHeight="1">
      <c r="A107" s="551" t="s">
        <v>631</v>
      </c>
      <c r="B107" s="551"/>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301"/>
      <c r="AH107" s="301"/>
      <c r="AI107" s="301"/>
      <c r="AJ107" s="301"/>
      <c r="AK107" s="301"/>
    </row>
    <row r="108" spans="1:37" customFormat="1" ht="15" customHeight="1">
      <c r="A108" s="551" t="s">
        <v>632</v>
      </c>
      <c r="B108" s="551"/>
      <c r="C108" s="551"/>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301"/>
      <c r="AH108" s="301"/>
      <c r="AI108" s="301"/>
      <c r="AJ108" s="301"/>
      <c r="AK108" s="301"/>
    </row>
    <row r="109" spans="1:37" customFormat="1" ht="15" customHeight="1">
      <c r="A109" s="551" t="s">
        <v>633</v>
      </c>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301"/>
      <c r="AH109" s="301"/>
      <c r="AI109" s="301"/>
      <c r="AJ109" s="301"/>
      <c r="AK109" s="301"/>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535</v>
      </c>
    </row>
    <row r="4" spans="1:2">
      <c r="A4" t="s">
        <v>558</v>
      </c>
    </row>
    <row r="5" spans="1:2">
      <c r="B5" t="s">
        <v>534</v>
      </c>
    </row>
    <row r="7" spans="1:2">
      <c r="A7" t="s">
        <v>726</v>
      </c>
    </row>
    <row r="9" spans="1:2">
      <c r="A9" t="s">
        <v>533</v>
      </c>
    </row>
    <row r="10" spans="1:2">
      <c r="B10" t="s">
        <v>527</v>
      </c>
    </row>
    <row r="12" spans="1:2">
      <c r="A12" t="s">
        <v>720</v>
      </c>
    </row>
    <row r="14" spans="1:2">
      <c r="A14" t="s">
        <v>526</v>
      </c>
    </row>
    <row r="15" spans="1:2">
      <c r="B15" t="s">
        <v>528</v>
      </c>
    </row>
    <row r="17" spans="1:1">
      <c r="A17" t="s">
        <v>531</v>
      </c>
    </row>
    <row r="19" spans="1:1">
      <c r="A19" t="s">
        <v>532</v>
      </c>
    </row>
    <row r="21" spans="1:1">
      <c r="A21" t="s">
        <v>557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1"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31" customWidth="1"/>
    <col min="6" max="6" width="17" style="331" customWidth="1"/>
    <col min="7" max="7" width="15.5" style="331" customWidth="1"/>
    <col min="8" max="8" width="16.1640625" style="404"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6"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3"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1" customWidth="1"/>
    <col min="35" max="35" width="20.6640625" bestFit="1" customWidth="1"/>
    <col min="36" max="36" width="15.33203125" bestFit="1" customWidth="1"/>
    <col min="37" max="37" width="13.33203125" bestFit="1" customWidth="1"/>
    <col min="38" max="38" width="13.83203125" customWidth="1"/>
  </cols>
  <sheetData>
    <row r="1" spans="1:38" hidden="1">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row>
    <row r="2" spans="1:38" hidden="1">
      <c r="A2" s="52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row>
    <row r="3" spans="1:38" hidden="1">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row>
    <row r="4" spans="1:38" hidden="1">
      <c r="A4" s="521"/>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row>
    <row r="5" spans="1:38" hidden="1">
      <c r="A5" s="521"/>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row>
    <row r="6" spans="1:38" hidden="1">
      <c r="A6" s="521"/>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row>
    <row r="7" spans="1:38" ht="23.25" hidden="1" customHeight="1">
      <c r="A7" s="521"/>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row>
    <row r="8" spans="1:38" s="160" customFormat="1" ht="15.75" hidden="1" customHeight="1">
      <c r="A8" s="521"/>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row>
    <row r="9" spans="1:38" ht="21" hidden="1" customHeight="1">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row>
    <row r="10" spans="1:38">
      <c r="A10" t="s">
        <v>194</v>
      </c>
      <c r="B10" s="33" t="s">
        <v>133</v>
      </c>
      <c r="Y10" s="20"/>
      <c r="Z10" s="20"/>
      <c r="AA10" s="20"/>
      <c r="AB10" s="20"/>
      <c r="AC10" s="20"/>
      <c r="AD10" s="20"/>
      <c r="AE10" s="20"/>
      <c r="AF10" s="20"/>
      <c r="AG10" s="20"/>
      <c r="AH10" s="280"/>
    </row>
    <row r="11" spans="1:38" s="1" customFormat="1">
      <c r="B11" s="13"/>
      <c r="C11" s="332">
        <v>2009</v>
      </c>
      <c r="D11" s="332">
        <v>2010</v>
      </c>
      <c r="E11" s="332">
        <v>2011</v>
      </c>
      <c r="F11" s="332">
        <v>2012</v>
      </c>
      <c r="G11" s="332">
        <v>2013</v>
      </c>
      <c r="H11" s="405">
        <v>2014</v>
      </c>
      <c r="I11" s="13">
        <v>2015</v>
      </c>
      <c r="J11" s="13">
        <v>2016</v>
      </c>
      <c r="K11" s="13">
        <v>2017</v>
      </c>
      <c r="L11" s="13">
        <v>2018</v>
      </c>
      <c r="M11" s="13">
        <v>2019</v>
      </c>
      <c r="N11" s="177">
        <v>2020</v>
      </c>
      <c r="O11" s="13">
        <v>2021</v>
      </c>
      <c r="P11" s="13">
        <v>2022</v>
      </c>
      <c r="Q11" s="13">
        <v>2023</v>
      </c>
      <c r="R11" s="13">
        <v>2024</v>
      </c>
      <c r="S11" s="13">
        <v>2025</v>
      </c>
      <c r="T11" s="13">
        <v>2026</v>
      </c>
      <c r="U11" s="13">
        <v>2027</v>
      </c>
      <c r="V11" s="13">
        <v>2028</v>
      </c>
      <c r="W11" s="13">
        <v>2029</v>
      </c>
      <c r="X11" s="177">
        <v>2030</v>
      </c>
      <c r="Y11" s="13">
        <v>2031</v>
      </c>
      <c r="Z11" s="13">
        <v>2032</v>
      </c>
      <c r="AA11" s="13">
        <v>2033</v>
      </c>
      <c r="AB11" s="13">
        <v>2034</v>
      </c>
      <c r="AC11" s="13">
        <v>2035</v>
      </c>
      <c r="AD11" s="13">
        <v>2036</v>
      </c>
      <c r="AE11" s="13">
        <v>2037</v>
      </c>
      <c r="AF11" s="13">
        <v>2038</v>
      </c>
      <c r="AG11" s="13">
        <v>2039</v>
      </c>
      <c r="AH11" s="177">
        <v>2040</v>
      </c>
      <c r="AJ11" s="167">
        <v>1.0299073916679518E-2</v>
      </c>
      <c r="AK11" s="168">
        <f>AJ11/2</f>
        <v>5.1495369583397588E-3</v>
      </c>
    </row>
    <row r="12" spans="1:38" s="1" customFormat="1">
      <c r="A12" s="1" t="s">
        <v>64</v>
      </c>
      <c r="B12" s="33"/>
      <c r="C12" s="332"/>
      <c r="D12" s="332"/>
      <c r="E12" s="332"/>
      <c r="F12" s="332"/>
      <c r="G12" s="332"/>
      <c r="H12" s="405"/>
      <c r="I12" s="13"/>
      <c r="J12" s="13"/>
      <c r="K12" s="13"/>
      <c r="L12" s="13"/>
      <c r="M12" s="13"/>
      <c r="N12" s="176"/>
      <c r="O12" s="13"/>
      <c r="P12" s="13"/>
      <c r="Q12" s="13"/>
      <c r="R12" s="13"/>
      <c r="S12" s="13"/>
      <c r="T12" s="13"/>
      <c r="U12" s="13"/>
      <c r="V12" s="13"/>
      <c r="W12" s="13"/>
      <c r="X12" s="177"/>
      <c r="Y12" s="20"/>
      <c r="Z12" s="20"/>
      <c r="AA12" s="20"/>
      <c r="AB12" s="20"/>
      <c r="AC12" s="20"/>
      <c r="AD12" s="20"/>
      <c r="AE12" s="20"/>
      <c r="AF12" s="20"/>
      <c r="AG12" s="20"/>
      <c r="AH12" s="280"/>
    </row>
    <row r="13" spans="1:38" s="20" customFormat="1">
      <c r="A13" s="20" t="s">
        <v>136</v>
      </c>
      <c r="B13" s="33"/>
      <c r="C13" s="334">
        <f>EIA_electricity_aeo2014!E58*1000</f>
        <v>133631</v>
      </c>
      <c r="D13" s="334">
        <f>EIA_electricity_aeo2014!F58*1000</f>
        <v>137492</v>
      </c>
      <c r="E13" s="334">
        <f>EIA_electricity_aeo2014!G58*1000</f>
        <v>140085.071</v>
      </c>
      <c r="F13" s="334">
        <f>EIA_electricity_aeo2014!H58*1000</f>
        <v>138596.17300000001</v>
      </c>
      <c r="G13" s="334">
        <f>EIA_electricity_aeo2014!I58*1000</f>
        <v>142454.807</v>
      </c>
      <c r="H13" s="287">
        <f>EIA_electricity_aeo2014!J58*1000</f>
        <v>139430.435</v>
      </c>
      <c r="I13" s="83">
        <f>EIA_electricity_aeo2014!K58*1000</f>
        <v>139528.28899999999</v>
      </c>
      <c r="J13" s="83">
        <f>EIA_electricity_aeo2014!L58*1000</f>
        <v>135063.649</v>
      </c>
      <c r="K13" s="83">
        <f>EIA_electricity_aeo2014!M58*1000</f>
        <v>132791.45000000001</v>
      </c>
      <c r="L13" s="83">
        <f>EIA_electricity_aeo2014!N58*1000</f>
        <v>135515.36200000002</v>
      </c>
      <c r="M13" s="83">
        <f>EIA_electricity_aeo2014!O58*1000</f>
        <v>134797.25700000001</v>
      </c>
      <c r="N13" s="178">
        <f>EIA_electricity_aeo2014!P58*1000</f>
        <v>134120.73200000002</v>
      </c>
      <c r="O13" s="83">
        <f>EIA_electricity_aeo2014!Q58*1000</f>
        <v>133783.70699999999</v>
      </c>
      <c r="P13" s="83">
        <f>EIA_electricity_aeo2014!R58*1000</f>
        <v>132902.01500000001</v>
      </c>
      <c r="Q13" s="83">
        <f>EIA_electricity_aeo2014!S58*1000</f>
        <v>133256.46599999999</v>
      </c>
      <c r="R13" s="83">
        <f>EIA_electricity_aeo2014!T58*1000</f>
        <v>134634.17000000001</v>
      </c>
      <c r="S13" s="83">
        <f>EIA_electricity_aeo2014!U58*1000</f>
        <v>134787.90699999998</v>
      </c>
      <c r="T13" s="83">
        <f>EIA_electricity_aeo2014!V58*1000</f>
        <v>134169.76</v>
      </c>
      <c r="U13" s="83">
        <f>EIA_electricity_aeo2014!W58*1000</f>
        <v>131781.20600000001</v>
      </c>
      <c r="V13" s="83">
        <f>EIA_electricity_aeo2014!X58*1000</f>
        <v>133174.69400000002</v>
      </c>
      <c r="W13" s="83">
        <f>EIA_electricity_aeo2014!Y58*1000</f>
        <v>131728.80299999996</v>
      </c>
      <c r="X13" s="185">
        <f>EIA_electricity_aeo2014!Z58*1000</f>
        <v>132789.986</v>
      </c>
      <c r="Y13" s="175">
        <f>EIA_electricity_aeo2014!AA58*1000</f>
        <v>132500.182</v>
      </c>
      <c r="Z13" s="175">
        <f>EIA_electricity_aeo2014!AB58*1000</f>
        <v>135245.32800000001</v>
      </c>
      <c r="AA13" s="175">
        <f>EIA_electricity_aeo2014!AC58*1000</f>
        <v>136946.05600000001</v>
      </c>
      <c r="AB13" s="175">
        <f>EIA_electricity_aeo2014!AD58*1000</f>
        <v>137143.541</v>
      </c>
      <c r="AC13" s="175">
        <f>EIA_electricity_aeo2014!AE58*1000</f>
        <v>139220.63700000002</v>
      </c>
      <c r="AD13" s="175">
        <f>EIA_electricity_aeo2014!AF58*1000</f>
        <v>139478.79699999999</v>
      </c>
      <c r="AE13" s="175">
        <f>EIA_electricity_aeo2014!AG58*1000</f>
        <v>140450.136</v>
      </c>
      <c r="AF13" s="175">
        <f>EIA_electricity_aeo2014!AH58*1000</f>
        <v>140298.592</v>
      </c>
      <c r="AG13" s="175">
        <f>EIA_electricity_aeo2014!AI58*1000</f>
        <v>141282.64200000002</v>
      </c>
      <c r="AH13" s="185">
        <f>EIA_electricity_aeo2014!AJ58*1000</f>
        <v>141915.022</v>
      </c>
      <c r="AI13" s="115">
        <f>X13/C13-1</f>
        <v>-6.2935546392678399E-3</v>
      </c>
      <c r="AJ13" s="166">
        <f>(1+AJ11)^21-1</f>
        <v>0.24007814276920247</v>
      </c>
      <c r="AK13" s="169">
        <f>(1+AK11)^21-1</f>
        <v>0.11389489977934208</v>
      </c>
      <c r="AL13" s="121"/>
    </row>
    <row r="14" spans="1:38" s="20" customFormat="1">
      <c r="A14" s="20" t="s">
        <v>137</v>
      </c>
      <c r="B14" s="33"/>
      <c r="C14" s="334">
        <f>EIA_electricity_aeo2014!E58 * 1000</f>
        <v>133631</v>
      </c>
      <c r="D14" s="334">
        <f>IF(Inputs!$C$7="BAU",'Output -Jobs vs Yr'!D13,C14+($X$14-$C$14)/($X$11-$C$11) )</f>
        <v>137492</v>
      </c>
      <c r="E14" s="334">
        <f>IF(Inputs!$C$7="BAU",'Output -Jobs vs Yr'!E13,D14+($X$14-$C$14)/($X$11-$C$11) )</f>
        <v>140085.071</v>
      </c>
      <c r="F14" s="334">
        <f>IF(Inputs!$C$7="BAU",'Output -Jobs vs Yr'!F13,E14+($X$14-$C$14)/($X$11-$C$11) )</f>
        <v>138596.17300000001</v>
      </c>
      <c r="G14" s="334">
        <f>IF(Inputs!$C$7="BAU",'Output -Jobs vs Yr'!G13,F14+($X$14-$C$14)/($X$11-$C$11) )</f>
        <v>142454.807</v>
      </c>
      <c r="H14" s="287">
        <f>EIA_electricity_aeo2014!J58*1000</f>
        <v>139430.435</v>
      </c>
      <c r="I14" s="83">
        <f>IF(Inputs!$C$7="BAU",'Output -Jobs vs Yr'!I13,H14+($X$14-$C$14)/($X$11-$C$11) )</f>
        <v>139528.28899999999</v>
      </c>
      <c r="J14" s="83">
        <f>IF(Inputs!$C$7="BAU",'Output -Jobs vs Yr'!J13,I14+($X$14-$C$14)/($X$11-$C$11) )</f>
        <v>135063.649</v>
      </c>
      <c r="K14" s="83">
        <f>IF(Inputs!$C$7="BAU",'Output -Jobs vs Yr'!K13,J14+($X$14-$C$14)/($X$11-$C$11) )</f>
        <v>132791.45000000001</v>
      </c>
      <c r="L14" s="83">
        <f>IF(Inputs!$C$7="BAU",'Output -Jobs vs Yr'!L13,K14+($X$14-$C$14)/($X$11-$C$11) )</f>
        <v>135515.36200000002</v>
      </c>
      <c r="M14" s="83">
        <f>IF(Inputs!$C$7="BAU",'Output -Jobs vs Yr'!M13,L14+($X$14-$C$14)/($X$11-$C$11) )</f>
        <v>134797.25700000001</v>
      </c>
      <c r="N14" s="178">
        <f>IF(Inputs!$C$7="BAU",'Output -Jobs vs Yr'!N13,M14+($X$14-$C$14)/($X$11-$C$11) )</f>
        <v>134120.73200000002</v>
      </c>
      <c r="O14" s="83">
        <f>IF(Inputs!$C$7="BAU",'Output -Jobs vs Yr'!O13,N14+($X$14-$C$14)/($X$11-$C$11) )</f>
        <v>133783.70699999999</v>
      </c>
      <c r="P14" s="83">
        <f>IF(Inputs!$C$7="BAU",'Output -Jobs vs Yr'!P13,O14+($X$14-$C$14)/($X$11-$C$11) )</f>
        <v>132902.01500000001</v>
      </c>
      <c r="Q14" s="83">
        <f>IF(Inputs!$C$7="BAU",'Output -Jobs vs Yr'!Q13,P14+($X$14-$C$14)/($X$11-$C$11) )</f>
        <v>133256.46599999999</v>
      </c>
      <c r="R14" s="83">
        <f>IF(Inputs!$C$7="BAU",'Output -Jobs vs Yr'!R13,Q14+($X$14-$C$14)/($X$11-$C$11) )</f>
        <v>134634.17000000001</v>
      </c>
      <c r="S14" s="83">
        <f>IF(Inputs!$C$7="BAU",'Output -Jobs vs Yr'!S13,R14+($X$14-$C$14)/($X$11-$C$11) )</f>
        <v>134787.90699999998</v>
      </c>
      <c r="T14" s="83">
        <f>IF(Inputs!$C$7="BAU",'Output -Jobs vs Yr'!T13,S14+($X$14-$C$14)/($X$11-$C$11) )</f>
        <v>134169.76</v>
      </c>
      <c r="U14" s="83">
        <f>IF(Inputs!$C$7="BAU",'Output -Jobs vs Yr'!U13,T14+($X$14-$C$14)/($X$11-$C$11) )</f>
        <v>131781.20600000001</v>
      </c>
      <c r="V14" s="83">
        <f>IF(Inputs!$C$7="BAU",'Output -Jobs vs Yr'!V13,U14+($X$14-$C$14)/($X$11-$C$11) )</f>
        <v>133174.69400000002</v>
      </c>
      <c r="W14" s="83">
        <f>IF(Inputs!$C$7="BAU",'Output -Jobs vs Yr'!W13,V14+($X$14-$C$14)/($X$11-$C$11) )</f>
        <v>131728.80299999996</v>
      </c>
      <c r="X14" s="185">
        <f>IF(Inputs!$C$7="BAU",'Output -Jobs vs Yr'!X13,C14*(1+Inputs!C7) )</f>
        <v>132789.986</v>
      </c>
      <c r="Y14" s="175">
        <f>IF(Inputs!$C$7="BAU",'Output -Jobs vs Yr'!Y13,D14*(1+Inputs!D7) )</f>
        <v>132500.182</v>
      </c>
      <c r="Z14" s="175">
        <f>IF(Inputs!$C$7="BAU",'Output -Jobs vs Yr'!Z13,E14*(1+Inputs!E7) )</f>
        <v>135245.32800000001</v>
      </c>
      <c r="AA14" s="175">
        <f>IF(Inputs!$C$7="BAU",'Output -Jobs vs Yr'!AA13,F14*(1+Inputs!F7) )</f>
        <v>136946.05600000001</v>
      </c>
      <c r="AB14" s="175">
        <f>IF(Inputs!$C$7="BAU",'Output -Jobs vs Yr'!AB13,G14*(1+Inputs!G7) )</f>
        <v>137143.541</v>
      </c>
      <c r="AC14" s="175">
        <f>IF(Inputs!$C$7="BAU",'Output -Jobs vs Yr'!AC13,H14*(1+Inputs!H7) )</f>
        <v>139220.63700000002</v>
      </c>
      <c r="AD14" s="175">
        <f>IF(Inputs!$C$7="BAU",'Output -Jobs vs Yr'!AD13,I14*(1+Inputs!L7) )</f>
        <v>139478.79699999999</v>
      </c>
      <c r="AE14" s="175">
        <f>IF(Inputs!$C$7="BAU",'Output -Jobs vs Yr'!AE13,J14*(1+Inputs!M7) )</f>
        <v>140450.136</v>
      </c>
      <c r="AF14" s="175">
        <f>IF(Inputs!$C$7="BAU",'Output -Jobs vs Yr'!AF13,K14*(1+Inputs!N7) )</f>
        <v>140298.592</v>
      </c>
      <c r="AG14" s="175">
        <f>IF(Inputs!$C$7="BAU",'Output -Jobs vs Yr'!AG13,L14*(1+Inputs!O7) )</f>
        <v>141282.64200000002</v>
      </c>
      <c r="AH14" s="185">
        <f>IF(Inputs!$C$7="BAU",'Output -Jobs vs Yr'!AH13,M14*(1+Inputs!P7) )</f>
        <v>141915.022</v>
      </c>
      <c r="AI14" s="99"/>
      <c r="AJ14" s="166" t="s">
        <v>0</v>
      </c>
      <c r="AK14" s="30" t="s">
        <v>0</v>
      </c>
      <c r="AL14" s="121"/>
    </row>
    <row r="15" spans="1:38" s="20" customFormat="1">
      <c r="A15" s="20" t="s">
        <v>214</v>
      </c>
      <c r="B15" s="33"/>
      <c r="C15" s="334">
        <f>C14-C13</f>
        <v>0</v>
      </c>
      <c r="D15" s="334">
        <f>D13-D14</f>
        <v>0</v>
      </c>
      <c r="E15" s="334">
        <f t="shared" ref="E15:AH15" si="0">E13-E14</f>
        <v>0</v>
      </c>
      <c r="F15" s="334">
        <f t="shared" si="0"/>
        <v>0</v>
      </c>
      <c r="G15" s="334">
        <f t="shared" si="0"/>
        <v>0</v>
      </c>
      <c r="H15" s="287">
        <f t="shared" si="0"/>
        <v>0</v>
      </c>
      <c r="I15" s="83">
        <f t="shared" si="0"/>
        <v>0</v>
      </c>
      <c r="J15" s="83">
        <f t="shared" si="0"/>
        <v>0</v>
      </c>
      <c r="K15" s="83">
        <f t="shared" si="0"/>
        <v>0</v>
      </c>
      <c r="L15" s="83">
        <f t="shared" si="0"/>
        <v>0</v>
      </c>
      <c r="M15" s="83">
        <f t="shared" si="0"/>
        <v>0</v>
      </c>
      <c r="N15" s="178">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5">
        <f t="shared" si="0"/>
        <v>0</v>
      </c>
      <c r="Y15" s="175">
        <f t="shared" si="0"/>
        <v>0</v>
      </c>
      <c r="Z15" s="175">
        <f t="shared" si="0"/>
        <v>0</v>
      </c>
      <c r="AA15" s="175">
        <f t="shared" si="0"/>
        <v>0</v>
      </c>
      <c r="AB15" s="175">
        <f t="shared" si="0"/>
        <v>0</v>
      </c>
      <c r="AC15" s="175">
        <f t="shared" si="0"/>
        <v>0</v>
      </c>
      <c r="AD15" s="175">
        <f t="shared" si="0"/>
        <v>0</v>
      </c>
      <c r="AE15" s="175">
        <f t="shared" si="0"/>
        <v>0</v>
      </c>
      <c r="AF15" s="175">
        <f t="shared" si="0"/>
        <v>0</v>
      </c>
      <c r="AG15" s="175">
        <f t="shared" si="0"/>
        <v>0</v>
      </c>
      <c r="AH15" s="185">
        <f t="shared" si="0"/>
        <v>0</v>
      </c>
      <c r="AI15" s="120"/>
      <c r="AJ15" s="122"/>
      <c r="AK15" s="30"/>
      <c r="AL15" s="123"/>
    </row>
    <row r="16" spans="1:38" s="384" customFormat="1">
      <c r="A16" s="384" t="s">
        <v>129</v>
      </c>
      <c r="B16" s="385"/>
      <c r="C16" s="386">
        <f t="shared" ref="C16:M16" si="1">C95</f>
        <v>2.0482523516249972E-2</v>
      </c>
      <c r="D16" s="386">
        <f t="shared" si="1"/>
        <v>2.32489253688263E-2</v>
      </c>
      <c r="E16" s="386">
        <f t="shared" si="1"/>
        <v>4.2478812182021139E-2</v>
      </c>
      <c r="F16" s="386">
        <f t="shared" si="1"/>
        <v>4.8030583903110359E-2</v>
      </c>
      <c r="G16" s="386">
        <f t="shared" si="1"/>
        <v>5.4936597950474411E-2</v>
      </c>
      <c r="H16" s="386">
        <f t="shared" si="1"/>
        <v>4.7218328623876128E-2</v>
      </c>
      <c r="I16" s="386">
        <f t="shared" si="1"/>
        <v>5.3333640040319548E-2</v>
      </c>
      <c r="J16" s="386">
        <f t="shared" si="1"/>
        <v>6.031485747613112E-2</v>
      </c>
      <c r="K16" s="386">
        <f t="shared" si="1"/>
        <v>6.8299184333501822E-2</v>
      </c>
      <c r="L16" s="386">
        <f t="shared" si="1"/>
        <v>7.7448226138079349E-2</v>
      </c>
      <c r="M16" s="386">
        <f t="shared" si="1"/>
        <v>8.795661782490688E-2</v>
      </c>
      <c r="N16" s="386">
        <f>Inputs!C11</f>
        <v>0.1</v>
      </c>
      <c r="O16" s="386">
        <f t="shared" ref="O16:W16" si="2">O95</f>
        <v>0.10419777241335951</v>
      </c>
      <c r="P16" s="386">
        <f t="shared" si="2"/>
        <v>0.10851489618332209</v>
      </c>
      <c r="Q16" s="386">
        <f t="shared" si="2"/>
        <v>0.11300973680850182</v>
      </c>
      <c r="R16" s="386">
        <f t="shared" si="2"/>
        <v>0.11768960513666091</v>
      </c>
      <c r="S16" s="386">
        <f t="shared" si="2"/>
        <v>0.12256351589750297</v>
      </c>
      <c r="T16" s="386">
        <f t="shared" si="2"/>
        <v>0.12763934223858064</v>
      </c>
      <c r="U16" s="386">
        <f t="shared" si="2"/>
        <v>0.13292636069093799</v>
      </c>
      <c r="V16" s="386">
        <f t="shared" si="2"/>
        <v>0.13842882073364282</v>
      </c>
      <c r="W16" s="386">
        <f t="shared" si="2"/>
        <v>0.14416113678580017</v>
      </c>
      <c r="X16" s="387">
        <f>Inputs!C12</f>
        <v>0.15</v>
      </c>
      <c r="Y16" s="388">
        <v>0.30875786608400269</v>
      </c>
      <c r="Z16" s="388">
        <v>0.31776940653841135</v>
      </c>
      <c r="AA16" s="388">
        <v>0.32704394692761768</v>
      </c>
      <c r="AB16" s="388">
        <v>0.33658916353100682</v>
      </c>
      <c r="AC16" s="388">
        <v>0.34641295955323526</v>
      </c>
      <c r="AD16" s="388">
        <v>0.35652346547646518</v>
      </c>
      <c r="AE16" s="388">
        <v>0.36692904743417443</v>
      </c>
      <c r="AF16" s="388">
        <v>0.37763831681581805</v>
      </c>
      <c r="AG16" s="388">
        <v>0.38866014018698253</v>
      </c>
      <c r="AH16" s="387">
        <v>0.39999999999999997</v>
      </c>
      <c r="AI16" s="389" t="s">
        <v>0</v>
      </c>
      <c r="AJ16" s="390"/>
      <c r="AK16" s="391"/>
      <c r="AL16" s="392"/>
    </row>
    <row r="17" spans="1:37" s="282" customFormat="1">
      <c r="A17" s="282" t="s">
        <v>121</v>
      </c>
      <c r="B17" s="283"/>
      <c r="C17" s="341"/>
      <c r="D17" s="336">
        <f>D16/C16-1</f>
        <v>0.13506157336431612</v>
      </c>
      <c r="E17" s="336">
        <f t="shared" ref="E17:M17" si="3">E16/D16-1</f>
        <v>0.82713013647415923</v>
      </c>
      <c r="F17" s="336">
        <f t="shared" si="3"/>
        <v>0.13069507916793799</v>
      </c>
      <c r="G17" s="336">
        <f t="shared" si="3"/>
        <v>0.14378367877632314</v>
      </c>
      <c r="H17" s="285"/>
      <c r="I17" s="285">
        <f t="shared" si="3"/>
        <v>0.12951139090830055</v>
      </c>
      <c r="J17" s="285">
        <f t="shared" si="3"/>
        <v>0.13089707416433338</v>
      </c>
      <c r="K17" s="285">
        <f t="shared" si="3"/>
        <v>0.13237744714111943</v>
      </c>
      <c r="L17" s="285">
        <f t="shared" si="3"/>
        <v>0.13395535969951222</v>
      </c>
      <c r="M17" s="285">
        <f t="shared" si="3"/>
        <v>0.1356827936651841</v>
      </c>
      <c r="N17" s="285">
        <f>N16/M16-1</f>
        <v>0.13692411637595692</v>
      </c>
      <c r="O17" s="285">
        <f>O16/N16-1</f>
        <v>4.1977724133595018E-2</v>
      </c>
      <c r="P17" s="285">
        <f t="shared" ref="P17:X17" si="4">P16/O16-1</f>
        <v>4.1432015963222879E-2</v>
      </c>
      <c r="Q17" s="285">
        <f t="shared" si="4"/>
        <v>4.1421415706708764E-2</v>
      </c>
      <c r="R17" s="285">
        <f t="shared" si="4"/>
        <v>4.1411195710412629E-2</v>
      </c>
      <c r="S17" s="285">
        <f t="shared" si="4"/>
        <v>4.1413264622499835E-2</v>
      </c>
      <c r="T17" s="285">
        <f t="shared" si="4"/>
        <v>4.1413844111019671E-2</v>
      </c>
      <c r="U17" s="285">
        <f t="shared" si="4"/>
        <v>4.142154260302422E-2</v>
      </c>
      <c r="V17" s="285">
        <f t="shared" si="4"/>
        <v>4.1394799452144637E-2</v>
      </c>
      <c r="W17" s="285">
        <f t="shared" si="4"/>
        <v>4.1409845303725934E-2</v>
      </c>
      <c r="X17" s="284">
        <f t="shared" si="4"/>
        <v>4.0502338871504673E-2</v>
      </c>
      <c r="Y17" s="289">
        <v>2.9000000000000001E-2</v>
      </c>
      <c r="Z17" s="289">
        <v>2.9000000000000001E-2</v>
      </c>
      <c r="AA17" s="289">
        <v>2.9000000000000001E-2</v>
      </c>
      <c r="AB17" s="289">
        <v>2.9000000000000001E-2</v>
      </c>
      <c r="AC17" s="289">
        <v>2.9000000000000001E-2</v>
      </c>
      <c r="AD17" s="289">
        <v>2.9000000000000001E-2</v>
      </c>
      <c r="AE17" s="289">
        <v>2.9000000000000001E-2</v>
      </c>
      <c r="AF17" s="289">
        <v>2.9000000000000001E-2</v>
      </c>
      <c r="AG17" s="289">
        <v>2.9000000000000001E-2</v>
      </c>
      <c r="AH17" s="377">
        <v>2.9000000000000001E-2</v>
      </c>
    </row>
    <row r="18" spans="1:37" s="20" customFormat="1">
      <c r="A18" s="20" t="s">
        <v>141</v>
      </c>
      <c r="B18" s="33"/>
      <c r="C18" s="336">
        <f>C32/C14</f>
        <v>0.32541101989807752</v>
      </c>
      <c r="D18" s="336">
        <f t="shared" ref="D18:G18" si="5">($N$18-$C$18)/($N$11-$C$11)+C18</f>
        <v>0.32184082872435427</v>
      </c>
      <c r="E18" s="336">
        <f t="shared" si="5"/>
        <v>0.31827063755063101</v>
      </c>
      <c r="F18" s="336">
        <f t="shared" si="5"/>
        <v>0.31470044637690775</v>
      </c>
      <c r="G18" s="336">
        <f t="shared" si="5"/>
        <v>0.31113025520318449</v>
      </c>
      <c r="H18" s="285">
        <f>H32/H14</f>
        <v>0.29160488526052442</v>
      </c>
      <c r="I18" s="173">
        <f>($N$18-$H$18)/($N$11-$H$11)+H18</f>
        <v>0.29069389054829065</v>
      </c>
      <c r="J18" s="173">
        <f t="shared" ref="J18:M18" si="6">($N$18-$H$18)/($N$11-$H$11)+I18</f>
        <v>0.28978289583605688</v>
      </c>
      <c r="K18" s="173">
        <f t="shared" si="6"/>
        <v>0.2888719011238231</v>
      </c>
      <c r="L18" s="173">
        <f t="shared" si="6"/>
        <v>0.28796090641158933</v>
      </c>
      <c r="M18" s="173">
        <f t="shared" si="6"/>
        <v>0.28704991169935556</v>
      </c>
      <c r="N18" s="181">
        <f>Inputs!C36</f>
        <v>0.28613891698712168</v>
      </c>
      <c r="O18" s="91">
        <f t="shared" ref="O18:W18" si="7">($X$18-$N$18)/($X$11-$N$11)+N18</f>
        <v>0.28650591801158215</v>
      </c>
      <c r="P18" s="91">
        <f t="shared" si="7"/>
        <v>0.28687291903604262</v>
      </c>
      <c r="Q18" s="91">
        <f t="shared" si="7"/>
        <v>0.28723992006050308</v>
      </c>
      <c r="R18" s="91">
        <f t="shared" si="7"/>
        <v>0.28760692108496355</v>
      </c>
      <c r="S18" s="22">
        <f t="shared" si="7"/>
        <v>0.28797392210942402</v>
      </c>
      <c r="T18" s="91">
        <f t="shared" si="7"/>
        <v>0.28834092313388449</v>
      </c>
      <c r="U18" s="91">
        <f t="shared" si="7"/>
        <v>0.28870792415834495</v>
      </c>
      <c r="V18" s="91">
        <f t="shared" si="7"/>
        <v>0.28907492518280542</v>
      </c>
      <c r="W18" s="91">
        <f t="shared" si="7"/>
        <v>0.28944192620726589</v>
      </c>
      <c r="X18" s="186">
        <f>Inputs!F36</f>
        <v>0.2898089272317263</v>
      </c>
      <c r="Y18" s="173">
        <f>($AH$18-$X$18)/($AH$11-$X$11)+X18</f>
        <v>0.28794547623348676</v>
      </c>
      <c r="Z18" s="173">
        <f t="shared" ref="Z18:AG18" si="8">($AH$18-$X$18)/($AH$11-$X$11)+Y18</f>
        <v>0.28608202523524723</v>
      </c>
      <c r="AA18" s="173">
        <f t="shared" si="8"/>
        <v>0.28421857423700769</v>
      </c>
      <c r="AB18" s="173">
        <f t="shared" si="8"/>
        <v>0.28235512323876816</v>
      </c>
      <c r="AC18" s="173">
        <f t="shared" si="8"/>
        <v>0.28049167224052862</v>
      </c>
      <c r="AD18" s="173">
        <f t="shared" si="8"/>
        <v>0.27862822124228909</v>
      </c>
      <c r="AE18" s="173">
        <f t="shared" si="8"/>
        <v>0.27676477024404955</v>
      </c>
      <c r="AF18" s="173">
        <f t="shared" si="8"/>
        <v>0.27490131924581002</v>
      </c>
      <c r="AG18" s="173">
        <f t="shared" si="8"/>
        <v>0.27303786824757048</v>
      </c>
      <c r="AH18" s="186">
        <f>Inputs!H36</f>
        <v>0.27117441724933078</v>
      </c>
      <c r="AK18"/>
    </row>
    <row r="19" spans="1:37" s="282" customFormat="1">
      <c r="A19" s="282" t="s">
        <v>120</v>
      </c>
      <c r="B19" s="286"/>
      <c r="C19" s="334">
        <f t="shared" ref="C19:AH19" si="9">C16*C14</f>
        <v>2737.1001000000001</v>
      </c>
      <c r="D19" s="334">
        <f t="shared" si="9"/>
        <v>3196.5412468106656</v>
      </c>
      <c r="E19" s="334">
        <f t="shared" si="9"/>
        <v>5950.6474205140958</v>
      </c>
      <c r="F19" s="334">
        <f t="shared" si="9"/>
        <v>6656.8551159264989</v>
      </c>
      <c r="G19" s="334">
        <f t="shared" si="9"/>
        <v>7825.9824582714282</v>
      </c>
      <c r="H19" s="287">
        <f t="shared" si="9"/>
        <v>6583.6720999999998</v>
      </c>
      <c r="I19" s="287">
        <f t="shared" si="9"/>
        <v>7441.5515409676773</v>
      </c>
      <c r="J19" s="287">
        <f t="shared" si="9"/>
        <v>8146.3447396411993</v>
      </c>
      <c r="K19" s="287">
        <f t="shared" si="9"/>
        <v>9069.5477214629918</v>
      </c>
      <c r="L19" s="287">
        <f t="shared" si="9"/>
        <v>10495.424401359687</v>
      </c>
      <c r="M19" s="287">
        <f t="shared" si="9"/>
        <v>11856.310817794754</v>
      </c>
      <c r="N19" s="288">
        <f t="shared" si="9"/>
        <v>13412.073200000003</v>
      </c>
      <c r="O19" s="287">
        <f t="shared" si="9"/>
        <v>13939.964254601571</v>
      </c>
      <c r="P19" s="287">
        <f t="shared" si="9"/>
        <v>14421.848360279317</v>
      </c>
      <c r="Q19" s="287">
        <f t="shared" si="9"/>
        <v>15059.278150691071</v>
      </c>
      <c r="R19" s="287">
        <f t="shared" si="9"/>
        <v>15845.04230520208</v>
      </c>
      <c r="S19" s="287">
        <f t="shared" si="9"/>
        <v>16520.079782385648</v>
      </c>
      <c r="T19" s="287">
        <f t="shared" si="9"/>
        <v>17125.339914708227</v>
      </c>
      <c r="U19" s="287">
        <f t="shared" si="9"/>
        <v>17517.196121042802</v>
      </c>
      <c r="V19" s="287">
        <f t="shared" si="9"/>
        <v>18435.21584198374</v>
      </c>
      <c r="W19" s="287">
        <f t="shared" si="9"/>
        <v>18990.173987912716</v>
      </c>
      <c r="X19" s="288">
        <f>Inputs!C12*'Output -Jobs vs Yr'!X14</f>
        <v>19918.497899999998</v>
      </c>
      <c r="Y19" s="287">
        <f t="shared" si="9"/>
        <v>40910.473450061982</v>
      </c>
      <c r="Z19" s="287">
        <f t="shared" si="9"/>
        <v>42976.827615652794</v>
      </c>
      <c r="AA19" s="287">
        <f t="shared" si="9"/>
        <v>44787.378670410566</v>
      </c>
      <c r="AB19" s="287">
        <f t="shared" si="9"/>
        <v>46161.029748870336</v>
      </c>
      <c r="AC19" s="287">
        <f t="shared" si="9"/>
        <v>48227.832894056657</v>
      </c>
      <c r="AD19" s="287">
        <f t="shared" si="9"/>
        <v>49727.464066928391</v>
      </c>
      <c r="AE19" s="287">
        <f t="shared" si="9"/>
        <v>51535.23461448025</v>
      </c>
      <c r="AF19" s="287">
        <f t="shared" si="9"/>
        <v>52982.124134509198</v>
      </c>
      <c r="AG19" s="287">
        <f t="shared" si="9"/>
        <v>54910.931445707276</v>
      </c>
      <c r="AH19" s="288">
        <f t="shared" si="9"/>
        <v>56766.008799999996</v>
      </c>
    </row>
    <row r="20" spans="1:37" s="20" customFormat="1">
      <c r="A20" s="20" t="s">
        <v>217</v>
      </c>
      <c r="B20" s="33"/>
      <c r="C20" s="334">
        <f>'Output - Jobs vs Yr (BAU)'!C18</f>
        <v>2737.1001000000001</v>
      </c>
      <c r="D20" s="334">
        <f>'Output - Jobs vs Yr (BAU)'!D18</f>
        <v>2765.1001000000001</v>
      </c>
      <c r="E20" s="334">
        <f>'Output - Jobs vs Yr (BAU)'!E18</f>
        <v>4667.0210999999999</v>
      </c>
      <c r="F20" s="334">
        <f>'Output - Jobs vs Yr (BAU)'!F18</f>
        <v>5241.7700999999997</v>
      </c>
      <c r="G20" s="334">
        <f>'Output - Jobs vs Yr (BAU)'!G18</f>
        <v>6235.6080999999995</v>
      </c>
      <c r="H20" s="287">
        <f>'Output - Jobs vs Yr (BAU)'!H18</f>
        <v>6582.6720999999998</v>
      </c>
      <c r="I20" s="83">
        <f>'Output - Jobs vs Yr (BAU)'!I18</f>
        <v>6840.3101000000006</v>
      </c>
      <c r="J20" s="83">
        <f>'Output - Jobs vs Yr (BAU)'!J18</f>
        <v>6977.7471000000005</v>
      </c>
      <c r="K20" s="83">
        <f>'Output - Jobs vs Yr (BAU)'!K18</f>
        <v>7404.0961000000007</v>
      </c>
      <c r="L20" s="83">
        <f>'Output - Jobs vs Yr (BAU)'!L18</f>
        <v>7432.535100000001</v>
      </c>
      <c r="M20" s="83">
        <f>'Output - Jobs vs Yr (BAU)'!M18</f>
        <v>7497.4870999999994</v>
      </c>
      <c r="N20" s="178">
        <f>'Output - Jobs vs Yr (BAU)'!N18</f>
        <v>7540.0391</v>
      </c>
      <c r="O20" s="83">
        <f>'Output - Jobs vs Yr (BAU)'!O18</f>
        <v>7720.2340999999997</v>
      </c>
      <c r="P20" s="83">
        <f>'Output - Jobs vs Yr (BAU)'!P18</f>
        <v>7994.8020999999999</v>
      </c>
      <c r="Q20" s="83">
        <f>'Output - Jobs vs Yr (BAU)'!Q18</f>
        <v>8072.6021000000001</v>
      </c>
      <c r="R20" s="83">
        <f>'Output - Jobs vs Yr (BAU)'!R18</f>
        <v>8127.5581000000002</v>
      </c>
      <c r="S20" s="83">
        <f>'Output - Jobs vs Yr (BAU)'!S18</f>
        <v>7961.3071</v>
      </c>
      <c r="T20" s="83">
        <f>'Output - Jobs vs Yr (BAU)'!T18</f>
        <v>8003.8950999999997</v>
      </c>
      <c r="U20" s="83">
        <f>'Output - Jobs vs Yr (BAU)'!U18</f>
        <v>8055.4321</v>
      </c>
      <c r="V20" s="83">
        <f>'Output - Jobs vs Yr (BAU)'!V18</f>
        <v>8037.0620999999992</v>
      </c>
      <c r="W20" s="83">
        <f>'Output - Jobs vs Yr (BAU)'!W18</f>
        <v>8125.6800999999996</v>
      </c>
      <c r="X20" s="185">
        <f>'Output - Jobs vs Yr (BAU)'!X18</f>
        <v>8192.1951000000008</v>
      </c>
      <c r="Y20" s="175">
        <f>'Output - Jobs vs Yr (BAU)'!Y18</f>
        <v>8259.0511000000006</v>
      </c>
      <c r="Z20" s="175">
        <f>'Output - Jobs vs Yr (BAU)'!Z18</f>
        <v>8293.0941000000003</v>
      </c>
      <c r="AA20" s="175">
        <f>'Output - Jobs vs Yr (BAU)'!AA18</f>
        <v>8356.9731000000011</v>
      </c>
      <c r="AB20" s="175">
        <f>'Output - Jobs vs Yr (BAU)'!AB18</f>
        <v>8425.3580999999995</v>
      </c>
      <c r="AC20" s="175">
        <f>'Output - Jobs vs Yr (BAU)'!AC18</f>
        <v>8492.9880999999987</v>
      </c>
      <c r="AD20" s="175">
        <f>'Output - Jobs vs Yr (BAU)'!AD18</f>
        <v>8632.7991000000002</v>
      </c>
      <c r="AE20" s="175">
        <f>'Output - Jobs vs Yr (BAU)'!AE18</f>
        <v>8660.4621000000006</v>
      </c>
      <c r="AF20" s="175">
        <f>'Output - Jobs vs Yr (BAU)'!AF18</f>
        <v>8731.5090999999993</v>
      </c>
      <c r="AG20" s="175">
        <f>'Output - Jobs vs Yr (BAU)'!AG18</f>
        <v>8808.9801000000007</v>
      </c>
      <c r="AH20" s="185">
        <f>'Output - Jobs vs Yr (BAU)'!AH18</f>
        <v>9145.6900999999998</v>
      </c>
    </row>
    <row r="21" spans="1:37" s="20" customFormat="1">
      <c r="A21" s="20" t="s">
        <v>122</v>
      </c>
      <c r="B21" s="33"/>
      <c r="C21" s="334">
        <f t="shared" ref="C21:AH21" si="10">MAX(C19:C20)</f>
        <v>2737.1001000000001</v>
      </c>
      <c r="D21" s="334">
        <f t="shared" si="10"/>
        <v>3196.5412468106656</v>
      </c>
      <c r="E21" s="334">
        <f t="shared" si="10"/>
        <v>5950.6474205140958</v>
      </c>
      <c r="F21" s="334">
        <f t="shared" si="10"/>
        <v>6656.8551159264989</v>
      </c>
      <c r="G21" s="334">
        <f t="shared" si="10"/>
        <v>7825.9824582714282</v>
      </c>
      <c r="H21" s="287">
        <f t="shared" si="10"/>
        <v>6583.6720999999998</v>
      </c>
      <c r="I21" s="83">
        <f t="shared" si="10"/>
        <v>7441.5515409676773</v>
      </c>
      <c r="J21" s="83">
        <f t="shared" si="10"/>
        <v>8146.3447396411993</v>
      </c>
      <c r="K21" s="83">
        <f t="shared" si="10"/>
        <v>9069.5477214629918</v>
      </c>
      <c r="L21" s="83">
        <f t="shared" si="10"/>
        <v>10495.424401359687</v>
      </c>
      <c r="M21" s="83">
        <f t="shared" si="10"/>
        <v>11856.310817794754</v>
      </c>
      <c r="N21" s="178">
        <f t="shared" si="10"/>
        <v>13412.073200000003</v>
      </c>
      <c r="O21" s="83">
        <f t="shared" si="10"/>
        <v>13939.964254601571</v>
      </c>
      <c r="P21" s="83">
        <f t="shared" si="10"/>
        <v>14421.848360279317</v>
      </c>
      <c r="Q21" s="83">
        <f t="shared" si="10"/>
        <v>15059.278150691071</v>
      </c>
      <c r="R21" s="83">
        <f t="shared" si="10"/>
        <v>15845.04230520208</v>
      </c>
      <c r="S21" s="83">
        <f t="shared" si="10"/>
        <v>16520.079782385648</v>
      </c>
      <c r="T21" s="83">
        <f t="shared" si="10"/>
        <v>17125.339914708227</v>
      </c>
      <c r="U21" s="83">
        <f t="shared" si="10"/>
        <v>17517.196121042802</v>
      </c>
      <c r="V21" s="83">
        <f t="shared" si="10"/>
        <v>18435.21584198374</v>
      </c>
      <c r="W21" s="83">
        <f t="shared" si="10"/>
        <v>18990.173987912716</v>
      </c>
      <c r="X21" s="185">
        <f t="shared" si="10"/>
        <v>19918.497899999998</v>
      </c>
      <c r="Y21" s="175">
        <f t="shared" si="10"/>
        <v>40910.473450061982</v>
      </c>
      <c r="Z21" s="175">
        <f t="shared" si="10"/>
        <v>42976.827615652794</v>
      </c>
      <c r="AA21" s="175">
        <f t="shared" si="10"/>
        <v>44787.378670410566</v>
      </c>
      <c r="AB21" s="175">
        <f t="shared" si="10"/>
        <v>46161.029748870336</v>
      </c>
      <c r="AC21" s="175">
        <f t="shared" si="10"/>
        <v>48227.832894056657</v>
      </c>
      <c r="AD21" s="175">
        <f t="shared" si="10"/>
        <v>49727.464066928391</v>
      </c>
      <c r="AE21" s="175">
        <f t="shared" si="10"/>
        <v>51535.23461448025</v>
      </c>
      <c r="AF21" s="175">
        <f t="shared" si="10"/>
        <v>52982.124134509198</v>
      </c>
      <c r="AG21" s="175">
        <f t="shared" si="10"/>
        <v>54910.931445707276</v>
      </c>
      <c r="AH21" s="185">
        <f t="shared" si="10"/>
        <v>56766.008799999996</v>
      </c>
      <c r="AI21" s="99"/>
    </row>
    <row r="22" spans="1:37" s="20" customFormat="1">
      <c r="A22" s="20" t="s">
        <v>385</v>
      </c>
      <c r="B22" s="33"/>
      <c r="C22" s="334" t="s">
        <v>0</v>
      </c>
      <c r="D22" s="334"/>
      <c r="E22" s="334"/>
      <c r="F22" s="334"/>
      <c r="G22" s="334"/>
      <c r="H22" s="287"/>
      <c r="I22" s="83"/>
      <c r="J22" s="83"/>
      <c r="K22" s="83"/>
      <c r="L22" s="83"/>
      <c r="M22" s="83"/>
      <c r="N22" s="178"/>
      <c r="O22" s="83"/>
      <c r="P22" s="83"/>
      <c r="Q22" s="83"/>
      <c r="R22" s="83"/>
      <c r="S22" s="83"/>
      <c r="T22" s="83"/>
      <c r="U22" s="83"/>
      <c r="V22" s="83"/>
      <c r="W22" s="174" t="s">
        <v>0</v>
      </c>
      <c r="X22" s="185"/>
      <c r="Y22"/>
      <c r="Z22"/>
      <c r="AA22"/>
      <c r="AB22"/>
      <c r="AC22"/>
      <c r="AD22"/>
      <c r="AE22"/>
      <c r="AF22"/>
      <c r="AG22"/>
      <c r="AH22" s="281"/>
      <c r="AI22" s="99"/>
    </row>
    <row r="23" spans="1:37" s="20" customFormat="1">
      <c r="A23" t="s">
        <v>544</v>
      </c>
      <c r="B23" s="33"/>
      <c r="C23" s="334">
        <v>0</v>
      </c>
      <c r="D23" s="336">
        <f t="shared" ref="D23:G23" si="11">C23+($N$23-$C$23)/($N$11-$C$11)</f>
        <v>0</v>
      </c>
      <c r="E23" s="336">
        <f t="shared" si="11"/>
        <v>0</v>
      </c>
      <c r="F23" s="336">
        <f t="shared" si="11"/>
        <v>0</v>
      </c>
      <c r="G23" s="336">
        <f t="shared" si="11"/>
        <v>0</v>
      </c>
      <c r="H23" s="287">
        <v>0</v>
      </c>
      <c r="I23" s="91">
        <f>H23+($N$23-$H$23)/($N$11-$H$11)</f>
        <v>0</v>
      </c>
      <c r="J23" s="173">
        <f t="shared" ref="J23:M23" si="12">I23+($N$23-$H$23)/($N$11-$H$11)</f>
        <v>0</v>
      </c>
      <c r="K23" s="173">
        <f t="shared" si="12"/>
        <v>0</v>
      </c>
      <c r="L23" s="173">
        <f t="shared" si="12"/>
        <v>0</v>
      </c>
      <c r="M23" s="173">
        <f t="shared" si="12"/>
        <v>0</v>
      </c>
      <c r="N23" s="181">
        <f>Inputs!C34</f>
        <v>0</v>
      </c>
      <c r="O23" s="173">
        <f>N23+($X$23-$N$23)/($X$11-$N$11)</f>
        <v>0</v>
      </c>
      <c r="P23" s="173">
        <f t="shared" ref="P23:W23" si="13">O23+($X$23-$N$23)/($X$11-$N$11)</f>
        <v>0</v>
      </c>
      <c r="Q23" s="173">
        <f t="shared" si="13"/>
        <v>0</v>
      </c>
      <c r="R23" s="173">
        <f t="shared" si="13"/>
        <v>0</v>
      </c>
      <c r="S23" s="173">
        <f t="shared" si="13"/>
        <v>0</v>
      </c>
      <c r="T23" s="173">
        <f t="shared" si="13"/>
        <v>0</v>
      </c>
      <c r="U23" s="173">
        <f t="shared" si="13"/>
        <v>0</v>
      </c>
      <c r="V23" s="173">
        <f t="shared" si="13"/>
        <v>0</v>
      </c>
      <c r="W23" s="173">
        <f t="shared" si="13"/>
        <v>0</v>
      </c>
      <c r="X23" s="186">
        <f>Inputs!F34</f>
        <v>0</v>
      </c>
      <c r="Y23" s="173">
        <f>X23+($AH$23-$X$23)/($AH$11-$X$11)</f>
        <v>0</v>
      </c>
      <c r="Z23" s="173">
        <f t="shared" ref="Z23:AG23" si="14">Y23+($AH$23-$X$23)/($AH$11-$X$11)</f>
        <v>0</v>
      </c>
      <c r="AA23" s="173">
        <f t="shared" si="14"/>
        <v>0</v>
      </c>
      <c r="AB23" s="173">
        <f t="shared" si="14"/>
        <v>0</v>
      </c>
      <c r="AC23" s="173">
        <f t="shared" si="14"/>
        <v>0</v>
      </c>
      <c r="AD23" s="173">
        <f t="shared" si="14"/>
        <v>0</v>
      </c>
      <c r="AE23" s="173">
        <f t="shared" si="14"/>
        <v>0</v>
      </c>
      <c r="AF23" s="173">
        <f t="shared" si="14"/>
        <v>0</v>
      </c>
      <c r="AG23" s="173">
        <f t="shared" si="14"/>
        <v>0</v>
      </c>
      <c r="AH23" s="186">
        <f>Inputs!H34</f>
        <v>0</v>
      </c>
      <c r="AI23" s="99"/>
    </row>
    <row r="24" spans="1:37" s="20" customFormat="1">
      <c r="A24" t="s">
        <v>545</v>
      </c>
      <c r="B24" s="33"/>
      <c r="C24" s="334">
        <v>0</v>
      </c>
      <c r="D24" s="336">
        <f t="shared" ref="D24:G24" si="15">C24+($N$24-$C$24)/($N$11-$C$11)</f>
        <v>0</v>
      </c>
      <c r="E24" s="336">
        <f t="shared" si="15"/>
        <v>0</v>
      </c>
      <c r="F24" s="336">
        <f t="shared" si="15"/>
        <v>0</v>
      </c>
      <c r="G24" s="336">
        <f t="shared" si="15"/>
        <v>0</v>
      </c>
      <c r="H24" s="109">
        <v>0</v>
      </c>
      <c r="I24" s="173">
        <f>H24+($N$24-$H$24)/($N$11-$H$11)</f>
        <v>0</v>
      </c>
      <c r="J24" s="173">
        <f t="shared" ref="J24:M24" si="16">I24+($N$24-$H$24)/($N$11-$H$11)</f>
        <v>0</v>
      </c>
      <c r="K24" s="173">
        <f t="shared" si="16"/>
        <v>0</v>
      </c>
      <c r="L24" s="173">
        <f t="shared" si="16"/>
        <v>0</v>
      </c>
      <c r="M24" s="173">
        <f t="shared" si="16"/>
        <v>0</v>
      </c>
      <c r="N24" s="186">
        <f>Inputs!C34</f>
        <v>0</v>
      </c>
      <c r="O24" s="125">
        <f t="shared" ref="O24:W24" si="17">N$24+($X$24-$N$24)/($X$11-$N$11)</f>
        <v>0</v>
      </c>
      <c r="P24" s="125">
        <f t="shared" si="17"/>
        <v>0</v>
      </c>
      <c r="Q24" s="125">
        <f t="shared" si="17"/>
        <v>0</v>
      </c>
      <c r="R24" s="125">
        <f t="shared" si="17"/>
        <v>0</v>
      </c>
      <c r="S24" s="22">
        <f t="shared" si="17"/>
        <v>0</v>
      </c>
      <c r="T24" s="125">
        <f t="shared" si="17"/>
        <v>0</v>
      </c>
      <c r="U24" s="125">
        <f t="shared" si="17"/>
        <v>0</v>
      </c>
      <c r="V24" s="125">
        <f t="shared" si="17"/>
        <v>0</v>
      </c>
      <c r="W24" s="125">
        <f t="shared" si="17"/>
        <v>0</v>
      </c>
      <c r="X24" s="186">
        <f>Inputs!F34</f>
        <v>0</v>
      </c>
      <c r="Y24" s="173">
        <f>X$24+($AH$24-$X$24)/($AH$11-$X$11)</f>
        <v>0</v>
      </c>
      <c r="Z24" s="173">
        <f t="shared" ref="Z24:AG24" si="18">Y$24+($AH$24-$X$24)/($AH$11-$X$11)</f>
        <v>0</v>
      </c>
      <c r="AA24" s="173">
        <f t="shared" si="18"/>
        <v>0</v>
      </c>
      <c r="AB24" s="173">
        <f t="shared" si="18"/>
        <v>0</v>
      </c>
      <c r="AC24" s="173">
        <f t="shared" si="18"/>
        <v>0</v>
      </c>
      <c r="AD24" s="173">
        <f t="shared" si="18"/>
        <v>0</v>
      </c>
      <c r="AE24" s="173">
        <f t="shared" si="18"/>
        <v>0</v>
      </c>
      <c r="AF24" s="173">
        <f t="shared" si="18"/>
        <v>0</v>
      </c>
      <c r="AG24" s="173">
        <f t="shared" si="18"/>
        <v>0</v>
      </c>
      <c r="AH24" s="186">
        <f>Inputs!H34</f>
        <v>0</v>
      </c>
      <c r="AI24" s="99"/>
    </row>
    <row r="25" spans="1:37" s="20" customFormat="1">
      <c r="A25" t="s">
        <v>546</v>
      </c>
      <c r="B25" s="33"/>
      <c r="C25" s="334"/>
      <c r="D25" s="336">
        <f t="shared" ref="D25:AH25" si="19">D30/(D30+D47)</f>
        <v>0</v>
      </c>
      <c r="E25" s="336">
        <f t="shared" si="19"/>
        <v>0</v>
      </c>
      <c r="F25" s="336">
        <f t="shared" si="19"/>
        <v>0</v>
      </c>
      <c r="G25" s="336">
        <f t="shared" si="19"/>
        <v>0</v>
      </c>
      <c r="H25" s="285"/>
      <c r="I25" s="125">
        <f t="shared" si="19"/>
        <v>0</v>
      </c>
      <c r="J25" s="125">
        <f t="shared" si="19"/>
        <v>0</v>
      </c>
      <c r="K25" s="125">
        <f t="shared" si="19"/>
        <v>0</v>
      </c>
      <c r="L25" s="125">
        <f t="shared" si="19"/>
        <v>0</v>
      </c>
      <c r="M25" s="125">
        <f t="shared" si="19"/>
        <v>0</v>
      </c>
      <c r="N25" s="181">
        <f t="shared" si="19"/>
        <v>0</v>
      </c>
      <c r="O25" s="125">
        <f t="shared" si="19"/>
        <v>0</v>
      </c>
      <c r="P25" s="125">
        <f t="shared" si="19"/>
        <v>0</v>
      </c>
      <c r="Q25" s="125">
        <f t="shared" si="19"/>
        <v>0</v>
      </c>
      <c r="R25" s="125">
        <f t="shared" si="19"/>
        <v>0</v>
      </c>
      <c r="S25" s="125">
        <f t="shared" si="19"/>
        <v>0</v>
      </c>
      <c r="T25" s="125">
        <f t="shared" si="19"/>
        <v>0</v>
      </c>
      <c r="U25" s="125">
        <f t="shared" si="19"/>
        <v>0</v>
      </c>
      <c r="V25" s="125">
        <f t="shared" si="19"/>
        <v>0</v>
      </c>
      <c r="W25" s="125">
        <f t="shared" si="19"/>
        <v>0</v>
      </c>
      <c r="X25" s="186">
        <f t="shared" si="19"/>
        <v>0</v>
      </c>
      <c r="Y25" s="173">
        <f t="shared" si="19"/>
        <v>0</v>
      </c>
      <c r="Z25" s="173">
        <f t="shared" si="19"/>
        <v>0</v>
      </c>
      <c r="AA25" s="173">
        <f t="shared" si="19"/>
        <v>0</v>
      </c>
      <c r="AB25" s="173">
        <f t="shared" si="19"/>
        <v>0</v>
      </c>
      <c r="AC25" s="173">
        <f t="shared" si="19"/>
        <v>0</v>
      </c>
      <c r="AD25" s="173">
        <f t="shared" si="19"/>
        <v>0</v>
      </c>
      <c r="AE25" s="173">
        <f t="shared" si="19"/>
        <v>0</v>
      </c>
      <c r="AF25" s="173">
        <f t="shared" si="19"/>
        <v>0</v>
      </c>
      <c r="AG25" s="173">
        <f t="shared" si="19"/>
        <v>0</v>
      </c>
      <c r="AH25" s="186">
        <f t="shared" si="19"/>
        <v>0</v>
      </c>
      <c r="AI25" s="99"/>
    </row>
    <row r="26" spans="1:37" s="20" customFormat="1">
      <c r="A26" s="20" t="s">
        <v>388</v>
      </c>
      <c r="B26" s="33"/>
      <c r="C26" s="336">
        <f>C31/C14</f>
        <v>0.20665115055638286</v>
      </c>
      <c r="D26" s="336">
        <f t="shared" ref="D26:G26" si="20">C26+($N$26-$C$26)/($N$11-$C$11)</f>
        <v>0.20747980782828818</v>
      </c>
      <c r="E26" s="336">
        <f t="shared" si="20"/>
        <v>0.20830846510019349</v>
      </c>
      <c r="F26" s="336">
        <f t="shared" si="20"/>
        <v>0.2091371223720988</v>
      </c>
      <c r="G26" s="336">
        <f t="shared" si="20"/>
        <v>0.20996577964400412</v>
      </c>
      <c r="H26" s="285">
        <f>H31/H14</f>
        <v>0.19707331401497816</v>
      </c>
      <c r="I26" s="91">
        <f>H26+($N$26-$H$26)/($N$11-$H$11)</f>
        <v>0.20018882510370536</v>
      </c>
      <c r="J26" s="173">
        <f t="shared" ref="J26:M26" si="21">I26+($N$26-$H$26)/($N$11-$H$11)</f>
        <v>0.20330433619243257</v>
      </c>
      <c r="K26" s="173">
        <f t="shared" si="21"/>
        <v>0.20641984728115978</v>
      </c>
      <c r="L26" s="173">
        <f t="shared" si="21"/>
        <v>0.20953535836988699</v>
      </c>
      <c r="M26" s="173">
        <f t="shared" si="21"/>
        <v>0.21265086945861419</v>
      </c>
      <c r="N26" s="181">
        <f>Inputs!C35</f>
        <v>0.21576638054734146</v>
      </c>
      <c r="O26" s="91">
        <f t="shared" ref="O26:W26" si="22">N26+($X$26-$N$26)/($X$11-$N$11)</f>
        <v>0.21604312194113293</v>
      </c>
      <c r="P26" s="91">
        <f t="shared" si="22"/>
        <v>0.21631986333492439</v>
      </c>
      <c r="Q26" s="91">
        <f t="shared" si="22"/>
        <v>0.21659660472871586</v>
      </c>
      <c r="R26" s="91">
        <f t="shared" si="22"/>
        <v>0.21687334612250733</v>
      </c>
      <c r="S26" s="22">
        <f t="shared" si="22"/>
        <v>0.2171500875162988</v>
      </c>
      <c r="T26" s="91">
        <f t="shared" si="22"/>
        <v>0.21742682891009027</v>
      </c>
      <c r="U26" s="91">
        <f t="shared" si="22"/>
        <v>0.21770357030388174</v>
      </c>
      <c r="V26" s="91">
        <f t="shared" si="22"/>
        <v>0.21798031169767321</v>
      </c>
      <c r="W26" s="91">
        <f t="shared" si="22"/>
        <v>0.21825705309146468</v>
      </c>
      <c r="X26" s="186">
        <f>Inputs!F35</f>
        <v>0.21853379448525623</v>
      </c>
      <c r="Y26" s="173">
        <f>X26+($AH$26-$X$26)/($AH$11-$X$11)</f>
        <v>0.21712863757248446</v>
      </c>
      <c r="Z26" s="173">
        <f t="shared" ref="Z26:AG26" si="23">Y26+($AH$26-$X$26)/($AH$11-$X$11)</f>
        <v>0.2157234806597127</v>
      </c>
      <c r="AA26" s="173">
        <f t="shared" si="23"/>
        <v>0.21431832374694093</v>
      </c>
      <c r="AB26" s="173">
        <f t="shared" si="23"/>
        <v>0.21291316683416917</v>
      </c>
      <c r="AC26" s="173">
        <f t="shared" si="23"/>
        <v>0.2115080099213974</v>
      </c>
      <c r="AD26" s="173">
        <f t="shared" si="23"/>
        <v>0.21010285300862563</v>
      </c>
      <c r="AE26" s="173">
        <f t="shared" si="23"/>
        <v>0.20869769609585387</v>
      </c>
      <c r="AF26" s="173">
        <f t="shared" si="23"/>
        <v>0.2072925391830821</v>
      </c>
      <c r="AG26" s="173">
        <f t="shared" si="23"/>
        <v>0.20588738227031034</v>
      </c>
      <c r="AH26" s="186">
        <f>Inputs!H35</f>
        <v>0.20448222535753863</v>
      </c>
      <c r="AI26" s="99"/>
    </row>
    <row r="27" spans="1:37" s="1" customFormat="1">
      <c r="B27" s="33"/>
      <c r="C27" s="342"/>
      <c r="D27" s="333"/>
      <c r="E27" s="397"/>
      <c r="F27" s="397"/>
      <c r="G27" s="397"/>
      <c r="H27" s="406"/>
      <c r="I27" s="25"/>
      <c r="J27" s="25"/>
      <c r="K27" s="24"/>
      <c r="L27" s="24"/>
      <c r="M27" s="24"/>
      <c r="N27" s="182" t="s">
        <v>0</v>
      </c>
      <c r="O27" s="26"/>
      <c r="P27" s="13"/>
      <c r="Q27" s="13"/>
      <c r="R27" s="13"/>
      <c r="S27" s="170">
        <f>SUM(S18,S24,S26)</f>
        <v>0.50512400962572279</v>
      </c>
      <c r="T27" s="13"/>
      <c r="U27" s="13"/>
      <c r="V27" s="13"/>
      <c r="W27" s="13"/>
      <c r="X27" s="177"/>
      <c r="Y27"/>
      <c r="Z27"/>
      <c r="AA27"/>
      <c r="AB27"/>
      <c r="AC27"/>
      <c r="AD27"/>
      <c r="AE27"/>
      <c r="AF27"/>
      <c r="AG27"/>
      <c r="AH27" s="281"/>
      <c r="AI27" s="24"/>
    </row>
    <row r="28" spans="1:37" s="1" customFormat="1">
      <c r="A28" s="1" t="s">
        <v>384</v>
      </c>
      <c r="B28" s="33"/>
      <c r="C28" s="332">
        <v>2009</v>
      </c>
      <c r="D28" s="332">
        <v>2010</v>
      </c>
      <c r="E28" s="332">
        <v>2011</v>
      </c>
      <c r="F28" s="332">
        <v>2012</v>
      </c>
      <c r="G28" s="332">
        <v>2013</v>
      </c>
      <c r="H28" s="405">
        <v>2014</v>
      </c>
      <c r="I28" s="13">
        <v>2015</v>
      </c>
      <c r="J28" s="13">
        <v>2016</v>
      </c>
      <c r="K28" s="13">
        <v>2017</v>
      </c>
      <c r="L28" s="13">
        <v>2018</v>
      </c>
      <c r="M28" s="13">
        <v>2019</v>
      </c>
      <c r="N28" s="177">
        <v>2020</v>
      </c>
      <c r="O28" s="13">
        <v>2021</v>
      </c>
      <c r="P28" s="13">
        <v>2022</v>
      </c>
      <c r="Q28" s="13">
        <v>2023</v>
      </c>
      <c r="R28" s="13">
        <v>2024</v>
      </c>
      <c r="S28" s="13">
        <v>2025</v>
      </c>
      <c r="T28" s="13">
        <v>2026</v>
      </c>
      <c r="U28" s="13">
        <v>2027</v>
      </c>
      <c r="V28" s="13">
        <v>2028</v>
      </c>
      <c r="W28" s="13">
        <v>2029</v>
      </c>
      <c r="X28" s="177">
        <v>2030</v>
      </c>
      <c r="Y28" s="13">
        <v>2031</v>
      </c>
      <c r="Z28" s="13">
        <v>2032</v>
      </c>
      <c r="AA28" s="13">
        <v>2033</v>
      </c>
      <c r="AB28" s="13">
        <v>2034</v>
      </c>
      <c r="AC28" s="13">
        <v>2035</v>
      </c>
      <c r="AD28" s="13">
        <v>2036</v>
      </c>
      <c r="AE28" s="13">
        <v>2037</v>
      </c>
      <c r="AF28" s="13">
        <v>2038</v>
      </c>
      <c r="AG28" s="13">
        <v>2039</v>
      </c>
      <c r="AH28" s="177">
        <v>2040</v>
      </c>
      <c r="AK28" s="77"/>
    </row>
    <row r="29" spans="1:37">
      <c r="A29" s="9" t="s">
        <v>288</v>
      </c>
      <c r="B29" s="35">
        <v>0</v>
      </c>
      <c r="C29" s="334" t="s">
        <v>383</v>
      </c>
      <c r="D29" s="334">
        <f t="shared" ref="D29:AH29" si="24">D13-D14</f>
        <v>0</v>
      </c>
      <c r="E29" s="334">
        <f t="shared" si="24"/>
        <v>0</v>
      </c>
      <c r="F29" s="334">
        <f t="shared" si="24"/>
        <v>0</v>
      </c>
      <c r="G29" s="334">
        <f t="shared" si="24"/>
        <v>0</v>
      </c>
      <c r="H29" s="287">
        <f t="shared" si="24"/>
        <v>0</v>
      </c>
      <c r="I29" s="50">
        <f t="shared" si="24"/>
        <v>0</v>
      </c>
      <c r="J29" s="50">
        <f t="shared" si="24"/>
        <v>0</v>
      </c>
      <c r="K29" s="50">
        <f t="shared" si="24"/>
        <v>0</v>
      </c>
      <c r="L29" s="50">
        <f t="shared" si="24"/>
        <v>0</v>
      </c>
      <c r="M29" s="50">
        <f t="shared" si="24"/>
        <v>0</v>
      </c>
      <c r="N29" s="178">
        <f t="shared" si="24"/>
        <v>0</v>
      </c>
      <c r="O29" s="50">
        <f t="shared" si="24"/>
        <v>0</v>
      </c>
      <c r="P29" s="50">
        <f t="shared" si="24"/>
        <v>0</v>
      </c>
      <c r="Q29" s="50">
        <f t="shared" si="24"/>
        <v>0</v>
      </c>
      <c r="R29" s="50">
        <f t="shared" si="24"/>
        <v>0</v>
      </c>
      <c r="S29" s="50">
        <f t="shared" si="24"/>
        <v>0</v>
      </c>
      <c r="T29" s="50">
        <f t="shared" si="24"/>
        <v>0</v>
      </c>
      <c r="U29" s="50">
        <f t="shared" si="24"/>
        <v>0</v>
      </c>
      <c r="V29" s="50">
        <f t="shared" si="24"/>
        <v>0</v>
      </c>
      <c r="W29" s="50">
        <f t="shared" si="24"/>
        <v>0</v>
      </c>
      <c r="X29" s="185">
        <f t="shared" si="24"/>
        <v>0</v>
      </c>
      <c r="Y29" s="175">
        <f t="shared" si="24"/>
        <v>0</v>
      </c>
      <c r="Z29" s="175">
        <f t="shared" si="24"/>
        <v>0</v>
      </c>
      <c r="AA29" s="175">
        <f t="shared" si="24"/>
        <v>0</v>
      </c>
      <c r="AB29" s="175">
        <f t="shared" si="24"/>
        <v>0</v>
      </c>
      <c r="AC29" s="175">
        <f t="shared" si="24"/>
        <v>0</v>
      </c>
      <c r="AD29" s="175">
        <f t="shared" si="24"/>
        <v>0</v>
      </c>
      <c r="AE29" s="175">
        <f t="shared" si="24"/>
        <v>0</v>
      </c>
      <c r="AF29" s="175">
        <f t="shared" si="24"/>
        <v>0</v>
      </c>
      <c r="AG29" s="175">
        <f t="shared" si="24"/>
        <v>0</v>
      </c>
      <c r="AH29" s="185">
        <f t="shared" si="24"/>
        <v>0</v>
      </c>
      <c r="AI29" s="128"/>
    </row>
    <row r="30" spans="1:37" s="20" customFormat="1">
      <c r="A30" s="20" t="s">
        <v>128</v>
      </c>
      <c r="B30" s="35">
        <v>0</v>
      </c>
      <c r="C30" s="334">
        <f>C23*C47</f>
        <v>0</v>
      </c>
      <c r="D30" s="334">
        <f t="shared" ref="D30:AH30" si="25">D24*D14</f>
        <v>0</v>
      </c>
      <c r="E30" s="334">
        <f t="shared" si="25"/>
        <v>0</v>
      </c>
      <c r="F30" s="334">
        <f t="shared" si="25"/>
        <v>0</v>
      </c>
      <c r="G30" s="334">
        <f t="shared" si="25"/>
        <v>0</v>
      </c>
      <c r="H30" s="287">
        <f t="shared" si="25"/>
        <v>0</v>
      </c>
      <c r="I30" s="118">
        <f t="shared" si="25"/>
        <v>0</v>
      </c>
      <c r="J30" s="118">
        <f t="shared" si="25"/>
        <v>0</v>
      </c>
      <c r="K30" s="118">
        <f t="shared" si="25"/>
        <v>0</v>
      </c>
      <c r="L30" s="118">
        <f t="shared" si="25"/>
        <v>0</v>
      </c>
      <c r="M30" s="118">
        <f t="shared" si="25"/>
        <v>0</v>
      </c>
      <c r="N30" s="178">
        <f t="shared" si="25"/>
        <v>0</v>
      </c>
      <c r="O30" s="118">
        <f t="shared" si="25"/>
        <v>0</v>
      </c>
      <c r="P30" s="118">
        <f t="shared" si="25"/>
        <v>0</v>
      </c>
      <c r="Q30" s="118">
        <f t="shared" si="25"/>
        <v>0</v>
      </c>
      <c r="R30" s="118">
        <f t="shared" si="25"/>
        <v>0</v>
      </c>
      <c r="S30" s="118">
        <f t="shared" si="25"/>
        <v>0</v>
      </c>
      <c r="T30" s="118">
        <f t="shared" si="25"/>
        <v>0</v>
      </c>
      <c r="U30" s="118">
        <f t="shared" si="25"/>
        <v>0</v>
      </c>
      <c r="V30" s="118">
        <f t="shared" si="25"/>
        <v>0</v>
      </c>
      <c r="W30" s="118">
        <f t="shared" si="25"/>
        <v>0</v>
      </c>
      <c r="X30" s="185">
        <f t="shared" si="25"/>
        <v>0</v>
      </c>
      <c r="Y30" s="175">
        <f t="shared" si="25"/>
        <v>0</v>
      </c>
      <c r="Z30" s="175">
        <f t="shared" si="25"/>
        <v>0</v>
      </c>
      <c r="AA30" s="175">
        <f t="shared" si="25"/>
        <v>0</v>
      </c>
      <c r="AB30" s="175">
        <f t="shared" si="25"/>
        <v>0</v>
      </c>
      <c r="AC30" s="175">
        <f t="shared" si="25"/>
        <v>0</v>
      </c>
      <c r="AD30" s="175">
        <f t="shared" si="25"/>
        <v>0</v>
      </c>
      <c r="AE30" s="175">
        <f t="shared" si="25"/>
        <v>0</v>
      </c>
      <c r="AF30" s="175">
        <f t="shared" si="25"/>
        <v>0</v>
      </c>
      <c r="AG30" s="175">
        <f t="shared" si="25"/>
        <v>0</v>
      </c>
      <c r="AH30" s="185">
        <f t="shared" si="25"/>
        <v>0</v>
      </c>
      <c r="AI30" s="128"/>
    </row>
    <row r="31" spans="1:37">
      <c r="A31" s="9" t="s">
        <v>51</v>
      </c>
      <c r="B31" s="35">
        <v>0</v>
      </c>
      <c r="C31" s="334">
        <f>'Output - Jobs vs Yr (BAU)'!C7</f>
        <v>27614.999899999999</v>
      </c>
      <c r="D31" s="334">
        <f t="shared" ref="D31:AH31" si="26">D26*D14</f>
        <v>28526.813737926997</v>
      </c>
      <c r="E31" s="334">
        <f t="shared" si="26"/>
        <v>29180.906123461627</v>
      </c>
      <c r="F31" s="334">
        <f t="shared" si="26"/>
        <v>28985.604793005579</v>
      </c>
      <c r="G31" s="334">
        <f t="shared" si="26"/>
        <v>29910.634615791136</v>
      </c>
      <c r="H31" s="287">
        <f>'Output - Jobs vs Yr (BAU)'!H7</f>
        <v>27478.017899999999</v>
      </c>
      <c r="I31" s="175">
        <f t="shared" si="26"/>
        <v>27932.004243640255</v>
      </c>
      <c r="J31" s="175">
        <f t="shared" si="26"/>
        <v>27459.02550367271</v>
      </c>
      <c r="K31" s="175">
        <f t="shared" si="26"/>
        <v>27410.790829243768</v>
      </c>
      <c r="L31" s="175">
        <f t="shared" si="26"/>
        <v>28395.259941294971</v>
      </c>
      <c r="M31" s="175">
        <f t="shared" si="26"/>
        <v>28664.753901686272</v>
      </c>
      <c r="N31" s="185">
        <f t="shared" si="26"/>
        <v>28938.744900000002</v>
      </c>
      <c r="O31" s="175">
        <f t="shared" si="26"/>
        <v>28903.049725137796</v>
      </c>
      <c r="P31" s="175">
        <f t="shared" si="26"/>
        <v>28749.345721736074</v>
      </c>
      <c r="Q31" s="175">
        <f t="shared" si="26"/>
        <v>28862.898093747561</v>
      </c>
      <c r="R31" s="175">
        <f t="shared" si="26"/>
        <v>29198.562950326497</v>
      </c>
      <c r="S31" s="175">
        <f t="shared" si="26"/>
        <v>29269.205801188738</v>
      </c>
      <c r="T31" s="175">
        <f t="shared" si="26"/>
        <v>29172.105452427873</v>
      </c>
      <c r="U31" s="175">
        <f t="shared" si="26"/>
        <v>28689.239045151324</v>
      </c>
      <c r="V31" s="175">
        <f t="shared" si="26"/>
        <v>29029.461308362253</v>
      </c>
      <c r="W31" s="175">
        <f t="shared" si="26"/>
        <v>28750.740350046082</v>
      </c>
      <c r="X31" s="185">
        <f t="shared" si="26"/>
        <v>29019.099510224052</v>
      </c>
      <c r="Y31" s="175">
        <f t="shared" si="26"/>
        <v>28769.583995766228</v>
      </c>
      <c r="Z31" s="175">
        <f t="shared" si="26"/>
        <v>29175.592899124502</v>
      </c>
      <c r="AA31" s="175">
        <f t="shared" si="26"/>
        <v>29350.049165674704</v>
      </c>
      <c r="AB31" s="175">
        <f t="shared" si="26"/>
        <v>29199.665625161717</v>
      </c>
      <c r="AC31" s="175">
        <f t="shared" si="26"/>
        <v>29446.279871859271</v>
      </c>
      <c r="AD31" s="175">
        <f t="shared" si="26"/>
        <v>29304.893183910932</v>
      </c>
      <c r="AE31" s="175">
        <f t="shared" si="26"/>
        <v>29311.619799549346</v>
      </c>
      <c r="AF31" s="175">
        <f t="shared" si="26"/>
        <v>29082.851379491251</v>
      </c>
      <c r="AG31" s="175">
        <f t="shared" si="26"/>
        <v>29088.313321613408</v>
      </c>
      <c r="AH31" s="185">
        <f t="shared" si="26"/>
        <v>29019.099510224052</v>
      </c>
      <c r="AI31" s="128"/>
    </row>
    <row r="32" spans="1:37">
      <c r="A32" s="9" t="s">
        <v>61</v>
      </c>
      <c r="B32" s="35">
        <v>0</v>
      </c>
      <c r="C32" s="334">
        <f>EIA_electricity_aeo2014!E52*1000</f>
        <v>43485</v>
      </c>
      <c r="D32" s="334">
        <f t="shared" ref="D32:AH32" si="27">D18*D14</f>
        <v>44250.539222968917</v>
      </c>
      <c r="E32" s="334">
        <f t="shared" si="27"/>
        <v>44584.964858495412</v>
      </c>
      <c r="F32" s="334">
        <f t="shared" si="27"/>
        <v>43616.277509231135</v>
      </c>
      <c r="G32" s="334">
        <f t="shared" si="27"/>
        <v>44322.000456830392</v>
      </c>
      <c r="H32" s="287">
        <f>EIA_electricity_aeo2014!J52*1000</f>
        <v>40658.596000000005</v>
      </c>
      <c r="I32" s="175">
        <f t="shared" si="27"/>
        <v>40560.021170956265</v>
      </c>
      <c r="J32" s="175">
        <f t="shared" si="27"/>
        <v>39139.135329404751</v>
      </c>
      <c r="K32" s="175">
        <f t="shared" si="27"/>
        <v>38359.718614489102</v>
      </c>
      <c r="L32" s="175">
        <f t="shared" si="27"/>
        <v>39023.12647421466</v>
      </c>
      <c r="M32" s="175">
        <f t="shared" si="27"/>
        <v>38693.540719165343</v>
      </c>
      <c r="N32" s="185">
        <f t="shared" si="27"/>
        <v>38377.161</v>
      </c>
      <c r="O32" s="175">
        <f t="shared" si="27"/>
        <v>38329.823789027527</v>
      </c>
      <c r="P32" s="175">
        <f t="shared" si="27"/>
        <v>38125.988988821926</v>
      </c>
      <c r="Q32" s="175">
        <f t="shared" si="27"/>
        <v>38276.576641385145</v>
      </c>
      <c r="R32" s="175">
        <f t="shared" si="27"/>
        <v>38721.71910652957</v>
      </c>
      <c r="S32" s="175">
        <f t="shared" si="27"/>
        <v>38815.402231710279</v>
      </c>
      <c r="T32" s="175">
        <f t="shared" si="27"/>
        <v>38686.632455051731</v>
      </c>
      <c r="U32" s="175">
        <f t="shared" si="27"/>
        <v>38046.278427343233</v>
      </c>
      <c r="V32" s="175">
        <f t="shared" si="27"/>
        <v>38497.464704293008</v>
      </c>
      <c r="W32" s="175">
        <f t="shared" si="27"/>
        <v>38127.838477297453</v>
      </c>
      <c r="X32" s="185">
        <f t="shared" si="27"/>
        <v>38483.723389775958</v>
      </c>
      <c r="Y32" s="175">
        <f t="shared" si="27"/>
        <v>38152.828007013668</v>
      </c>
      <c r="Z32" s="175">
        <f t="shared" si="27"/>
        <v>38691.257337845294</v>
      </c>
      <c r="AA32" s="175">
        <f t="shared" si="27"/>
        <v>38922.612783701414</v>
      </c>
      <c r="AB32" s="175">
        <f t="shared" si="27"/>
        <v>38723.181420456051</v>
      </c>
      <c r="AC32" s="175">
        <f t="shared" si="27"/>
        <v>39050.229282521614</v>
      </c>
      <c r="AD32" s="175">
        <f t="shared" si="27"/>
        <v>38862.729109124324</v>
      </c>
      <c r="AE32" s="175">
        <f t="shared" si="27"/>
        <v>38871.649620785509</v>
      </c>
      <c r="AF32" s="175">
        <f t="shared" si="27"/>
        <v>38568.268029129649</v>
      </c>
      <c r="AG32" s="175">
        <f t="shared" si="27"/>
        <v>38575.511392064676</v>
      </c>
      <c r="AH32" s="185">
        <f t="shared" si="27"/>
        <v>38483.723389775958</v>
      </c>
      <c r="AI32" s="129"/>
    </row>
    <row r="33" spans="1:36">
      <c r="A33" s="9"/>
      <c r="B33" s="35"/>
      <c r="C33" s="334"/>
      <c r="D33" s="334"/>
      <c r="E33" s="334"/>
      <c r="F33" s="334"/>
      <c r="G33" s="334"/>
      <c r="H33" s="287"/>
      <c r="I33" s="118"/>
      <c r="J33" s="118"/>
      <c r="K33" s="118"/>
      <c r="L33" s="118"/>
      <c r="M33" s="118"/>
      <c r="N33" s="185"/>
      <c r="O33" s="118"/>
      <c r="P33" s="118"/>
      <c r="Q33" s="118"/>
      <c r="R33" s="118"/>
      <c r="S33" s="118"/>
      <c r="T33" s="118"/>
      <c r="U33" s="118"/>
      <c r="V33" s="118"/>
      <c r="W33" s="118"/>
      <c r="X33" s="185"/>
      <c r="AI33" s="129"/>
    </row>
    <row r="34" spans="1:36">
      <c r="A34" s="9" t="s">
        <v>127</v>
      </c>
      <c r="B34" s="35">
        <v>1</v>
      </c>
      <c r="C34" s="334">
        <f>EIA_RE_aeo2014!E76*1000</f>
        <v>536</v>
      </c>
      <c r="D34" s="334">
        <f>MAX(D58*D$14,'Output - Jobs vs Yr (BAU)'!D10)</f>
        <v>683.81312593896348</v>
      </c>
      <c r="E34" s="334">
        <f>MAX(E58*E$14,'Output - Jobs vs Yr (BAU)'!E10)</f>
        <v>863.88173195464742</v>
      </c>
      <c r="F34" s="334">
        <f>MAX(F58*F$14,'Output - Jobs vs Yr (BAU)'!F10)</f>
        <v>1059.780944535089</v>
      </c>
      <c r="G34" s="334">
        <f>MAX(G58*G$14,'Output - Jobs vs Yr (BAU)'!G10)</f>
        <v>1350.6549321358334</v>
      </c>
      <c r="H34" s="287">
        <f>'Output - Jobs vs Yr (BAU)'!H10</f>
        <v>681.25100000000009</v>
      </c>
      <c r="I34" s="287">
        <f>MAX(I58*I$14,'Output - Jobs vs Yr (BAU)'!I10)</f>
        <v>845.30662224830451</v>
      </c>
      <c r="J34" s="287">
        <f>MAX(J58*J$14,'Output - Jobs vs Yr (BAU)'!J10)</f>
        <v>1014.5954578405494</v>
      </c>
      <c r="K34" s="287">
        <f>MAX(K58*K$14,'Output - Jobs vs Yr (BAU)'!K10)</f>
        <v>1236.8783285024404</v>
      </c>
      <c r="L34" s="287">
        <f>MAX(L58*L$14,'Output - Jobs vs Yr (BAU)'!L10)</f>
        <v>1565.1206765371157</v>
      </c>
      <c r="M34" s="287">
        <f>MAX(M58*M$14,'Output - Jobs vs Yr (BAU)'!M10)</f>
        <v>1930.3798976315236</v>
      </c>
      <c r="N34" s="288">
        <f>MAX(Inputs!$E17*N$21,'Output - Jobs vs Yr (BAU)'!N10)</f>
        <v>2381.5520560281443</v>
      </c>
      <c r="O34" s="287">
        <f>MAX(O58*O$14,'Output - Jobs vs Yr (BAU)'!O10)</f>
        <v>2473.8679561528911</v>
      </c>
      <c r="P34" s="287">
        <f>MAX(P58*P$14,'Output - Jobs vs Yr (BAU)'!P10)</f>
        <v>2559.2574789738742</v>
      </c>
      <c r="Q34" s="287">
        <f>MAX(Q58*Q$14,'Output - Jobs vs Yr (BAU)'!Q10)</f>
        <v>2672.2669036370694</v>
      </c>
      <c r="R34" s="287">
        <f>MAX(R58*R$14,'Output - Jobs vs Yr (BAU)'!R10)</f>
        <v>2811.61573195042</v>
      </c>
      <c r="S34" s="287">
        <f>MAX(S58*S$14,'Output - Jobs vs Yr (BAU)'!S10)</f>
        <v>2931.3030700441718</v>
      </c>
      <c r="T34" s="287">
        <f>MAX(T58*T$14,'Output - Jobs vs Yr (BAU)'!T10)</f>
        <v>3038.6001999546079</v>
      </c>
      <c r="U34" s="287">
        <f>MAX(U58*U$14,'Output - Jobs vs Yr (BAU)'!U10)</f>
        <v>3108.0036686001163</v>
      </c>
      <c r="V34" s="287">
        <f>MAX(V58*V$14,'Output - Jobs vs Yr (BAU)'!V10)</f>
        <v>3270.8368241651515</v>
      </c>
      <c r="W34" s="287">
        <f>MAX(W58*W$14,'Output - Jobs vs Yr (BAU)'!W10)</f>
        <v>3369.2019420494394</v>
      </c>
      <c r="X34" s="288">
        <f>Inputs!F17*'Output -Jobs vs Yr'!$X$14</f>
        <v>3536.8834422061809</v>
      </c>
      <c r="Y34" s="287">
        <f>MAX(Y58*Y$14,'Output - Jobs vs Yr (BAU)'!Y10)</f>
        <v>3632.166689985509</v>
      </c>
      <c r="Z34" s="287">
        <f>MAX(Z58*Z$14,'Output - Jobs vs Yr (BAU)'!Z10)</f>
        <v>3815.622856060409</v>
      </c>
      <c r="AA34" s="287">
        <f>MAX(AA58*AA$14,'Output - Jobs vs Yr (BAU)'!AA10)</f>
        <v>3976.3680262646712</v>
      </c>
      <c r="AB34" s="287">
        <f>MAX(AB58*AB$14,'Output - Jobs vs Yr (BAU)'!AB10)</f>
        <v>4098.323874732836</v>
      </c>
      <c r="AC34" s="287">
        <f>MAX(AC58*AC$14,'Output - Jobs vs Yr (BAU)'!AC10)</f>
        <v>4281.8200121856426</v>
      </c>
      <c r="AD34" s="287">
        <f>MAX(AD58*AD$14,'Output - Jobs vs Yr (BAU)'!AD10)</f>
        <v>4414.9608591818915</v>
      </c>
      <c r="AE34" s="287">
        <f>MAX(AE58*AE$14,'Output - Jobs vs Yr (BAU)'!AE10)</f>
        <v>4575.4593626903252</v>
      </c>
      <c r="AF34" s="287">
        <f>MAX(AF58*AF$14,'Output - Jobs vs Yr (BAU)'!AF10)</f>
        <v>4703.9178078932146</v>
      </c>
      <c r="AG34" s="287">
        <f>MAX(AG58*AG$14,'Output - Jobs vs Yr (BAU)'!AG10)</f>
        <v>4875.1624676440142</v>
      </c>
      <c r="AH34" s="288">
        <f>Inputs!I17*'Output -Jobs vs Yr'!$AH$14</f>
        <v>5039.9070656038366</v>
      </c>
      <c r="AI34" s="128"/>
    </row>
    <row r="35" spans="1:36" s="20" customFormat="1">
      <c r="A35" s="9" t="s">
        <v>52</v>
      </c>
      <c r="B35" s="35">
        <v>1</v>
      </c>
      <c r="C35" s="334">
        <f>EIA_RE_aeo2014!E74*1000</f>
        <v>0.1</v>
      </c>
      <c r="D35" s="334">
        <f>MAX(D59*D$14,'Output - Jobs vs Yr (BAU)'!D11)</f>
        <v>0.11399020684823727</v>
      </c>
      <c r="E35" s="334">
        <f>MAX(E59*E$14,'Output - Jobs vs Yr (BAU)'!E11)</f>
        <v>0.12867059156574706</v>
      </c>
      <c r="F35" s="334">
        <f>MAX(F59*F$14,'Output - Jobs vs Yr (BAU)'!F11)</f>
        <v>0.14103795825078172</v>
      </c>
      <c r="G35" s="334">
        <f>MAX(G59*G$14,'Output - Jobs vs Yr (BAU)'!G11)</f>
        <v>0.16060505600678465</v>
      </c>
      <c r="H35" s="287">
        <f>'Output - Jobs vs Yr (BAU)'!H11</f>
        <v>0.1</v>
      </c>
      <c r="I35" s="287">
        <f>MAX(I59*I$14,'Output - Jobs vs Yr (BAU)'!I11)</f>
        <v>0.11086692880880934</v>
      </c>
      <c r="J35" s="287">
        <f>MAX(J59*J$14,'Output - Jobs vs Yr (BAU)'!J11)</f>
        <v>0.11889827613345477</v>
      </c>
      <c r="K35" s="287">
        <f>MAX(K59*K$14,'Output - Jobs vs Yr (BAU)'!K11)</f>
        <v>0.12951036370735011</v>
      </c>
      <c r="L35" s="287">
        <f>MAX(L59*L$14,'Output - Jobs vs Yr (BAU)'!L11)</f>
        <v>0.14642669841283756</v>
      </c>
      <c r="M35" s="287">
        <f>MAX(M59*M$14,'Output - Jobs vs Yr (BAU)'!M11)</f>
        <v>0.16136529122261759</v>
      </c>
      <c r="N35" s="288">
        <f>MAX(Inputs!$E19*N$21,'Output - Jobs vs Yr (BAU)'!N11)</f>
        <v>0.17787803248924802</v>
      </c>
      <c r="O35" s="287">
        <f>MAX(O59*O$14,'Output - Jobs vs Yr (BAU)'!O11)</f>
        <v>0.18477310355859525</v>
      </c>
      <c r="P35" s="287">
        <f>MAX(P59*P$14,'Output - Jobs vs Yr (BAU)'!P11)</f>
        <v>0.19115084377054917</v>
      </c>
      <c r="Q35" s="287">
        <f>MAX(Q59*Q$14,'Output - Jobs vs Yr (BAU)'!Q11)</f>
        <v>0.19959151340065431</v>
      </c>
      <c r="R35" s="287">
        <f>MAX(R59*R$14,'Output - Jobs vs Yr (BAU)'!R11)</f>
        <v>0.20999947208764588</v>
      </c>
      <c r="S35" s="287">
        <f>MAX(S59*S$14,'Output - Jobs vs Yr (BAU)'!S11)</f>
        <v>0.21893891481790403</v>
      </c>
      <c r="T35" s="287">
        <f>MAX(T59*T$14,'Output - Jobs vs Yr (BAU)'!T11)</f>
        <v>0.22695293337017625</v>
      </c>
      <c r="U35" s="287">
        <f>MAX(U59*U$14,'Output - Jobs vs Yr (BAU)'!U11)</f>
        <v>0.23213667580374764</v>
      </c>
      <c r="V35" s="287">
        <f>MAX(V59*V$14,'Output - Jobs vs Yr (BAU)'!V11)</f>
        <v>0.24429867800000862</v>
      </c>
      <c r="W35" s="287">
        <f>MAX(W59*W$14,'Output - Jobs vs Yr (BAU)'!W11)</f>
        <v>0.25164556491375123</v>
      </c>
      <c r="X35" s="288">
        <f>Inputs!F19*'Output -Jobs vs Yr'!$X$14</f>
        <v>0.26416968978317368</v>
      </c>
      <c r="Y35" s="287">
        <f>MAX(Y59*Y$14,'Output - Jobs vs Yr (BAU)'!Y11)</f>
        <v>0.27128639193598691</v>
      </c>
      <c r="Z35" s="287">
        <f>MAX(Z59*Z$14,'Output - Jobs vs Yr (BAU)'!Z11)</f>
        <v>0.28498872600289271</v>
      </c>
      <c r="AA35" s="287">
        <f>MAX(AA59*AA$14,'Output - Jobs vs Yr (BAU)'!AA11)</f>
        <v>0.29699477665196805</v>
      </c>
      <c r="AB35" s="287">
        <f>MAX(AB59*AB$14,'Output - Jobs vs Yr (BAU)'!AB11)</f>
        <v>0.30610365433581477</v>
      </c>
      <c r="AC35" s="287">
        <f>MAX(AC59*AC$14,'Output - Jobs vs Yr (BAU)'!AC11)</f>
        <v>0.31980897386341622</v>
      </c>
      <c r="AD35" s="287">
        <f>MAX(AD59*AD$14,'Output - Jobs vs Yr (BAU)'!AD11)</f>
        <v>0.32975325866193628</v>
      </c>
      <c r="AE35" s="287">
        <f>MAX(AE59*AE$14,'Output - Jobs vs Yr (BAU)'!AE11)</f>
        <v>0.34174088578488149</v>
      </c>
      <c r="AF35" s="287">
        <f>MAX(AF59*AF$14,'Output - Jobs vs Yr (BAU)'!AF11)</f>
        <v>0.35133544217153712</v>
      </c>
      <c r="AG35" s="287">
        <f>MAX(AG59*AG$14,'Output - Jobs vs Yr (BAU)'!AG11)</f>
        <v>0.36412569929552541</v>
      </c>
      <c r="AH35" s="288">
        <f>Inputs!I19*'Output -Jobs vs Yr'!$AH$14</f>
        <v>0.37643046705155686</v>
      </c>
      <c r="AI35" s="128"/>
    </row>
    <row r="36" spans="1:36">
      <c r="A36" s="9" t="s">
        <v>125</v>
      </c>
      <c r="B36" s="35">
        <v>1</v>
      </c>
      <c r="C36" s="334">
        <v>0</v>
      </c>
      <c r="D36" s="334">
        <v>0</v>
      </c>
      <c r="E36" s="334">
        <v>0</v>
      </c>
      <c r="F36" s="334">
        <v>0</v>
      </c>
      <c r="G36" s="334">
        <v>0</v>
      </c>
      <c r="H36" s="287">
        <v>0</v>
      </c>
      <c r="I36" s="118">
        <v>0</v>
      </c>
      <c r="J36" s="118">
        <v>0</v>
      </c>
      <c r="K36" s="118">
        <v>0</v>
      </c>
      <c r="L36" s="118">
        <v>0</v>
      </c>
      <c r="M36" s="118">
        <v>0</v>
      </c>
      <c r="N36" s="185">
        <v>0</v>
      </c>
      <c r="O36" s="118">
        <v>0</v>
      </c>
      <c r="P36" s="118">
        <v>0</v>
      </c>
      <c r="Q36" s="118">
        <v>0</v>
      </c>
      <c r="R36" s="118">
        <v>0</v>
      </c>
      <c r="S36" s="118">
        <v>0</v>
      </c>
      <c r="T36" s="118">
        <v>0</v>
      </c>
      <c r="U36" s="118">
        <v>0</v>
      </c>
      <c r="V36" s="118">
        <v>0</v>
      </c>
      <c r="W36" s="118">
        <v>0</v>
      </c>
      <c r="X36" s="185">
        <v>0</v>
      </c>
      <c r="Y36" s="175">
        <v>0</v>
      </c>
      <c r="Z36" s="175">
        <v>0</v>
      </c>
      <c r="AA36" s="175">
        <v>0</v>
      </c>
      <c r="AB36" s="175">
        <v>0</v>
      </c>
      <c r="AC36" s="175">
        <v>0</v>
      </c>
      <c r="AD36" s="175">
        <v>0</v>
      </c>
      <c r="AE36" s="175">
        <v>0</v>
      </c>
      <c r="AF36" s="175">
        <v>0</v>
      </c>
      <c r="AG36" s="175">
        <v>0</v>
      </c>
      <c r="AH36" s="185">
        <v>0</v>
      </c>
      <c r="AI36" s="128"/>
    </row>
    <row r="37" spans="1:36">
      <c r="A37" s="9" t="s">
        <v>53</v>
      </c>
      <c r="B37" s="35">
        <v>1</v>
      </c>
      <c r="C37" s="334">
        <f>EIA_RE_aeo2014!E75*1000</f>
        <v>1665</v>
      </c>
      <c r="D37" s="334">
        <f>MAX(D61*D$14,'Output - Jobs vs Yr (BAU)'!D12)</f>
        <v>1897.2739657445393</v>
      </c>
      <c r="E37" s="334">
        <f>MAX(E61*E$14,'Output - Jobs vs Yr (BAU)'!E12)</f>
        <v>2140.8688892972918</v>
      </c>
      <c r="F37" s="334">
        <f>MAX(F61*F$14,'Output - Jobs vs Yr (BAU)'!F12)</f>
        <v>2345.8219923952015</v>
      </c>
      <c r="G37" s="334">
        <f>MAX(G61*G$14,'Output - Jobs vs Yr (BAU)'!G12)</f>
        <v>2670.3397604745333</v>
      </c>
      <c r="H37" s="287">
        <f>'Output - Jobs vs Yr (BAU)'!H12</f>
        <v>1790.778</v>
      </c>
      <c r="I37" s="118">
        <f>MAX(I61*I$14,'Output - Jobs vs Yr (BAU)'!I12)</f>
        <v>1984.6870467148237</v>
      </c>
      <c r="J37" s="118">
        <f>MAX(J61*J$14,'Output - Jobs vs Yr (BAU)'!J12)</f>
        <v>2127.7169042987734</v>
      </c>
      <c r="K37" s="118">
        <f>MAX(K61*K$14,'Output - Jobs vs Yr (BAU)'!K12)</f>
        <v>2316.8135090761525</v>
      </c>
      <c r="L37" s="118">
        <f>MAX(L61*L$14,'Output - Jobs vs Yr (BAU)'!L12)</f>
        <v>2618.5151550418873</v>
      </c>
      <c r="M37" s="118">
        <f>MAX(M61*M$14,'Output - Jobs vs Yr (BAU)'!M12)</f>
        <v>2884.6505888113143</v>
      </c>
      <c r="N37" s="185">
        <f>MAX(Inputs!$E20*N$21,'Output - Jobs vs Yr (BAU)'!N12)</f>
        <v>3178.7302464319582</v>
      </c>
      <c r="O37" s="175">
        <f>MAX(O61*O$14,'Output - Jobs vs Yr (BAU)'!O12)</f>
        <v>3301.9470970610923</v>
      </c>
      <c r="P37" s="175">
        <f>MAX(P61*P$14,'Output - Jobs vs Yr (BAU)'!P12)</f>
        <v>3415.9191004159679</v>
      </c>
      <c r="Q37" s="175">
        <f>MAX(Q61*Q$14,'Output - Jobs vs Yr (BAU)'!Q12)</f>
        <v>3566.7562300934428</v>
      </c>
      <c r="R37" s="175">
        <f>MAX(R61*R$14,'Output - Jobs vs Yr (BAU)'!R12)</f>
        <v>3752.7493660584146</v>
      </c>
      <c r="S37" s="175">
        <f>MAX(S61*S$14,'Output - Jobs vs Yr (BAU)'!S12)</f>
        <v>3912.4997106920919</v>
      </c>
      <c r="T37" s="175">
        <f>MAX(T61*T$14,'Output - Jobs vs Yr (BAU)'!T12)</f>
        <v>4055.7124661463909</v>
      </c>
      <c r="U37" s="175">
        <f>MAX(U61*U$14,'Output - Jobs vs Yr (BAU)'!U12)</f>
        <v>4148.3473948821929</v>
      </c>
      <c r="V37" s="175">
        <f>MAX(V61*V$14,'Output - Jobs vs Yr (BAU)'!V12)</f>
        <v>4365.6857794899915</v>
      </c>
      <c r="W37" s="175">
        <f>MAX(W61*W$14,'Output - Jobs vs Yr (BAU)'!W12)</f>
        <v>4496.9767057669087</v>
      </c>
      <c r="X37" s="185">
        <f>Inputs!F20*'Output -Jobs vs Yr'!$X$14</f>
        <v>4720.7863239384524</v>
      </c>
      <c r="Y37" s="175">
        <f>MAX(Y61*Y$14,'Output - Jobs vs Yr (BAU)'!Y12)</f>
        <v>4847.9637840858286</v>
      </c>
      <c r="Z37" s="175">
        <f>MAX(Z61*Z$14,'Output - Jobs vs Yr (BAU)'!Z12)</f>
        <v>5092.8283305149725</v>
      </c>
      <c r="AA37" s="175">
        <f>MAX(AA61*AA$14,'Output - Jobs vs Yr (BAU)'!AA12)</f>
        <v>5307.3798173081314</v>
      </c>
      <c r="AB37" s="175">
        <f>MAX(AB61*AB$14,'Output - Jobs vs Yr (BAU)'!AB12)</f>
        <v>5470.1580120042245</v>
      </c>
      <c r="AC37" s="175">
        <f>MAX(AC61*AC$14,'Output - Jobs vs Yr (BAU)'!AC12)</f>
        <v>5715.0759094519299</v>
      </c>
      <c r="AD37" s="175">
        <f>MAX(AD61*AD$14,'Output - Jobs vs Yr (BAU)'!AD12)</f>
        <v>5892.7830632012256</v>
      </c>
      <c r="AE37" s="175">
        <f>MAX(AE61*AE$14,'Output - Jobs vs Yr (BAU)'!AE12)</f>
        <v>6107.0053164238507</v>
      </c>
      <c r="AF37" s="175">
        <f>MAX(AF61*AF$14,'Output - Jobs vs Yr (BAU)'!AF12)</f>
        <v>6278.4627255291753</v>
      </c>
      <c r="AG37" s="175">
        <f>MAX(AG61*AG$14,'Output - Jobs vs Yr (BAU)'!AG12)</f>
        <v>6507.0282016068413</v>
      </c>
      <c r="AH37" s="185">
        <f>Inputs!I20*'Output -Jobs vs Yr'!$AH$14</f>
        <v>6726.9178467420943</v>
      </c>
      <c r="AI37" s="128"/>
    </row>
    <row r="38" spans="1:36" s="20" customFormat="1">
      <c r="A38" s="9" t="s">
        <v>353</v>
      </c>
      <c r="B38" s="35">
        <v>1</v>
      </c>
      <c r="C38" s="334">
        <f>'Output - Jobs vs Yr (BAU)'!C13</f>
        <v>0</v>
      </c>
      <c r="D38" s="334">
        <f>MAX(D62*D$14,'Output - Jobs vs Yr (BAU)'!D13)</f>
        <v>0</v>
      </c>
      <c r="E38" s="334">
        <f>MAX(E62*E$14,'Output - Jobs vs Yr (BAU)'!E13)</f>
        <v>111.151</v>
      </c>
      <c r="F38" s="334">
        <f>MAX(F62*F$14,'Output - Jobs vs Yr (BAU)'!F13)</f>
        <v>234.75099999999998</v>
      </c>
      <c r="G38" s="334">
        <f>MAX(G62*G$14,'Output - Jobs vs Yr (BAU)'!G13)</f>
        <v>310.40300000000002</v>
      </c>
      <c r="H38" s="287">
        <f>'Output - Jobs vs Yr (BAU)'!H13</f>
        <v>375.49200000000008</v>
      </c>
      <c r="I38" s="118">
        <f>MAX(I62*I$14,'Output - Jobs vs Yr (BAU)'!I13)</f>
        <v>439.01932851484014</v>
      </c>
      <c r="J38" s="118">
        <f>MAX(J62*J$14,'Output - Jobs vs Yr (BAU)'!J13)</f>
        <v>496.52156727451467</v>
      </c>
      <c r="K38" s="118">
        <f>MAX(K62*K$14,'Output - Jobs vs Yr (BAU)'!K13)</f>
        <v>570.35863122915407</v>
      </c>
      <c r="L38" s="118">
        <f>MAX(L62*L$14,'Output - Jobs vs Yr (BAU)'!L13)</f>
        <v>680.05603766063462</v>
      </c>
      <c r="M38" s="118">
        <f>MAX(M62*M$14,'Output - Jobs vs Yr (BAU)'!M13)</f>
        <v>790.34278348318242</v>
      </c>
      <c r="N38" s="185">
        <f>MAX(Inputs!$E21*N$21,'Output - Jobs vs Yr (BAU)'!N13)</f>
        <v>918.77383463313879</v>
      </c>
      <c r="O38" s="175">
        <f>MAX(O62*O$14,'Output - Jobs vs Yr (BAU)'!O13)</f>
        <v>954.38818676981941</v>
      </c>
      <c r="P38" s="175">
        <f>MAX(P62*P$14,'Output - Jobs vs Yr (BAU)'!P13)</f>
        <v>987.3304267352014</v>
      </c>
      <c r="Q38" s="175">
        <f>MAX(Q62*Q$14,'Output - Jobs vs Yr (BAU)'!Q13)</f>
        <v>1030.9280891019241</v>
      </c>
      <c r="R38" s="175">
        <f>MAX(R62*R$14,'Output - Jobs vs Yr (BAU)'!R13)</f>
        <v>1084.6871732323859</v>
      </c>
      <c r="S38" s="175">
        <f>MAX(S62*S$14,'Output - Jobs vs Yr (BAU)'!S13)</f>
        <v>1130.8610934282879</v>
      </c>
      <c r="T38" s="175">
        <f>MAX(T62*T$14,'Output - Jobs vs Yr (BAU)'!T13)</f>
        <v>1172.2550219142986</v>
      </c>
      <c r="U38" s="175">
        <f>MAX(U62*U$14,'Output - Jobs vs Yr (BAU)'!U13)</f>
        <v>1199.0300364947573</v>
      </c>
      <c r="V38" s="175">
        <f>MAX(V62*V$14,'Output - Jobs vs Yr (BAU)'!V13)</f>
        <v>1261.8490886188624</v>
      </c>
      <c r="W38" s="175">
        <f>MAX(W62*W$14,'Output - Jobs vs Yr (BAU)'!W13)</f>
        <v>1299.7971554368571</v>
      </c>
      <c r="X38" s="185">
        <f>Inputs!F21*'Output -Jobs vs Yr'!$X$14</f>
        <v>1364.4866399711509</v>
      </c>
      <c r="Y38" s="175">
        <f>MAX(Y62*Y$14,'Output - Jobs vs Yr (BAU)'!Y13)</f>
        <v>1401.2457587638407</v>
      </c>
      <c r="Z38" s="175">
        <f>MAX(Z62*Z$14,'Output - Jobs vs Yr (BAU)'!Z13)</f>
        <v>1472.0209176628814</v>
      </c>
      <c r="AA38" s="175">
        <f>MAX(AA62*AA$14,'Output - Jobs vs Yr (BAU)'!AA13)</f>
        <v>1534.0344504149791</v>
      </c>
      <c r="AB38" s="175">
        <f>MAX(AB62*AB$14,'Output - Jobs vs Yr (BAU)'!AB13)</f>
        <v>1581.0835343388073</v>
      </c>
      <c r="AC38" s="175">
        <f>MAX(AC62*AC$14,'Output - Jobs vs Yr (BAU)'!AC13)</f>
        <v>1651.874113709579</v>
      </c>
      <c r="AD38" s="175">
        <f>MAX(AD62*AD$14,'Output - Jobs vs Yr (BAU)'!AD13)</f>
        <v>1703.2382341080468</v>
      </c>
      <c r="AE38" s="175">
        <f>MAX(AE62*AE$14,'Output - Jobs vs Yr (BAU)'!AE13)</f>
        <v>1765.1566058472119</v>
      </c>
      <c r="AF38" s="175">
        <f>MAX(AF62*AF$14,'Output - Jobs vs Yr (BAU)'!AF13)</f>
        <v>1814.7143125500018</v>
      </c>
      <c r="AG38" s="175">
        <f>MAX(AG62*AG$14,'Output - Jobs vs Yr (BAU)'!AG13)</f>
        <v>1880.7784207442553</v>
      </c>
      <c r="AH38" s="185">
        <f>Inputs!I21*'Output -Jobs vs Yr'!$AH$14</f>
        <v>1944.334884110031</v>
      </c>
      <c r="AI38" s="128"/>
    </row>
    <row r="39" spans="1:36" s="20" customFormat="1">
      <c r="A39" s="9" t="s">
        <v>354</v>
      </c>
      <c r="B39" s="35">
        <v>1</v>
      </c>
      <c r="C39" s="334">
        <f>'Output - Jobs vs Yr (BAU)'!C14</f>
        <v>0</v>
      </c>
      <c r="D39" s="334">
        <f>MAX(D63*D$14,'Output - Jobs vs Yr (BAU)'!D14)</f>
        <v>0</v>
      </c>
      <c r="E39" s="334">
        <f>MAX(E63*E$14,'Output - Jobs vs Yr (BAU)'!E14)</f>
        <v>1</v>
      </c>
      <c r="F39" s="334">
        <f>MAX(F63*F$14,'Output - Jobs vs Yr (BAU)'!F14)</f>
        <v>1</v>
      </c>
      <c r="G39" s="334">
        <f>MAX(G63*G$14,'Output - Jobs vs Yr (BAU)'!G14)</f>
        <v>1</v>
      </c>
      <c r="H39" s="287">
        <f>'Output - Jobs vs Yr (BAU)'!H14</f>
        <v>1</v>
      </c>
      <c r="I39" s="118">
        <f>MAX(I63*I$14,'Output - Jobs vs Yr (BAU)'!I14)</f>
        <v>1.1086692880880931</v>
      </c>
      <c r="J39" s="118">
        <f>MAX(J63*J$14,'Output - Jobs vs Yr (BAU)'!J14)</f>
        <v>1.1889827613345474</v>
      </c>
      <c r="K39" s="118">
        <f>MAX(K63*K$14,'Output - Jobs vs Yr (BAU)'!K14)</f>
        <v>1.2951036370735007</v>
      </c>
      <c r="L39" s="118">
        <f>MAX(L63*L$14,'Output - Jobs vs Yr (BAU)'!L14)</f>
        <v>1.4642669841283753</v>
      </c>
      <c r="M39" s="118">
        <f>MAX(M63*M$14,'Output - Jobs vs Yr (BAU)'!M14)</f>
        <v>1.6136529122261754</v>
      </c>
      <c r="N39" s="185">
        <f>MAX(Inputs!$E22*N$21,'Output - Jobs vs Yr (BAU)'!N14)</f>
        <v>1.7787803248924801</v>
      </c>
      <c r="O39" s="175">
        <f>MAX(O63*O$14,'Output - Jobs vs Yr (BAU)'!O14)</f>
        <v>1.8477310355859518</v>
      </c>
      <c r="P39" s="175">
        <f>MAX(P63*P$14,'Output - Jobs vs Yr (BAU)'!P14)</f>
        <v>1.9115084377054907</v>
      </c>
      <c r="Q39" s="175">
        <f>MAX(Q63*Q$14,'Output - Jobs vs Yr (BAU)'!Q14)</f>
        <v>1.9959151340065422</v>
      </c>
      <c r="R39" s="175">
        <f>MAX(R63*R$14,'Output - Jobs vs Yr (BAU)'!R14)</f>
        <v>2.0999947208764578</v>
      </c>
      <c r="S39" s="175">
        <f>MAX(S63*S$14,'Output - Jobs vs Yr (BAU)'!S14)</f>
        <v>2.1893891481790386</v>
      </c>
      <c r="T39" s="175">
        <f>MAX(T63*T$14,'Output - Jobs vs Yr (BAU)'!T14)</f>
        <v>2.2695293337017608</v>
      </c>
      <c r="U39" s="175">
        <f>MAX(U63*U$14,'Output - Jobs vs Yr (BAU)'!U14)</f>
        <v>2.3213667580374748</v>
      </c>
      <c r="V39" s="175">
        <f>MAX(V63*V$14,'Output - Jobs vs Yr (BAU)'!V14)</f>
        <v>2.442986780000084</v>
      </c>
      <c r="W39" s="175">
        <f>MAX(W63*W$14,'Output - Jobs vs Yr (BAU)'!W14)</f>
        <v>2.516455649137511</v>
      </c>
      <c r="X39" s="185">
        <f>Inputs!F22*'Output -Jobs vs Yr'!$X$14</f>
        <v>2.641696897831737</v>
      </c>
      <c r="Y39" s="175">
        <f>MAX(Y63*Y$14,'Output - Jobs vs Yr (BAU)'!Y14)</f>
        <v>2.7128639193598696</v>
      </c>
      <c r="Z39" s="175">
        <f>MAX(Z63*Z$14,'Output - Jobs vs Yr (BAU)'!Z14)</f>
        <v>2.8498872600289271</v>
      </c>
      <c r="AA39" s="175">
        <f>MAX(AA63*AA$14,'Output - Jobs vs Yr (BAU)'!AA14)</f>
        <v>2.969947766519681</v>
      </c>
      <c r="AB39" s="175">
        <f>MAX(AB63*AB$14,'Output - Jobs vs Yr (BAU)'!AB14)</f>
        <v>3.0610365433581483</v>
      </c>
      <c r="AC39" s="175">
        <f>MAX(AC63*AC$14,'Output - Jobs vs Yr (BAU)'!AC14)</f>
        <v>3.1980897386341631</v>
      </c>
      <c r="AD39" s="175">
        <f>MAX(AD63*AD$14,'Output - Jobs vs Yr (BAU)'!AD14)</f>
        <v>3.2975325866193632</v>
      </c>
      <c r="AE39" s="175">
        <f>MAX(AE63*AE$14,'Output - Jobs vs Yr (BAU)'!AE14)</f>
        <v>3.4174088578488151</v>
      </c>
      <c r="AF39" s="175">
        <f>MAX(AF63*AF$14,'Output - Jobs vs Yr (BAU)'!AF14)</f>
        <v>3.513354421715372</v>
      </c>
      <c r="AG39" s="175">
        <f>MAX(AG63*AG$14,'Output - Jobs vs Yr (BAU)'!AG14)</f>
        <v>3.6412569929552552</v>
      </c>
      <c r="AH39" s="185">
        <f>Inputs!I22*'Output -Jobs vs Yr'!$AH$14</f>
        <v>3.7643046705155685</v>
      </c>
      <c r="AI39" s="128"/>
    </row>
    <row r="40" spans="1:36" s="20" customFormat="1">
      <c r="A40" s="9" t="s">
        <v>350</v>
      </c>
      <c r="B40" s="35">
        <v>1</v>
      </c>
      <c r="C40" s="334">
        <f>'Output - Jobs vs Yr (BAU)'!C15</f>
        <v>1E-4</v>
      </c>
      <c r="D40" s="334">
        <f>MAX(D64*D$14,'Output - Jobs vs Yr (BAU)'!D15)</f>
        <v>1.1399020684823728E-4</v>
      </c>
      <c r="E40" s="334">
        <f>MAX(E64*E$14,'Output - Jobs vs Yr (BAU)'!E15)</f>
        <v>1.2867059156574707E-4</v>
      </c>
      <c r="F40" s="334">
        <f>MAX(F64*F$14,'Output - Jobs vs Yr (BAU)'!F15)</f>
        <v>1.4103795825078173E-4</v>
      </c>
      <c r="G40" s="334">
        <f>MAX(G64*G$14,'Output - Jobs vs Yr (BAU)'!G15)</f>
        <v>1.6060505600678466E-4</v>
      </c>
      <c r="H40" s="287">
        <f>'Output - Jobs vs Yr (BAU)'!H15</f>
        <v>1E-4</v>
      </c>
      <c r="I40" s="118">
        <f>MAX(I64*I$14,'Output - Jobs vs Yr (BAU)'!I15)</f>
        <v>1.1086692880880933E-4</v>
      </c>
      <c r="J40" s="118">
        <f>MAX(J64*J$14,'Output - Jobs vs Yr (BAU)'!J15)</f>
        <v>1.1889827613345475E-4</v>
      </c>
      <c r="K40" s="118">
        <f>MAX(K64*K$14,'Output - Jobs vs Yr (BAU)'!K15)</f>
        <v>1.295103637073501E-4</v>
      </c>
      <c r="L40" s="118">
        <f>MAX(L64*L$14,'Output - Jobs vs Yr (BAU)'!L15)</f>
        <v>1.4642669841283756E-4</v>
      </c>
      <c r="M40" s="118">
        <f>MAX(M64*M$14,'Output - Jobs vs Yr (BAU)'!M15)</f>
        <v>1.6136529122261754E-4</v>
      </c>
      <c r="N40" s="185">
        <f>MAX(Inputs!$E18*N$21,'Output - Jobs vs Yr (BAU)'!N15)</f>
        <v>1.7787803248924802E-4</v>
      </c>
      <c r="O40" s="175">
        <f>MAX(O64*O$14,'Output - Jobs vs Yr (BAU)'!O15)</f>
        <v>1.8477310355859521E-4</v>
      </c>
      <c r="P40" s="175">
        <f>MAX(P64*P$14,'Output - Jobs vs Yr (BAU)'!P15)</f>
        <v>1.9115084377054913E-4</v>
      </c>
      <c r="Q40" s="175">
        <f>MAX(Q64*Q$14,'Output - Jobs vs Yr (BAU)'!Q15)</f>
        <v>1.9959151340065426E-4</v>
      </c>
      <c r="R40" s="175">
        <f>MAX(R64*R$14,'Output - Jobs vs Yr (BAU)'!R15)</f>
        <v>2.0999947208764585E-4</v>
      </c>
      <c r="S40" s="175">
        <f>MAX(S64*S$14,'Output - Jobs vs Yr (BAU)'!S15)</f>
        <v>2.1893891481790398E-4</v>
      </c>
      <c r="T40" s="175">
        <f>MAX(T64*T$14,'Output - Jobs vs Yr (BAU)'!T15)</f>
        <v>2.2695293337017617E-4</v>
      </c>
      <c r="U40" s="175">
        <f>MAX(U64*U$14,'Output - Jobs vs Yr (BAU)'!U15)</f>
        <v>2.3213667580374757E-4</v>
      </c>
      <c r="V40" s="175">
        <f>MAX(V64*V$14,'Output - Jobs vs Yr (BAU)'!V15)</f>
        <v>2.4429867800000856E-4</v>
      </c>
      <c r="W40" s="175">
        <f>MAX(W64*W$14,'Output - Jobs vs Yr (BAU)'!W15)</f>
        <v>2.5164556491375119E-4</v>
      </c>
      <c r="X40" s="185">
        <f>Inputs!F18*'Output -Jobs vs Yr'!$X$14</f>
        <v>2.6416968978317375E-4</v>
      </c>
      <c r="Y40" s="175">
        <f>MAX(Y64*Y$14,'Output - Jobs vs Yr (BAU)'!Y15)</f>
        <v>2.7128639193598701E-4</v>
      </c>
      <c r="Z40" s="175">
        <f>MAX(Z64*Z$14,'Output - Jobs vs Yr (BAU)'!Z15)</f>
        <v>2.8498872600289275E-4</v>
      </c>
      <c r="AA40" s="175">
        <f>MAX(AA64*AA$14,'Output - Jobs vs Yr (BAU)'!AA15)</f>
        <v>2.9699477665196813E-4</v>
      </c>
      <c r="AB40" s="175">
        <f>MAX(AB64*AB$14,'Output - Jobs vs Yr (BAU)'!AB15)</f>
        <v>3.0610365433581481E-4</v>
      </c>
      <c r="AC40" s="175">
        <f>MAX(AC64*AC$14,'Output - Jobs vs Yr (BAU)'!AC15)</f>
        <v>3.1980897386341627E-4</v>
      </c>
      <c r="AD40" s="175">
        <f>MAX(AD64*AD$14,'Output - Jobs vs Yr (BAU)'!AD15)</f>
        <v>3.2975325866193628E-4</v>
      </c>
      <c r="AE40" s="175">
        <f>MAX(AE64*AE$14,'Output - Jobs vs Yr (BAU)'!AE15)</f>
        <v>3.4174088578488147E-4</v>
      </c>
      <c r="AF40" s="175">
        <f>MAX(AF64*AF$14,'Output - Jobs vs Yr (BAU)'!AF15)</f>
        <v>3.5133544217153711E-4</v>
      </c>
      <c r="AG40" s="175">
        <f>MAX(AG64*AG$14,'Output - Jobs vs Yr (BAU)'!AG15)</f>
        <v>3.6412569929552549E-4</v>
      </c>
      <c r="AH40" s="185">
        <f>Inputs!I18*'Output -Jobs vs Yr'!$AH$14</f>
        <v>3.7643046705155691E-4</v>
      </c>
      <c r="AI40" s="128"/>
    </row>
    <row r="41" spans="1:36" s="253" customFormat="1">
      <c r="A41" s="10" t="s">
        <v>126</v>
      </c>
      <c r="B41" s="37">
        <v>1</v>
      </c>
      <c r="C41" s="334">
        <v>0</v>
      </c>
      <c r="D41" s="334">
        <v>0</v>
      </c>
      <c r="E41" s="334">
        <v>0</v>
      </c>
      <c r="F41" s="334">
        <v>0</v>
      </c>
      <c r="G41" s="334">
        <v>0</v>
      </c>
      <c r="H41" s="287">
        <v>1</v>
      </c>
      <c r="I41" s="287">
        <v>2</v>
      </c>
      <c r="J41" s="287">
        <v>3</v>
      </c>
      <c r="K41" s="287">
        <v>4</v>
      </c>
      <c r="L41" s="287">
        <v>5</v>
      </c>
      <c r="M41" s="287">
        <v>6</v>
      </c>
      <c r="N41" s="288">
        <v>7</v>
      </c>
      <c r="O41" s="287">
        <v>8</v>
      </c>
      <c r="P41" s="287">
        <v>9</v>
      </c>
      <c r="Q41" s="287">
        <v>10</v>
      </c>
      <c r="R41" s="287">
        <v>11</v>
      </c>
      <c r="S41" s="287">
        <v>12</v>
      </c>
      <c r="T41" s="287">
        <v>13</v>
      </c>
      <c r="U41" s="287">
        <v>14</v>
      </c>
      <c r="V41" s="287">
        <v>15</v>
      </c>
      <c r="W41" s="287">
        <v>16</v>
      </c>
      <c r="X41" s="288">
        <v>17</v>
      </c>
      <c r="Y41" s="253">
        <v>18</v>
      </c>
      <c r="Z41" s="253">
        <v>19</v>
      </c>
      <c r="AA41" s="253">
        <v>20</v>
      </c>
      <c r="AB41" s="253">
        <v>21</v>
      </c>
      <c r="AC41" s="253">
        <v>22</v>
      </c>
      <c r="AD41" s="198">
        <v>23</v>
      </c>
      <c r="AE41" s="253">
        <v>24</v>
      </c>
      <c r="AF41" s="253">
        <v>25</v>
      </c>
      <c r="AG41" s="253">
        <v>26</v>
      </c>
      <c r="AH41" s="288">
        <v>27</v>
      </c>
      <c r="AI41" s="253">
        <f>EXP(0.01)</f>
        <v>1.0100501670841679</v>
      </c>
      <c r="AJ41" s="487">
        <v>0.01</v>
      </c>
    </row>
    <row r="42" spans="1:36" s="20" customFormat="1">
      <c r="A42" s="9" t="s">
        <v>55</v>
      </c>
      <c r="B42" s="35">
        <v>1</v>
      </c>
      <c r="C42" s="334">
        <f>EIA_RE_aeo2014!E78*1000</f>
        <v>536</v>
      </c>
      <c r="D42" s="334">
        <f>MAX(D66*D$14,'Output - Jobs vs Yr (BAU)'!D16)</f>
        <v>615.34005093010796</v>
      </c>
      <c r="E42" s="334">
        <f>MAX(E66*E$14,'Output - Jobs vs Yr (BAU)'!E16)</f>
        <v>2833.6169999999997</v>
      </c>
      <c r="F42" s="334">
        <f>MAX(F66*F$14,'Output - Jobs vs Yr (BAU)'!F16)</f>
        <v>3015.3599999999997</v>
      </c>
      <c r="G42" s="334">
        <f>MAX(G66*G$14,'Output - Jobs vs Yr (BAU)'!G16)</f>
        <v>3493.4239999999995</v>
      </c>
      <c r="H42" s="287">
        <f>'Output - Jobs vs Yr (BAU)'!H16</f>
        <v>3734.0509999999999</v>
      </c>
      <c r="I42" s="118">
        <f>MAX(I66*I$14,'Output - Jobs vs Yr (BAU)'!I16)</f>
        <v>4169.3188964058827</v>
      </c>
      <c r="J42" s="118">
        <f>MAX(J66*J$14,'Output - Jobs vs Yr (BAU)'!J16)</f>
        <v>4503.2028102916174</v>
      </c>
      <c r="K42" s="118">
        <f>MAX(K66*K$14,'Output - Jobs vs Yr (BAU)'!K16)</f>
        <v>4940.0725091441</v>
      </c>
      <c r="L42" s="118">
        <f>MAX(L66*L$14,'Output - Jobs vs Yr (BAU)'!L16)</f>
        <v>5625.1216920108091</v>
      </c>
      <c r="M42" s="118">
        <f>MAX(M66*M$14,'Output - Jobs vs Yr (BAU)'!M16)</f>
        <v>6243.1623682999934</v>
      </c>
      <c r="N42" s="185">
        <f>MAX(Inputs!$E23*N$21,'Output - Jobs vs Yr (BAU)'!N16)</f>
        <v>6931.0602266713468</v>
      </c>
      <c r="O42" s="175">
        <f>MAX(O66*O$14,'Output - Jobs vs Yr (BAU)'!O16)</f>
        <v>7199.7283257055187</v>
      </c>
      <c r="P42" s="175">
        <f>MAX(P66*P$14,'Output - Jobs vs Yr (BAU)'!P16)</f>
        <v>7448.2385037219537</v>
      </c>
      <c r="Q42" s="175">
        <f>MAX(Q66*Q$14,'Output - Jobs vs Yr (BAU)'!Q16)</f>
        <v>7777.1312216197121</v>
      </c>
      <c r="R42" s="175">
        <f>MAX(R66*R$14,'Output - Jobs vs Yr (BAU)'!R16)</f>
        <v>8182.6798297684236</v>
      </c>
      <c r="S42" s="175">
        <f>MAX(S66*S$14,'Output - Jobs vs Yr (BAU)'!S16)</f>
        <v>8531.0073612191864</v>
      </c>
      <c r="T42" s="175">
        <f>MAX(T66*T$14,'Output - Jobs vs Yr (BAU)'!T16)</f>
        <v>8843.2755174729245</v>
      </c>
      <c r="U42" s="175">
        <f>MAX(U66*U$14,'Output - Jobs vs Yr (BAU)'!U16)</f>
        <v>9045.2612854952185</v>
      </c>
      <c r="V42" s="175">
        <f>MAX(V66*V$14,'Output - Jobs vs Yr (BAU)'!V16)</f>
        <v>9519.1566199530553</v>
      </c>
      <c r="W42" s="175">
        <f>MAX(W66*W$14,'Output - Jobs vs Yr (BAU)'!W16)</f>
        <v>9805.4298317998964</v>
      </c>
      <c r="X42" s="185">
        <f>Inputs!F23*'Output -Jobs vs Yr'!$X$14</f>
        <v>10293.435363126911</v>
      </c>
      <c r="Y42" s="175">
        <f>MAX(Y66*Y$14,'Output - Jobs vs Yr (BAU)'!Y16)</f>
        <v>10570.739370519797</v>
      </c>
      <c r="Z42" s="175">
        <f>MAX(Z66*Z$14,'Output - Jobs vs Yr (BAU)'!Z16)</f>
        <v>11104.654105996955</v>
      </c>
      <c r="AA42" s="175">
        <f>MAX(AA66*AA$14,'Output - Jobs vs Yr (BAU)'!AA16)</f>
        <v>11572.472750990333</v>
      </c>
      <c r="AB42" s="175">
        <f>MAX(AB66*AB$14,'Output - Jobs vs Yr (BAU)'!AB16)</f>
        <v>11927.402356072063</v>
      </c>
      <c r="AC42" s="175">
        <f>MAX(AC66*AC$14,'Output - Jobs vs Yr (BAU)'!AC16)</f>
        <v>12461.433420741741</v>
      </c>
      <c r="AD42" s="175">
        <f>MAX(AD66*AD$14,'Output - Jobs vs Yr (BAU)'!AD16)</f>
        <v>12848.914864544426</v>
      </c>
      <c r="AE42" s="175">
        <f>MAX(AE66*AE$14,'Output - Jobs vs Yr (BAU)'!AE16)</f>
        <v>13316.015632420495</v>
      </c>
      <c r="AF42" s="175">
        <f>MAX(AF66*AF$14,'Output - Jobs vs Yr (BAU)'!AF16)</f>
        <v>13689.869824720065</v>
      </c>
      <c r="AG42" s="175">
        <f>MAX(AG66*AG$14,'Output - Jobs vs Yr (BAU)'!AG16)</f>
        <v>14188.245263217979</v>
      </c>
      <c r="AH42" s="185">
        <f>Inputs!I23*'Output -Jobs vs Yr'!$AH$14</f>
        <v>14667.703491976004</v>
      </c>
      <c r="AI42" s="128"/>
    </row>
    <row r="43" spans="1:36">
      <c r="A43" s="10" t="s">
        <v>338</v>
      </c>
      <c r="B43" s="37"/>
      <c r="C43" s="334">
        <f>SUM(C31:C42)</f>
        <v>73837.100000000006</v>
      </c>
      <c r="D43" s="334">
        <f t="shared" ref="D43:AG43" si="28">SUM(D31:D42)</f>
        <v>75973.894207706588</v>
      </c>
      <c r="E43" s="334">
        <f t="shared" si="28"/>
        <v>79716.518402471134</v>
      </c>
      <c r="F43" s="334">
        <f t="shared" si="28"/>
        <v>79258.737418163219</v>
      </c>
      <c r="G43" s="334">
        <f t="shared" si="28"/>
        <v>82058.617530892952</v>
      </c>
      <c r="H43" s="287">
        <f t="shared" si="28"/>
        <v>74720.286000000022</v>
      </c>
      <c r="I43" s="83">
        <f t="shared" si="28"/>
        <v>75933.576955564189</v>
      </c>
      <c r="J43" s="83">
        <f t="shared" si="28"/>
        <v>74744.505572718655</v>
      </c>
      <c r="K43" s="83">
        <f t="shared" si="28"/>
        <v>74840.05716519586</v>
      </c>
      <c r="L43" s="83">
        <f t="shared" si="28"/>
        <v>77913.8108168693</v>
      </c>
      <c r="M43" s="83">
        <f t="shared" si="28"/>
        <v>79214.605438646366</v>
      </c>
      <c r="N43" s="185">
        <f t="shared" si="28"/>
        <v>80734.979099999997</v>
      </c>
      <c r="O43" s="83">
        <f t="shared" si="28"/>
        <v>81172.837768766869</v>
      </c>
      <c r="P43" s="83">
        <f t="shared" si="28"/>
        <v>81297.183070837331</v>
      </c>
      <c r="Q43" s="83">
        <f t="shared" si="28"/>
        <v>82198.752885823764</v>
      </c>
      <c r="R43" s="83">
        <f t="shared" si="28"/>
        <v>83765.324362058178</v>
      </c>
      <c r="S43" s="83">
        <f t="shared" si="28"/>
        <v>84604.687815284677</v>
      </c>
      <c r="T43" s="83">
        <f t="shared" si="28"/>
        <v>84984.077822187843</v>
      </c>
      <c r="U43" s="83">
        <f t="shared" si="28"/>
        <v>84252.713593537352</v>
      </c>
      <c r="V43" s="83">
        <f t="shared" si="28"/>
        <v>85962.141854638976</v>
      </c>
      <c r="W43" s="83">
        <f t="shared" si="28"/>
        <v>85868.752815256245</v>
      </c>
      <c r="X43" s="185">
        <f t="shared" si="28"/>
        <v>87438.320799999987</v>
      </c>
      <c r="Y43" s="175">
        <f t="shared" si="28"/>
        <v>87395.512027732533</v>
      </c>
      <c r="Z43" s="175">
        <f t="shared" si="28"/>
        <v>89374.111608179781</v>
      </c>
      <c r="AA43" s="175">
        <f t="shared" si="28"/>
        <v>90686.184233892171</v>
      </c>
      <c r="AB43" s="175">
        <f t="shared" si="28"/>
        <v>91024.182269067023</v>
      </c>
      <c r="AC43" s="175">
        <f t="shared" si="28"/>
        <v>92632.230828991233</v>
      </c>
      <c r="AD43" s="175">
        <f t="shared" si="28"/>
        <v>93054.146929669369</v>
      </c>
      <c r="AE43" s="175">
        <f t="shared" si="28"/>
        <v>93974.665829201229</v>
      </c>
      <c r="AF43" s="175">
        <f t="shared" si="28"/>
        <v>94166.949120512683</v>
      </c>
      <c r="AG43" s="175">
        <f t="shared" si="28"/>
        <v>95145.04481370913</v>
      </c>
      <c r="AH43" s="185">
        <f>SUM(AH31:AH42)</f>
        <v>95912.827300000034</v>
      </c>
      <c r="AI43" s="128"/>
    </row>
    <row r="44" spans="1:36">
      <c r="A44" s="10" t="s">
        <v>130</v>
      </c>
      <c r="B44" s="37"/>
      <c r="C44" s="335">
        <f>SUMPRODUCT($B34:$B42,C34:C42)</f>
        <v>2737.1001000000001</v>
      </c>
      <c r="D44" s="335">
        <f>SUMPRODUCT($B34:$B42,D34:D42)</f>
        <v>3196.5412468106661</v>
      </c>
      <c r="E44" s="335">
        <f t="shared" ref="E44:AG44" si="29">SUMPRODUCT($B34:$B42*E34:E42)</f>
        <v>5950.6474205140967</v>
      </c>
      <c r="F44" s="335">
        <f t="shared" si="29"/>
        <v>6656.8551159264989</v>
      </c>
      <c r="G44" s="335">
        <f t="shared" si="29"/>
        <v>7825.98245827143</v>
      </c>
      <c r="H44" s="407">
        <f t="shared" si="29"/>
        <v>6583.6720999999998</v>
      </c>
      <c r="I44" s="14">
        <f>SUMPRODUCT($B34:$B42*I34:I42)</f>
        <v>7441.5515409676773</v>
      </c>
      <c r="J44" s="14">
        <f t="shared" si="29"/>
        <v>8146.3447396411993</v>
      </c>
      <c r="K44" s="14">
        <f t="shared" si="29"/>
        <v>9069.5477214629918</v>
      </c>
      <c r="L44" s="14">
        <f t="shared" si="29"/>
        <v>10495.424401359687</v>
      </c>
      <c r="M44" s="14">
        <f t="shared" si="29"/>
        <v>11856.310817794754</v>
      </c>
      <c r="N44" s="183">
        <f t="shared" si="29"/>
        <v>13419.073200000003</v>
      </c>
      <c r="O44" s="14">
        <f t="shared" si="29"/>
        <v>13939.964254601569</v>
      </c>
      <c r="P44" s="14">
        <f t="shared" si="29"/>
        <v>14421.848360279317</v>
      </c>
      <c r="Q44" s="14">
        <f t="shared" si="29"/>
        <v>15059.278150691069</v>
      </c>
      <c r="R44" s="14">
        <f t="shared" si="29"/>
        <v>15845.04230520208</v>
      </c>
      <c r="S44" s="14">
        <f t="shared" si="29"/>
        <v>16520.079782385648</v>
      </c>
      <c r="T44" s="14">
        <f t="shared" si="29"/>
        <v>17125.339914708231</v>
      </c>
      <c r="U44" s="14">
        <f t="shared" si="29"/>
        <v>17517.196121042802</v>
      </c>
      <c r="V44" s="14">
        <f t="shared" si="29"/>
        <v>18435.215841983743</v>
      </c>
      <c r="W44" s="14">
        <f t="shared" si="29"/>
        <v>18990.17398791272</v>
      </c>
      <c r="X44" s="188">
        <f t="shared" si="29"/>
        <v>19935.497900000002</v>
      </c>
      <c r="Y44" s="14">
        <f t="shared" si="29"/>
        <v>20473.100024952662</v>
      </c>
      <c r="Z44" s="14">
        <f t="shared" si="29"/>
        <v>21507.261371209977</v>
      </c>
      <c r="AA44" s="14">
        <f t="shared" si="29"/>
        <v>22413.522284516064</v>
      </c>
      <c r="AB44" s="14">
        <f t="shared" si="29"/>
        <v>23101.335223449281</v>
      </c>
      <c r="AC44" s="14">
        <f t="shared" si="29"/>
        <v>24135.721674610366</v>
      </c>
      <c r="AD44" s="14">
        <f t="shared" si="29"/>
        <v>24886.524636634131</v>
      </c>
      <c r="AE44" s="14">
        <f t="shared" si="29"/>
        <v>25791.396408866403</v>
      </c>
      <c r="AF44" s="14">
        <f t="shared" si="29"/>
        <v>26515.829711891784</v>
      </c>
      <c r="AG44" s="14">
        <f t="shared" si="29"/>
        <v>27481.220100031038</v>
      </c>
      <c r="AH44" s="188">
        <f>SUMPRODUCT($B34:$B42*AH34:AH42)</f>
        <v>28410.004400000002</v>
      </c>
      <c r="AI44" s="128"/>
    </row>
    <row r="45" spans="1:36">
      <c r="A45" s="10" t="s">
        <v>123</v>
      </c>
      <c r="B45" s="37"/>
      <c r="C45" s="336">
        <f t="shared" ref="C45:AG45" si="30">C44/C14</f>
        <v>2.0482523516249972E-2</v>
      </c>
      <c r="D45" s="336">
        <f t="shared" si="30"/>
        <v>2.3248925368826303E-2</v>
      </c>
      <c r="E45" s="336">
        <f t="shared" si="30"/>
        <v>4.2478812182021146E-2</v>
      </c>
      <c r="F45" s="336">
        <f t="shared" si="30"/>
        <v>4.8030583903110359E-2</v>
      </c>
      <c r="G45" s="336">
        <f t="shared" si="30"/>
        <v>5.4936597950474425E-2</v>
      </c>
      <c r="H45" s="285">
        <f t="shared" si="30"/>
        <v>4.7218328623876128E-2</v>
      </c>
      <c r="I45" s="23">
        <f t="shared" si="30"/>
        <v>5.3333640040319548E-2</v>
      </c>
      <c r="J45" s="23">
        <f t="shared" si="30"/>
        <v>6.031485747613112E-2</v>
      </c>
      <c r="K45" s="23">
        <f t="shared" si="30"/>
        <v>6.8299184333501822E-2</v>
      </c>
      <c r="L45" s="23">
        <f t="shared" si="30"/>
        <v>7.7448226138079349E-2</v>
      </c>
      <c r="M45" s="23">
        <f t="shared" si="30"/>
        <v>8.795661782490688E-2</v>
      </c>
      <c r="N45" s="179">
        <f t="shared" si="30"/>
        <v>0.1000521917819536</v>
      </c>
      <c r="O45" s="23">
        <f t="shared" si="30"/>
        <v>0.10419777241335949</v>
      </c>
      <c r="P45" s="23">
        <f t="shared" si="30"/>
        <v>0.10851489618332209</v>
      </c>
      <c r="Q45" s="208">
        <f t="shared" si="30"/>
        <v>0.11300973680850181</v>
      </c>
      <c r="R45" s="208">
        <f t="shared" si="30"/>
        <v>0.11768960513666091</v>
      </c>
      <c r="S45" s="208">
        <f t="shared" si="30"/>
        <v>0.12256351589750296</v>
      </c>
      <c r="T45" s="208">
        <f t="shared" si="30"/>
        <v>0.12763934223858067</v>
      </c>
      <c r="U45" s="208">
        <f t="shared" si="30"/>
        <v>0.13292636069093799</v>
      </c>
      <c r="V45" s="208">
        <f t="shared" si="30"/>
        <v>0.13842882073364285</v>
      </c>
      <c r="W45" s="208">
        <f t="shared" si="30"/>
        <v>0.1441611367858002</v>
      </c>
      <c r="X45" s="186">
        <f t="shared" si="30"/>
        <v>0.15012802170187745</v>
      </c>
      <c r="Y45" s="173">
        <f t="shared" si="30"/>
        <v>0.15451375021471792</v>
      </c>
      <c r="Z45" s="173">
        <f t="shared" si="30"/>
        <v>0.15902406160166935</v>
      </c>
      <c r="AA45" s="173">
        <f t="shared" si="30"/>
        <v>0.16366679654152336</v>
      </c>
      <c r="AB45" s="173">
        <f t="shared" si="30"/>
        <v>0.16844639605338235</v>
      </c>
      <c r="AC45" s="173">
        <f t="shared" si="30"/>
        <v>0.17336310330637522</v>
      </c>
      <c r="AD45" s="173">
        <f t="shared" si="30"/>
        <v>0.17842514541213123</v>
      </c>
      <c r="AE45" s="173">
        <f t="shared" si="30"/>
        <v>0.18363383007949813</v>
      </c>
      <c r="AF45" s="173">
        <f t="shared" si="30"/>
        <v>0.18899569364097241</v>
      </c>
      <c r="AG45" s="173">
        <f t="shared" si="30"/>
        <v>0.1945123598412821</v>
      </c>
      <c r="AH45" s="186">
        <f>AH44/AH14</f>
        <v>0.20019025470045027</v>
      </c>
      <c r="AI45" s="128"/>
    </row>
    <row r="46" spans="1:36" s="253" customFormat="1">
      <c r="A46" s="10" t="s">
        <v>339</v>
      </c>
      <c r="B46" s="37"/>
      <c r="C46" s="334">
        <f>SUM(EIA_electricity_aeo2014!E50,EIA_electricity_aeo2014!E55)*1000</f>
        <v>3525.0000000000005</v>
      </c>
      <c r="D46" s="334">
        <f>SUM(EIA_electricity_aeo2014!F50,EIA_electricity_aeo2014!F55)*1000</f>
        <v>2836.9999999999995</v>
      </c>
      <c r="E46" s="334">
        <f>SUM(EIA_electricity_aeo2014!G50,EIA_electricity_aeo2014!G55)*1000</f>
        <v>1759.5810000000001</v>
      </c>
      <c r="F46" s="334">
        <f>SUM(EIA_electricity_aeo2014!H50,EIA_electricity_aeo2014!H55)*1000</f>
        <v>1363.04</v>
      </c>
      <c r="G46" s="334">
        <f>SUM(EIA_electricity_aeo2014!I50,EIA_electricity_aeo2014!I55)*1000</f>
        <v>2091.9290000000001</v>
      </c>
      <c r="H46" s="287">
        <f>SUM(EIA_electricity_aeo2014!J50,EIA_electricity_aeo2014!J55)*1000</f>
        <v>2087.8080000000004</v>
      </c>
      <c r="I46" s="287">
        <f>SUM(EIA_electricity_aeo2014!K50,EIA_electricity_aeo2014!K55)*1000</f>
        <v>2095.5170000000003</v>
      </c>
      <c r="J46" s="287">
        <f>SUM(EIA_electricity_aeo2014!L50,EIA_electricity_aeo2014!L55)*1000</f>
        <v>1942.8790000000001</v>
      </c>
      <c r="K46" s="287">
        <f>SUM(EIA_electricity_aeo2014!M50,EIA_electricity_aeo2014!M55)*1000</f>
        <v>1396.8530000000001</v>
      </c>
      <c r="L46" s="287">
        <f>SUM(EIA_electricity_aeo2014!N50,EIA_electricity_aeo2014!N55)*1000</f>
        <v>1401.7650000000001</v>
      </c>
      <c r="M46" s="287">
        <f>SUM(EIA_electricity_aeo2014!O50,EIA_electricity_aeo2014!O55)*1000</f>
        <v>1159.1719999999998</v>
      </c>
      <c r="N46" s="287">
        <f>SUM(EIA_electricity_aeo2014!P50,EIA_electricity_aeo2014!P55)*1000</f>
        <v>1145.7429999999999</v>
      </c>
      <c r="O46" s="287">
        <f>SUM(EIA_electricity_aeo2014!Q50,EIA_electricity_aeo2014!Q55)*1000</f>
        <v>1164.518</v>
      </c>
      <c r="P46" s="287">
        <f>SUM(EIA_electricity_aeo2014!R50,EIA_electricity_aeo2014!R55)*1000</f>
        <v>1169.328</v>
      </c>
      <c r="Q46" s="287">
        <f>SUM(EIA_electricity_aeo2014!S50,EIA_electricity_aeo2014!S55)*1000</f>
        <v>1170.2049999999999</v>
      </c>
      <c r="R46" s="287">
        <f>SUM(EIA_electricity_aeo2014!T50,EIA_electricity_aeo2014!T55)*1000</f>
        <v>1172.787</v>
      </c>
      <c r="S46" s="287">
        <f>SUM(EIA_electricity_aeo2014!U50,EIA_electricity_aeo2014!U55)*1000</f>
        <v>1169.586</v>
      </c>
      <c r="T46" s="287">
        <f>SUM(EIA_electricity_aeo2014!V50,EIA_electricity_aeo2014!V55)*1000</f>
        <v>1131.739</v>
      </c>
      <c r="U46" s="287">
        <f>SUM(EIA_electricity_aeo2014!W50,EIA_electricity_aeo2014!W55)*1000</f>
        <v>1125.173</v>
      </c>
      <c r="V46" s="287">
        <f>SUM(EIA_electricity_aeo2014!X50,EIA_electricity_aeo2014!X55)*1000</f>
        <v>1138.0989999999999</v>
      </c>
      <c r="W46" s="287">
        <f>SUM(EIA_electricity_aeo2014!Y50,EIA_electricity_aeo2014!Y55)*1000</f>
        <v>1142.941</v>
      </c>
      <c r="X46" s="287">
        <f>SUM(EIA_electricity_aeo2014!Z50,EIA_electricity_aeo2014!Z55)*1000</f>
        <v>1146.1969999999999</v>
      </c>
      <c r="Y46" s="287">
        <f>SUM(EIA_electricity_aeo2014!AA50,EIA_electricity_aeo2014!AA55)*1000</f>
        <v>940.0680000000001</v>
      </c>
      <c r="Z46" s="287">
        <f>SUM(EIA_electricity_aeo2014!AB50,EIA_electricity_aeo2014!AB55)*1000</f>
        <v>935.30600000000004</v>
      </c>
      <c r="AA46" s="287">
        <f>SUM(EIA_electricity_aeo2014!AC50,EIA_electricity_aeo2014!AC55)*1000</f>
        <v>936.52399999999989</v>
      </c>
      <c r="AB46" s="287">
        <f>SUM(EIA_electricity_aeo2014!AD50,EIA_electricity_aeo2014!AD55)*1000</f>
        <v>954.03300000000002</v>
      </c>
      <c r="AC46" s="287">
        <f>SUM(EIA_electricity_aeo2014!AE50,EIA_electricity_aeo2014!AE55)*1000</f>
        <v>955.36599999999999</v>
      </c>
      <c r="AD46" s="287">
        <f>SUM(EIA_electricity_aeo2014!AF50,EIA_electricity_aeo2014!AF55)*1000</f>
        <v>956.07900000000006</v>
      </c>
      <c r="AE46" s="287">
        <f>SUM(EIA_electricity_aeo2014!AG50,EIA_electricity_aeo2014!AG55)*1000</f>
        <v>956.85199999999998</v>
      </c>
      <c r="AF46" s="287">
        <f>SUM(EIA_electricity_aeo2014!AH50,EIA_electricity_aeo2014!AH55)*1000</f>
        <v>956.79899999999998</v>
      </c>
      <c r="AG46" s="287">
        <f>SUM(EIA_electricity_aeo2014!AI50,EIA_electricity_aeo2014!AI55)*1000</f>
        <v>954.6450000000001</v>
      </c>
      <c r="AH46" s="287">
        <f>SUM(EIA_electricity_aeo2014!AJ50,EIA_electricity_aeo2014!AJ55)*1000</f>
        <v>954.71100000000001</v>
      </c>
      <c r="AI46" s="296"/>
    </row>
    <row r="47" spans="1:36" s="253" customFormat="1">
      <c r="A47" s="10" t="s">
        <v>148</v>
      </c>
      <c r="B47" s="37"/>
      <c r="C47" s="334">
        <f>(C$14-C$43-C$46)*0.7</f>
        <v>39388.229999999996</v>
      </c>
      <c r="D47" s="334">
        <f>(D$14-D$30-D$43-D$46)*EIA_electricity_aeo2014!F60</f>
        <v>12753.251411650132</v>
      </c>
      <c r="E47" s="334">
        <f>(E$14-E$30-E$43-E$46)*EIA_electricity_aeo2014!G60</f>
        <v>8356.255404864205</v>
      </c>
      <c r="F47" s="334">
        <f>(F$14-F$30-F$43-F$46)*EIA_electricity_aeo2014!H60</f>
        <v>3645.6603803500002</v>
      </c>
      <c r="G47" s="334">
        <f>(G$14-G$30-G$43-G$46)*EIA_electricity_aeo2014!I60</f>
        <v>6085.071459456336</v>
      </c>
      <c r="H47" s="287">
        <f>(H$14-H$30-H$43-H$46)*EIA_electricity_aeo2014!J60</f>
        <v>5728.545773493257</v>
      </c>
      <c r="I47" s="287">
        <f>(I$14-I$30-I$43-I$46)*EIA_electricity_aeo2014!K60</f>
        <v>6799.208720041669</v>
      </c>
      <c r="J47" s="287">
        <f>(J$14-J$30-J$43-J$46)*EIA_electricity_aeo2014!L60</f>
        <v>6596.3423985963227</v>
      </c>
      <c r="K47" s="287">
        <f>(K$14-K$30-K$43-K$46)*EIA_electricity_aeo2014!M60</f>
        <v>6591.9010071625735</v>
      </c>
      <c r="L47" s="287">
        <f>(L$14-L$30-L$43-L$46)*EIA_electricity_aeo2014!N60</f>
        <v>6823.5909458628848</v>
      </c>
      <c r="M47" s="287">
        <f>(M$14-M$30-M$43-M$46)*EIA_electricity_aeo2014!O60</f>
        <v>7156.1938415961258</v>
      </c>
      <c r="N47" s="288">
        <f>(N$14-N$43-N$46)*EIA_electricity_aeo2014!P60 - N30</f>
        <v>7006.859176775044</v>
      </c>
      <c r="O47" s="287">
        <f>(O$14-O$43-O$46)*EIA_electricity_aeo2014!Q60 - O30</f>
        <v>9192.1943859784678</v>
      </c>
      <c r="P47" s="287">
        <f>(P$14-P$43-P$46)*EIA_electricity_aeo2014!R60 - P30</f>
        <v>10253.529754441061</v>
      </c>
      <c r="Q47" s="287">
        <f>(Q$14-Q$43-Q$46)*EIA_electricity_aeo2014!S60 - Q30</f>
        <v>10163.528469337987</v>
      </c>
      <c r="R47" s="287">
        <f>(R$14-R$43-R$46)*EIA_electricity_aeo2014!T60 - R30</f>
        <v>9955.6767593161694</v>
      </c>
      <c r="S47" s="287">
        <f>(S$14-S$43-S$46)*EIA_electricity_aeo2014!U60 - S30</f>
        <v>10005.369145504326</v>
      </c>
      <c r="T47" s="287">
        <f>(T$14-T$43-T$46)*EIA_electricity_aeo2014!V60 - T30</f>
        <v>9902.540098282876</v>
      </c>
      <c r="U47" s="287">
        <f>(U$14-U$43-U$46)*EIA_electricity_aeo2014!W60 - U30</f>
        <v>9955.5939043367089</v>
      </c>
      <c r="V47" s="287">
        <f>(V$14-V$43-V$46)*EIA_electricity_aeo2014!X60 - V30</f>
        <v>9686.6250285995411</v>
      </c>
      <c r="W47" s="287">
        <f>(W$14-W$43-W$46)*EIA_electricity_aeo2014!Y60 - W30</f>
        <v>9712.3895275852537</v>
      </c>
      <c r="X47" s="288">
        <f>(X$14-X$43-X$46)*EIA_electricity_aeo2014!Z60 - X30</f>
        <v>9414.2691327875491</v>
      </c>
      <c r="Y47" s="287">
        <f>(Y$14-Y$43-Y$46)*EIA_electricity_aeo2014!AA60 - Y30</f>
        <v>9409.1416445389696</v>
      </c>
      <c r="Z47" s="287">
        <f>(Z$14-Z$43-Z$46)*EIA_electricity_aeo2014!AB60 - Z30</f>
        <v>9054.728819581982</v>
      </c>
      <c r="AA47" s="287">
        <f>(AA$14-AA$43-AA$46)*EIA_electricity_aeo2014!AC60 - AA30</f>
        <v>8873.4575171130691</v>
      </c>
      <c r="AB47" s="287">
        <f>(AB$14-AB$43-AB$46)*EIA_electricity_aeo2014!AD60 - AB30</f>
        <v>8808.6922542328921</v>
      </c>
      <c r="AC47" s="287">
        <f>(AC$14-AC$43-AC$46)*EIA_electricity_aeo2014!AE60 - AC30</f>
        <v>8605.5807389976217</v>
      </c>
      <c r="AD47" s="287">
        <f>(AD$14-AD$43-AD$46)*EIA_electricity_aeo2014!AF60 - AD30</f>
        <v>8492.4797763808583</v>
      </c>
      <c r="AE47" s="287">
        <f>(AE$14-AE$43-AE$46)*EIA_electricity_aeo2014!AG60 - AE30</f>
        <v>8412.4803987135547</v>
      </c>
      <c r="AF47" s="287">
        <f>(AF$14-AF$43-AF$46)*EIA_electricity_aeo2014!AH60 - AF30</f>
        <v>8362.1577250083574</v>
      </c>
      <c r="AG47" s="287">
        <f>(AG$14-AG$43-AG$46)*EIA_electricity_aeo2014!AI60 - AG30</f>
        <v>8262.7862614788901</v>
      </c>
      <c r="AH47" s="288">
        <f>(AH$14-AH$43-AH$46)*EIA_electricity_aeo2014!AJ60 - AH30</f>
        <v>8166.1088079962956</v>
      </c>
      <c r="AI47" s="296"/>
      <c r="AJ47" s="403"/>
    </row>
    <row r="48" spans="1:36" s="253" customFormat="1">
      <c r="A48" s="10" t="s">
        <v>228</v>
      </c>
      <c r="B48" s="37"/>
      <c r="C48" s="334">
        <f>(C$14-C$43-C$46)* 0.3</f>
        <v>16880.669999999998</v>
      </c>
      <c r="D48" s="334">
        <f t="shared" ref="D48:AH48" si="31">(D$14-SUM(D30:D42,D46:D47))</f>
        <v>45927.854380643286</v>
      </c>
      <c r="E48" s="334">
        <f t="shared" si="31"/>
        <v>50252.716192664651</v>
      </c>
      <c r="F48" s="334">
        <f>(F$14-SUM(F30:F42,F46:F47))</f>
        <v>54328.735201486794</v>
      </c>
      <c r="G48" s="334">
        <f t="shared" si="31"/>
        <v>52219.189009650712</v>
      </c>
      <c r="H48" s="287">
        <f t="shared" si="31"/>
        <v>56893.795226506714</v>
      </c>
      <c r="I48" s="287">
        <f t="shared" si="31"/>
        <v>54699.986324394122</v>
      </c>
      <c r="J48" s="287">
        <f t="shared" si="31"/>
        <v>51779.922028685032</v>
      </c>
      <c r="K48" s="287">
        <f t="shared" si="31"/>
        <v>49962.638827641582</v>
      </c>
      <c r="L48" s="287">
        <f t="shared" si="31"/>
        <v>49376.195237267835</v>
      </c>
      <c r="M48" s="287">
        <f t="shared" si="31"/>
        <v>47267.285719757521</v>
      </c>
      <c r="N48" s="288">
        <f t="shared" si="31"/>
        <v>45233.150723224971</v>
      </c>
      <c r="O48" s="287">
        <f t="shared" si="31"/>
        <v>42254.156845254663</v>
      </c>
      <c r="P48" s="287">
        <f t="shared" si="31"/>
        <v>40181.974174721632</v>
      </c>
      <c r="Q48" s="287">
        <f t="shared" si="31"/>
        <v>39723.979644838226</v>
      </c>
      <c r="R48" s="287">
        <f t="shared" si="31"/>
        <v>39740.381878625674</v>
      </c>
      <c r="S48" s="287">
        <f t="shared" si="31"/>
        <v>39008.264039210975</v>
      </c>
      <c r="T48" s="287">
        <f t="shared" si="31"/>
        <v>38151.403079529293</v>
      </c>
      <c r="U48" s="287">
        <f t="shared" si="31"/>
        <v>36447.725502125948</v>
      </c>
      <c r="V48" s="287">
        <f t="shared" si="31"/>
        <v>36387.828116761491</v>
      </c>
      <c r="W48" s="287">
        <f t="shared" si="31"/>
        <v>35004.71965715845</v>
      </c>
      <c r="X48" s="288">
        <f t="shared" si="31"/>
        <v>34791.199067212467</v>
      </c>
      <c r="Y48" s="287">
        <f t="shared" si="31"/>
        <v>34755.460327728506</v>
      </c>
      <c r="Z48" s="287">
        <f t="shared" si="31"/>
        <v>35881.181572238245</v>
      </c>
      <c r="AA48" s="287">
        <f t="shared" si="31"/>
        <v>36449.890248994765</v>
      </c>
      <c r="AB48" s="287">
        <f t="shared" si="31"/>
        <v>36356.633476700081</v>
      </c>
      <c r="AC48" s="287">
        <f t="shared" si="31"/>
        <v>37027.459432011165</v>
      </c>
      <c r="AD48" s="287">
        <f t="shared" si="31"/>
        <v>36976.091293949765</v>
      </c>
      <c r="AE48" s="287">
        <f t="shared" si="31"/>
        <v>37106.137772085218</v>
      </c>
      <c r="AF48" s="287">
        <f t="shared" si="31"/>
        <v>36812.686154478957</v>
      </c>
      <c r="AG48" s="287">
        <f t="shared" si="31"/>
        <v>36920.165924811998</v>
      </c>
      <c r="AH48" s="288">
        <f t="shared" si="31"/>
        <v>36881.374892003674</v>
      </c>
      <c r="AI48" s="296"/>
    </row>
    <row r="49" spans="1:35" s="253" customFormat="1">
      <c r="A49" s="10" t="s">
        <v>340</v>
      </c>
      <c r="B49" s="37"/>
      <c r="C49" s="334">
        <f>SUM(C43,C46:C48)</f>
        <v>133631</v>
      </c>
      <c r="D49" s="334">
        <f t="shared" ref="D49:M49" si="32">SUM(D43,D46:D48)+D30</f>
        <v>137492</v>
      </c>
      <c r="E49" s="334">
        <f t="shared" si="32"/>
        <v>140085.071</v>
      </c>
      <c r="F49" s="334">
        <f t="shared" si="32"/>
        <v>138596.17300000001</v>
      </c>
      <c r="G49" s="334">
        <f t="shared" si="32"/>
        <v>142454.807</v>
      </c>
      <c r="H49" s="287">
        <f>SUM(H43,H46:H48)+H30</f>
        <v>139430.435</v>
      </c>
      <c r="I49" s="287">
        <f t="shared" si="32"/>
        <v>139528.28899999999</v>
      </c>
      <c r="J49" s="287">
        <f t="shared" si="32"/>
        <v>135063.649</v>
      </c>
      <c r="K49" s="287">
        <f t="shared" si="32"/>
        <v>132791.45000000001</v>
      </c>
      <c r="L49" s="287">
        <f t="shared" si="32"/>
        <v>135515.36200000002</v>
      </c>
      <c r="M49" s="287">
        <f t="shared" si="32"/>
        <v>134797.25700000001</v>
      </c>
      <c r="N49" s="288">
        <f t="shared" ref="N49:AH49" si="33">SUM(N43,N46:N48)+N30</f>
        <v>134120.73200000002</v>
      </c>
      <c r="O49" s="287">
        <f t="shared" si="33"/>
        <v>133783.70699999999</v>
      </c>
      <c r="P49" s="287">
        <f t="shared" si="33"/>
        <v>132902.01500000001</v>
      </c>
      <c r="Q49" s="287">
        <f t="shared" si="33"/>
        <v>133256.46599999999</v>
      </c>
      <c r="R49" s="287">
        <f t="shared" si="33"/>
        <v>134634.17000000001</v>
      </c>
      <c r="S49" s="287">
        <f t="shared" si="33"/>
        <v>134787.90699999998</v>
      </c>
      <c r="T49" s="287">
        <f t="shared" si="33"/>
        <v>134169.76</v>
      </c>
      <c r="U49" s="287">
        <f t="shared" si="33"/>
        <v>131781.20600000001</v>
      </c>
      <c r="V49" s="287">
        <f t="shared" si="33"/>
        <v>133174.69400000002</v>
      </c>
      <c r="W49" s="287">
        <f t="shared" si="33"/>
        <v>131728.80299999996</v>
      </c>
      <c r="X49" s="288">
        <f t="shared" si="33"/>
        <v>132789.986</v>
      </c>
      <c r="Y49" s="287">
        <f t="shared" si="33"/>
        <v>132500.182</v>
      </c>
      <c r="Z49" s="287">
        <f t="shared" si="33"/>
        <v>135245.32800000001</v>
      </c>
      <c r="AA49" s="287">
        <f t="shared" si="33"/>
        <v>136946.05600000001</v>
      </c>
      <c r="AB49" s="287">
        <f t="shared" si="33"/>
        <v>137143.541</v>
      </c>
      <c r="AC49" s="287">
        <f t="shared" si="33"/>
        <v>139220.63700000002</v>
      </c>
      <c r="AD49" s="287">
        <f t="shared" si="33"/>
        <v>139478.79699999999</v>
      </c>
      <c r="AE49" s="287">
        <f t="shared" si="33"/>
        <v>140450.136</v>
      </c>
      <c r="AF49" s="287">
        <f t="shared" si="33"/>
        <v>140298.592</v>
      </c>
      <c r="AG49" s="287">
        <f t="shared" si="33"/>
        <v>141282.64200000002</v>
      </c>
      <c r="AH49" s="288">
        <f t="shared" si="33"/>
        <v>141915.022</v>
      </c>
      <c r="AI49" s="296"/>
    </row>
    <row r="50" spans="1:35">
      <c r="A50" s="10"/>
      <c r="B50" s="37"/>
      <c r="C50" s="336" t="b">
        <f t="shared" ref="C50:AH50" si="34">(C49=C14)</f>
        <v>1</v>
      </c>
      <c r="D50" s="336" t="b">
        <f t="shared" si="34"/>
        <v>1</v>
      </c>
      <c r="E50" s="336" t="b">
        <f t="shared" si="34"/>
        <v>1</v>
      </c>
      <c r="F50" s="336" t="b">
        <f t="shared" si="34"/>
        <v>1</v>
      </c>
      <c r="G50" s="336" t="b">
        <f t="shared" si="34"/>
        <v>1</v>
      </c>
      <c r="H50" s="285" t="b">
        <f t="shared" si="34"/>
        <v>1</v>
      </c>
      <c r="I50" s="91" t="b">
        <f t="shared" si="34"/>
        <v>1</v>
      </c>
      <c r="J50" s="91" t="b">
        <f t="shared" si="34"/>
        <v>1</v>
      </c>
      <c r="K50" s="91" t="b">
        <f t="shared" si="34"/>
        <v>1</v>
      </c>
      <c r="L50" s="91" t="b">
        <f t="shared" si="34"/>
        <v>1</v>
      </c>
      <c r="M50" s="91" t="b">
        <f t="shared" si="34"/>
        <v>1</v>
      </c>
      <c r="N50" s="186" t="b">
        <f t="shared" si="34"/>
        <v>1</v>
      </c>
      <c r="O50" s="91" t="b">
        <f t="shared" si="34"/>
        <v>1</v>
      </c>
      <c r="P50" s="91" t="b">
        <f t="shared" si="34"/>
        <v>1</v>
      </c>
      <c r="Q50" s="91" t="b">
        <f t="shared" si="34"/>
        <v>1</v>
      </c>
      <c r="R50" s="91" t="b">
        <f t="shared" si="34"/>
        <v>1</v>
      </c>
      <c r="S50" s="91" t="b">
        <f t="shared" si="34"/>
        <v>1</v>
      </c>
      <c r="T50" s="91" t="b">
        <f t="shared" si="34"/>
        <v>1</v>
      </c>
      <c r="U50" s="91" t="b">
        <f t="shared" si="34"/>
        <v>1</v>
      </c>
      <c r="V50" s="91" t="b">
        <f t="shared" si="34"/>
        <v>1</v>
      </c>
      <c r="W50" s="91" t="b">
        <f t="shared" si="34"/>
        <v>1</v>
      </c>
      <c r="X50" s="186" t="b">
        <f t="shared" si="34"/>
        <v>1</v>
      </c>
      <c r="Y50" s="173" t="b">
        <f t="shared" si="34"/>
        <v>1</v>
      </c>
      <c r="Z50" s="173" t="b">
        <f t="shared" si="34"/>
        <v>1</v>
      </c>
      <c r="AA50" s="173" t="b">
        <f t="shared" si="34"/>
        <v>1</v>
      </c>
      <c r="AB50" s="173" t="b">
        <f t="shared" si="34"/>
        <v>1</v>
      </c>
      <c r="AC50" s="173" t="b">
        <f t="shared" si="34"/>
        <v>1</v>
      </c>
      <c r="AD50" s="173" t="b">
        <f t="shared" si="34"/>
        <v>1</v>
      </c>
      <c r="AE50" s="173" t="b">
        <f t="shared" si="34"/>
        <v>1</v>
      </c>
      <c r="AF50" s="173" t="b">
        <f t="shared" si="34"/>
        <v>1</v>
      </c>
      <c r="AG50" s="173" t="b">
        <f t="shared" si="34"/>
        <v>1</v>
      </c>
      <c r="AH50" s="186" t="b">
        <f t="shared" si="34"/>
        <v>1</v>
      </c>
      <c r="AI50" s="128"/>
    </row>
    <row r="51" spans="1:35">
      <c r="A51" s="10" t="s">
        <v>549</v>
      </c>
      <c r="B51" s="37"/>
      <c r="C51" s="336"/>
      <c r="D51" s="336">
        <f>D44/C44-1</f>
        <v>0.16785690330093006</v>
      </c>
      <c r="E51" s="336">
        <f t="shared" ref="E51:X51" si="35">E44/D44-1</f>
        <v>0.86158943716159686</v>
      </c>
      <c r="F51" s="336">
        <f t="shared" si="35"/>
        <v>0.11867745566269661</v>
      </c>
      <c r="G51" s="336">
        <f>G44/F44-1</f>
        <v>0.17562757818595132</v>
      </c>
      <c r="H51" s="285"/>
      <c r="I51" s="165">
        <f t="shared" ref="I51:N51" si="36">I44/H44-1</f>
        <v>0.13030409594178871</v>
      </c>
      <c r="J51" s="173">
        <f t="shared" si="36"/>
        <v>9.4710517664690297E-2</v>
      </c>
      <c r="K51" s="173">
        <f t="shared" si="36"/>
        <v>0.11332726656280134</v>
      </c>
      <c r="L51" s="173">
        <f t="shared" si="36"/>
        <v>0.15721585283931772</v>
      </c>
      <c r="M51" s="173">
        <f t="shared" si="36"/>
        <v>0.12966473430638636</v>
      </c>
      <c r="N51" s="173">
        <f t="shared" si="36"/>
        <v>0.13180848631766207</v>
      </c>
      <c r="O51" s="173">
        <f t="shared" ref="O51:R51" si="37">O44/N44-1</f>
        <v>3.8817215379789882E-2</v>
      </c>
      <c r="P51" s="173">
        <f t="shared" si="37"/>
        <v>3.4568532377597494E-2</v>
      </c>
      <c r="Q51" s="173">
        <f t="shared" si="37"/>
        <v>4.4198897012907246E-2</v>
      </c>
      <c r="R51" s="173">
        <f t="shared" si="37"/>
        <v>5.2178075645342492E-2</v>
      </c>
      <c r="S51" s="165">
        <f t="shared" si="35"/>
        <v>4.2602440825415089E-2</v>
      </c>
      <c r="T51" s="165">
        <f t="shared" si="35"/>
        <v>3.6637845597327745E-2</v>
      </c>
      <c r="U51" s="165">
        <f t="shared" si="35"/>
        <v>2.2881660059665299E-2</v>
      </c>
      <c r="V51" s="165">
        <f t="shared" si="35"/>
        <v>5.2406773013071284E-2</v>
      </c>
      <c r="W51" s="165">
        <f t="shared" si="35"/>
        <v>3.0103154239460084E-2</v>
      </c>
      <c r="X51" s="186">
        <f t="shared" si="35"/>
        <v>4.9779634072282919E-2</v>
      </c>
      <c r="Y51" s="173">
        <f t="shared" ref="Y51:AH51" si="38">Y44/X44-1</f>
        <v>2.6967077905421188E-2</v>
      </c>
      <c r="Z51" s="173">
        <f t="shared" si="38"/>
        <v>5.0513178023693373E-2</v>
      </c>
      <c r="AA51" s="173">
        <f t="shared" si="38"/>
        <v>4.213743896371791E-2</v>
      </c>
      <c r="AB51" s="173">
        <f t="shared" si="38"/>
        <v>3.068740960042593E-2</v>
      </c>
      <c r="AC51" s="173">
        <f t="shared" si="38"/>
        <v>4.4776046109712198E-2</v>
      </c>
      <c r="AD51" s="173">
        <f t="shared" si="38"/>
        <v>3.1107541433640806E-2</v>
      </c>
      <c r="AE51" s="173">
        <f t="shared" si="38"/>
        <v>3.635990904492381E-2</v>
      </c>
      <c r="AF51" s="173">
        <f t="shared" si="38"/>
        <v>2.8088176830019851E-2</v>
      </c>
      <c r="AG51" s="173">
        <f t="shared" si="38"/>
        <v>3.6408077689015217E-2</v>
      </c>
      <c r="AH51" s="186">
        <f t="shared" si="38"/>
        <v>3.3797054737315424E-2</v>
      </c>
      <c r="AI51" s="128"/>
    </row>
    <row r="52" spans="1:35">
      <c r="A52" s="10"/>
      <c r="B52" s="37"/>
      <c r="C52" s="336"/>
      <c r="D52" s="336"/>
      <c r="E52" s="336"/>
      <c r="F52" s="336"/>
      <c r="G52" s="336"/>
      <c r="H52" s="285"/>
      <c r="I52" s="173"/>
      <c r="J52" s="173"/>
      <c r="K52" s="173"/>
      <c r="L52" s="173"/>
      <c r="M52" s="173"/>
      <c r="N52" s="186"/>
      <c r="O52" s="173"/>
      <c r="P52" s="173"/>
      <c r="Q52" s="173"/>
      <c r="R52" s="173"/>
      <c r="S52" s="173"/>
      <c r="T52" s="173"/>
      <c r="U52" s="173"/>
      <c r="V52" s="173"/>
      <c r="W52" s="173"/>
      <c r="X52" s="186"/>
      <c r="Y52" s="20"/>
      <c r="Z52" s="20"/>
      <c r="AA52" s="20"/>
      <c r="AB52" s="20"/>
      <c r="AC52" s="20"/>
      <c r="AD52" s="20"/>
      <c r="AE52" s="20"/>
      <c r="AF52" s="20"/>
      <c r="AG52" s="20"/>
      <c r="AH52" s="280"/>
      <c r="AI52" s="128"/>
    </row>
    <row r="53" spans="1:35">
      <c r="A53" s="1" t="s">
        <v>548</v>
      </c>
      <c r="B53" s="37"/>
      <c r="C53" s="336"/>
      <c r="D53" s="336"/>
      <c r="E53" s="336"/>
      <c r="F53" s="336"/>
      <c r="G53" s="336"/>
      <c r="H53" s="285"/>
      <c r="I53" s="165"/>
      <c r="J53" s="165"/>
      <c r="K53" s="165"/>
      <c r="L53" s="165"/>
      <c r="M53" s="165"/>
      <c r="N53" s="185" t="s">
        <v>0</v>
      </c>
      <c r="O53" s="175" t="s">
        <v>0</v>
      </c>
      <c r="P53" s="165"/>
      <c r="Q53" s="165"/>
      <c r="R53" s="165"/>
      <c r="S53" s="165"/>
      <c r="T53" s="165"/>
      <c r="U53" s="165"/>
      <c r="V53" s="165"/>
      <c r="W53" s="165"/>
      <c r="X53" s="186"/>
      <c r="Y53" s="20"/>
      <c r="Z53" s="20"/>
      <c r="AA53" s="20"/>
      <c r="AB53" s="20"/>
      <c r="AC53" s="20"/>
      <c r="AD53" s="20"/>
      <c r="AE53" s="20"/>
      <c r="AF53" s="20"/>
      <c r="AG53" s="20"/>
      <c r="AH53" s="280"/>
      <c r="AI53" s="128"/>
    </row>
    <row r="54" spans="1:35">
      <c r="A54" s="9" t="s">
        <v>288</v>
      </c>
      <c r="B54" s="37"/>
      <c r="C54" s="336"/>
      <c r="D54" s="336"/>
      <c r="E54" s="336"/>
      <c r="F54" s="336"/>
      <c r="G54" s="336"/>
      <c r="H54" s="285"/>
      <c r="I54" s="165"/>
      <c r="J54" s="165"/>
      <c r="K54" s="165"/>
      <c r="L54" s="165"/>
      <c r="M54" s="165"/>
      <c r="N54" s="186" t="s">
        <v>0</v>
      </c>
      <c r="O54" s="165"/>
      <c r="P54" s="165"/>
      <c r="Q54" s="165"/>
      <c r="R54" s="165"/>
      <c r="S54" s="165"/>
      <c r="T54" s="165"/>
      <c r="U54" s="165"/>
      <c r="V54" s="165"/>
      <c r="W54" s="165"/>
      <c r="X54" s="186"/>
      <c r="Y54" s="20"/>
      <c r="Z54" s="20"/>
      <c r="AA54" s="20"/>
      <c r="AB54" s="20"/>
      <c r="AC54" s="20"/>
      <c r="AD54" s="20"/>
      <c r="AE54" s="20"/>
      <c r="AF54" s="20"/>
      <c r="AG54" s="20"/>
      <c r="AH54" s="280"/>
      <c r="AI54" s="128"/>
    </row>
    <row r="55" spans="1:35">
      <c r="A55" s="20" t="s">
        <v>128</v>
      </c>
      <c r="B55" s="37"/>
      <c r="C55" s="336"/>
      <c r="D55" s="336"/>
      <c r="E55" s="336"/>
      <c r="F55" s="336"/>
      <c r="G55" s="336"/>
      <c r="H55" s="285"/>
      <c r="I55" s="165"/>
      <c r="J55" s="165"/>
      <c r="K55" s="165"/>
      <c r="L55" s="165"/>
      <c r="M55" s="165"/>
      <c r="N55" s="186"/>
      <c r="O55" s="165"/>
      <c r="P55" s="165"/>
      <c r="Q55" s="165"/>
      <c r="R55" s="165"/>
      <c r="S55" s="165"/>
      <c r="T55" s="165"/>
      <c r="U55" s="165"/>
      <c r="V55" s="165"/>
      <c r="W55" s="165"/>
      <c r="X55" s="186"/>
      <c r="Y55" s="20"/>
      <c r="Z55" s="20"/>
      <c r="AA55" s="20"/>
      <c r="AB55" s="20"/>
      <c r="AC55" s="20"/>
      <c r="AD55" s="20"/>
      <c r="AE55" s="20"/>
      <c r="AF55" s="20"/>
      <c r="AG55" s="20"/>
      <c r="AH55" s="280"/>
      <c r="AI55" s="128"/>
    </row>
    <row r="56" spans="1:35">
      <c r="A56" s="9" t="s">
        <v>51</v>
      </c>
      <c r="B56" s="37"/>
      <c r="C56" s="340">
        <f t="shared" ref="C56:M56" si="39">C31/C$49</f>
        <v>0.20665115055638286</v>
      </c>
      <c r="D56" s="340">
        <f t="shared" si="39"/>
        <v>0.20747980782828818</v>
      </c>
      <c r="E56" s="340">
        <f t="shared" si="39"/>
        <v>0.20830846510019349</v>
      </c>
      <c r="F56" s="340">
        <f t="shared" si="39"/>
        <v>0.2091371223720988</v>
      </c>
      <c r="G56" s="340">
        <f t="shared" si="39"/>
        <v>0.20996577964400412</v>
      </c>
      <c r="H56" s="401">
        <f t="shared" si="39"/>
        <v>0.19707331401497816</v>
      </c>
      <c r="I56" s="174">
        <f t="shared" si="39"/>
        <v>0.20018882510370536</v>
      </c>
      <c r="J56" s="174">
        <f t="shared" si="39"/>
        <v>0.20330433619243257</v>
      </c>
      <c r="K56" s="174">
        <f t="shared" si="39"/>
        <v>0.20641984728115978</v>
      </c>
      <c r="L56" s="174">
        <f t="shared" si="39"/>
        <v>0.20953535836988699</v>
      </c>
      <c r="M56" s="174">
        <f t="shared" si="39"/>
        <v>0.21265086945861419</v>
      </c>
      <c r="N56" s="179">
        <f>N26</f>
        <v>0.21576638054734146</v>
      </c>
      <c r="O56" s="116">
        <f t="shared" ref="O56:AH56" si="40">O31/O$49</f>
        <v>0.21604312194113293</v>
      </c>
      <c r="P56" s="116">
        <f t="shared" si="40"/>
        <v>0.21631986333492439</v>
      </c>
      <c r="Q56" s="116">
        <f t="shared" si="40"/>
        <v>0.21659660472871586</v>
      </c>
      <c r="R56" s="116">
        <f t="shared" si="40"/>
        <v>0.21687334612250733</v>
      </c>
      <c r="S56" s="116">
        <f t="shared" si="40"/>
        <v>0.2171500875162988</v>
      </c>
      <c r="T56" s="116">
        <f t="shared" si="40"/>
        <v>0.21742682891009027</v>
      </c>
      <c r="U56" s="116">
        <f t="shared" si="40"/>
        <v>0.21770357030388174</v>
      </c>
      <c r="V56" s="116">
        <f t="shared" si="40"/>
        <v>0.21798031169767321</v>
      </c>
      <c r="W56" s="116">
        <f t="shared" si="40"/>
        <v>0.21825705309146468</v>
      </c>
      <c r="X56" s="179">
        <f t="shared" si="40"/>
        <v>0.21853379448525623</v>
      </c>
      <c r="Y56" s="174">
        <f t="shared" si="40"/>
        <v>0.21712863757248446</v>
      </c>
      <c r="Z56" s="174">
        <f t="shared" si="40"/>
        <v>0.2157234806597127</v>
      </c>
      <c r="AA56" s="174">
        <f t="shared" si="40"/>
        <v>0.21431832374694093</v>
      </c>
      <c r="AB56" s="174">
        <f t="shared" si="40"/>
        <v>0.21291316683416917</v>
      </c>
      <c r="AC56" s="174">
        <f t="shared" si="40"/>
        <v>0.2115080099213974</v>
      </c>
      <c r="AD56" s="174">
        <f t="shared" si="40"/>
        <v>0.21010285300862563</v>
      </c>
      <c r="AE56" s="174">
        <f t="shared" si="40"/>
        <v>0.20869769609585387</v>
      </c>
      <c r="AF56" s="174">
        <f t="shared" si="40"/>
        <v>0.2072925391830821</v>
      </c>
      <c r="AG56" s="174">
        <f t="shared" si="40"/>
        <v>0.20588738227031034</v>
      </c>
      <c r="AH56" s="179">
        <f t="shared" si="40"/>
        <v>0.20448222535753863</v>
      </c>
      <c r="AI56" s="128"/>
    </row>
    <row r="57" spans="1:35">
      <c r="A57" s="9" t="s">
        <v>61</v>
      </c>
      <c r="B57" s="37"/>
      <c r="C57" s="340">
        <f t="shared" ref="C57:M57" si="41">C32/C$49</f>
        <v>0.32541101989807752</v>
      </c>
      <c r="D57" s="340">
        <f t="shared" si="41"/>
        <v>0.32184082872435427</v>
      </c>
      <c r="E57" s="340">
        <f t="shared" si="41"/>
        <v>0.31827063755063101</v>
      </c>
      <c r="F57" s="340">
        <f t="shared" si="41"/>
        <v>0.31470044637690775</v>
      </c>
      <c r="G57" s="340">
        <f t="shared" si="41"/>
        <v>0.31113025520318449</v>
      </c>
      <c r="H57" s="401">
        <f t="shared" si="41"/>
        <v>0.29160488526052442</v>
      </c>
      <c r="I57" s="116">
        <f t="shared" si="41"/>
        <v>0.29069389054829065</v>
      </c>
      <c r="J57" s="116">
        <f t="shared" si="41"/>
        <v>0.28978289583605688</v>
      </c>
      <c r="K57" s="116">
        <f t="shared" si="41"/>
        <v>0.2888719011238231</v>
      </c>
      <c r="L57" s="116">
        <f t="shared" si="41"/>
        <v>0.28796090641158933</v>
      </c>
      <c r="M57" s="116">
        <f t="shared" si="41"/>
        <v>0.28704991169935556</v>
      </c>
      <c r="N57" s="179">
        <f>N18</f>
        <v>0.28613891698712168</v>
      </c>
      <c r="O57" s="116">
        <f t="shared" ref="O57:AH57" si="42">O32/O$49</f>
        <v>0.28650591801158215</v>
      </c>
      <c r="P57" s="116">
        <f t="shared" si="42"/>
        <v>0.28687291903604262</v>
      </c>
      <c r="Q57" s="116">
        <f t="shared" si="42"/>
        <v>0.28723992006050308</v>
      </c>
      <c r="R57" s="116">
        <f t="shared" si="42"/>
        <v>0.28760692108496355</v>
      </c>
      <c r="S57" s="116">
        <f t="shared" si="42"/>
        <v>0.28797392210942402</v>
      </c>
      <c r="T57" s="116">
        <f t="shared" si="42"/>
        <v>0.28834092313388449</v>
      </c>
      <c r="U57" s="116">
        <f t="shared" si="42"/>
        <v>0.28870792415834495</v>
      </c>
      <c r="V57" s="116">
        <f t="shared" si="42"/>
        <v>0.28907492518280542</v>
      </c>
      <c r="W57" s="116">
        <f>W32/W$49</f>
        <v>0.28944192620726589</v>
      </c>
      <c r="X57" s="179">
        <f t="shared" si="42"/>
        <v>0.2898089272317263</v>
      </c>
      <c r="Y57" s="174">
        <f t="shared" si="42"/>
        <v>0.28794547623348676</v>
      </c>
      <c r="Z57" s="174">
        <f t="shared" si="42"/>
        <v>0.28608202523524723</v>
      </c>
      <c r="AA57" s="174">
        <f t="shared" si="42"/>
        <v>0.28421857423700769</v>
      </c>
      <c r="AB57" s="174">
        <f t="shared" si="42"/>
        <v>0.28235512323876816</v>
      </c>
      <c r="AC57" s="174">
        <f t="shared" si="42"/>
        <v>0.28049167224052862</v>
      </c>
      <c r="AD57" s="174">
        <f t="shared" si="42"/>
        <v>0.27862822124228909</v>
      </c>
      <c r="AE57" s="174">
        <f t="shared" si="42"/>
        <v>0.27676477024404955</v>
      </c>
      <c r="AF57" s="174">
        <f t="shared" si="42"/>
        <v>0.27490131924581002</v>
      </c>
      <c r="AG57" s="174">
        <f t="shared" si="42"/>
        <v>0.27303786824757048</v>
      </c>
      <c r="AH57" s="179">
        <f t="shared" si="42"/>
        <v>0.27117441724933078</v>
      </c>
      <c r="AI57" s="128"/>
    </row>
    <row r="58" spans="1:35">
      <c r="A58" s="9" t="s">
        <v>127</v>
      </c>
      <c r="B58" s="37"/>
      <c r="C58" s="340">
        <f>C34/C$49</f>
        <v>4.0110453412756019E-3</v>
      </c>
      <c r="D58" s="340">
        <f t="shared" ref="D58:G59" si="43">C58*($N71)</f>
        <v>4.9734757363262116E-3</v>
      </c>
      <c r="E58" s="340">
        <f t="shared" si="43"/>
        <v>6.1668365214637855E-3</v>
      </c>
      <c r="F58" s="340">
        <f t="shared" si="43"/>
        <v>7.6465382960833189E-3</v>
      </c>
      <c r="G58" s="340">
        <f t="shared" si="43"/>
        <v>9.4812871575181978E-3</v>
      </c>
      <c r="H58" s="401">
        <f>H34/H$49</f>
        <v>4.8859562117840351E-3</v>
      </c>
      <c r="I58" s="116">
        <f t="shared" ref="I58:N59" si="44">H58*($N71)</f>
        <v>6.0583171219730546E-3</v>
      </c>
      <c r="J58" s="116">
        <f t="shared" si="44"/>
        <v>7.5119802060179004E-3</v>
      </c>
      <c r="K58" s="116">
        <f t="shared" si="44"/>
        <v>9.3144425224849954E-3</v>
      </c>
      <c r="L58" s="116">
        <f t="shared" si="44"/>
        <v>1.154939671368856E-2</v>
      </c>
      <c r="M58" s="116">
        <f t="shared" si="44"/>
        <v>1.4320617055520079E-2</v>
      </c>
      <c r="N58" s="179">
        <f t="shared" si="44"/>
        <v>1.7756777945620993E-2</v>
      </c>
      <c r="O58" s="116">
        <f t="shared" ref="O58:W58" si="45">N58*$X71</f>
        <v>1.8491548871140871E-2</v>
      </c>
      <c r="P58" s="116">
        <f t="shared" si="45"/>
        <v>1.9256724429451831E-2</v>
      </c>
      <c r="Q58" s="116">
        <f t="shared" si="45"/>
        <v>2.0053562756474946E-2</v>
      </c>
      <c r="R58" s="116">
        <f t="shared" si="45"/>
        <v>2.0883374049473619E-2</v>
      </c>
      <c r="S58" s="116">
        <f t="shared" si="45"/>
        <v>2.1747522721338588E-2</v>
      </c>
      <c r="T58" s="116">
        <f t="shared" si="45"/>
        <v>2.2647429644016712E-2</v>
      </c>
      <c r="U58" s="116">
        <f t="shared" si="45"/>
        <v>2.3584574484772254E-2</v>
      </c>
      <c r="V58" s="116">
        <f t="shared" si="45"/>
        <v>2.4560498139122068E-2</v>
      </c>
      <c r="W58" s="116">
        <f t="shared" si="45"/>
        <v>2.5576805264445016E-2</v>
      </c>
      <c r="X58" s="179">
        <f t="shared" ref="X58:X66" si="46">X34/X$49</f>
        <v>2.6635166918431492E-2</v>
      </c>
      <c r="Y58" s="174">
        <f>X58*$AH71</f>
        <v>2.7412541138890731E-2</v>
      </c>
      <c r="Z58" s="174">
        <f t="shared" ref="Z58:AG58" si="47">Y58*$AH71</f>
        <v>2.8212603810317267E-2</v>
      </c>
      <c r="AA58" s="174">
        <f t="shared" si="47"/>
        <v>2.9036017118044429E-2</v>
      </c>
      <c r="AB58" s="174">
        <f t="shared" si="47"/>
        <v>2.9883462573952618E-2</v>
      </c>
      <c r="AC58" s="174">
        <f t="shared" si="47"/>
        <v>3.0755641580534086E-2</v>
      </c>
      <c r="AD58" s="174">
        <f t="shared" si="47"/>
        <v>3.1653276011420518E-2</v>
      </c>
      <c r="AE58" s="174">
        <f t="shared" si="47"/>
        <v>3.257710880885388E-2</v>
      </c>
      <c r="AF58" s="174">
        <f t="shared" si="47"/>
        <v>3.3527904598595074E-2</v>
      </c>
      <c r="AG58" s="174">
        <f t="shared" si="47"/>
        <v>3.4506450322779311E-2</v>
      </c>
      <c r="AH58" s="179">
        <f t="shared" ref="AH58:AH66" si="48">AH34/AH$49</f>
        <v>3.5513555891241992E-2</v>
      </c>
      <c r="AI58" s="128"/>
    </row>
    <row r="59" spans="1:35">
      <c r="A59" s="9" t="s">
        <v>52</v>
      </c>
      <c r="B59" s="37"/>
      <c r="C59" s="340">
        <f t="shared" ref="C59:C65" si="49">C35/C$49</f>
        <v>7.4832935471559743E-7</v>
      </c>
      <c r="D59" s="340">
        <f t="shared" si="43"/>
        <v>8.2906792284814587E-7</v>
      </c>
      <c r="E59" s="340">
        <f t="shared" si="43"/>
        <v>9.1851751687192321E-7</v>
      </c>
      <c r="F59" s="340">
        <f t="shared" si="43"/>
        <v>1.0176179846667318E-6</v>
      </c>
      <c r="G59" s="340">
        <f t="shared" si="43"/>
        <v>1.1274105759504812E-6</v>
      </c>
      <c r="H59" s="401">
        <f>H35/H$49</f>
        <v>7.1720352877045829E-7</v>
      </c>
      <c r="I59" s="116">
        <f t="shared" si="44"/>
        <v>7.9458387688542031E-7</v>
      </c>
      <c r="J59" s="116">
        <f t="shared" si="44"/>
        <v>8.8031292663694257E-7</v>
      </c>
      <c r="K59" s="116">
        <f t="shared" si="44"/>
        <v>9.7529143410475665E-7</v>
      </c>
      <c r="L59" s="116">
        <f t="shared" si="44"/>
        <v>1.0805173395237473E-6</v>
      </c>
      <c r="M59" s="116">
        <f t="shared" si="44"/>
        <v>1.1970962526531053E-6</v>
      </c>
      <c r="N59" s="179">
        <f t="shared" si="44"/>
        <v>1.3262530694303701E-6</v>
      </c>
      <c r="O59" s="116">
        <f t="shared" ref="O59:V59" si="50">N59*$X72</f>
        <v>1.3811330819125476E-6</v>
      </c>
      <c r="P59" s="116">
        <f t="shared" si="50"/>
        <v>1.4382840152615379E-6</v>
      </c>
      <c r="Q59" s="116">
        <f t="shared" si="50"/>
        <v>1.4977998396014368E-6</v>
      </c>
      <c r="R59" s="116">
        <f t="shared" si="50"/>
        <v>1.559778413516018E-6</v>
      </c>
      <c r="S59" s="116">
        <f t="shared" si="50"/>
        <v>1.6243216449521993E-6</v>
      </c>
      <c r="T59" s="116">
        <f t="shared" si="50"/>
        <v>1.6915356587816526E-6</v>
      </c>
      <c r="U59" s="116">
        <f t="shared" si="50"/>
        <v>1.761530971296071E-6</v>
      </c>
      <c r="V59" s="116">
        <f t="shared" si="50"/>
        <v>1.834422671923005E-6</v>
      </c>
      <c r="W59" s="116">
        <f>V59*$X72</f>
        <v>1.9103306124610526E-6</v>
      </c>
      <c r="X59" s="179">
        <f t="shared" si="46"/>
        <v>1.9893796041455542E-6</v>
      </c>
      <c r="Y59" s="174">
        <f>X59*$AH72</f>
        <v>2.0474416551064582E-6</v>
      </c>
      <c r="Z59" s="174">
        <f t="shared" ref="Z59:AG59" si="51">Y59*$AH72</f>
        <v>2.1071983056072197E-6</v>
      </c>
      <c r="AA59" s="174">
        <f t="shared" si="51"/>
        <v>2.1686990142452005E-6</v>
      </c>
      <c r="AB59" s="174">
        <f t="shared" si="51"/>
        <v>2.2319946831168286E-6</v>
      </c>
      <c r="AC59" s="174">
        <f t="shared" si="51"/>
        <v>2.2971376999475745E-6</v>
      </c>
      <c r="AD59" s="174">
        <f t="shared" si="51"/>
        <v>2.3641819814515341E-6</v>
      </c>
      <c r="AE59" s="174">
        <f t="shared" si="51"/>
        <v>2.4331830179565043E-6</v>
      </c>
      <c r="AF59" s="174">
        <f t="shared" si="51"/>
        <v>2.5041979193314862E-6</v>
      </c>
      <c r="AG59" s="174">
        <f t="shared" si="51"/>
        <v>2.5772854622546298E-6</v>
      </c>
      <c r="AH59" s="179">
        <f t="shared" si="48"/>
        <v>2.6525061388607393E-6</v>
      </c>
      <c r="AI59" s="128"/>
    </row>
    <row r="60" spans="1:35">
      <c r="A60" s="9" t="s">
        <v>125</v>
      </c>
      <c r="B60" s="37"/>
      <c r="C60" s="340">
        <f t="shared" si="49"/>
        <v>0</v>
      </c>
      <c r="D60" s="340">
        <v>0</v>
      </c>
      <c r="E60" s="340">
        <v>0</v>
      </c>
      <c r="F60" s="340">
        <v>0</v>
      </c>
      <c r="G60" s="340">
        <v>0</v>
      </c>
      <c r="H60" s="401">
        <f t="shared" ref="H60:H66" si="52">H36/H$49</f>
        <v>0</v>
      </c>
      <c r="I60" s="174">
        <v>0</v>
      </c>
      <c r="J60" s="174">
        <v>0</v>
      </c>
      <c r="K60" s="174">
        <v>0</v>
      </c>
      <c r="L60" s="174">
        <v>0</v>
      </c>
      <c r="M60" s="174">
        <v>0</v>
      </c>
      <c r="N60" s="179">
        <v>0</v>
      </c>
      <c r="O60" s="116">
        <f t="shared" ref="O60:W60" si="53">O36/O$49</f>
        <v>0</v>
      </c>
      <c r="P60" s="116">
        <f t="shared" si="53"/>
        <v>0</v>
      </c>
      <c r="Q60" s="116">
        <f t="shared" si="53"/>
        <v>0</v>
      </c>
      <c r="R60" s="116">
        <f t="shared" si="53"/>
        <v>0</v>
      </c>
      <c r="S60" s="116">
        <f t="shared" si="53"/>
        <v>0</v>
      </c>
      <c r="T60" s="116">
        <f t="shared" si="53"/>
        <v>0</v>
      </c>
      <c r="U60" s="116">
        <f t="shared" si="53"/>
        <v>0</v>
      </c>
      <c r="V60" s="116">
        <f t="shared" si="53"/>
        <v>0</v>
      </c>
      <c r="W60" s="116">
        <f t="shared" si="53"/>
        <v>0</v>
      </c>
      <c r="X60" s="179">
        <f t="shared" si="46"/>
        <v>0</v>
      </c>
      <c r="Y60" s="174">
        <f t="shared" ref="Y60:AG66" si="54">X60*$AH73</f>
        <v>0</v>
      </c>
      <c r="Z60" s="174">
        <f t="shared" si="54"/>
        <v>0</v>
      </c>
      <c r="AA60" s="174">
        <f t="shared" si="54"/>
        <v>0</v>
      </c>
      <c r="AB60" s="174">
        <f t="shared" si="54"/>
        <v>0</v>
      </c>
      <c r="AC60" s="174">
        <f t="shared" si="54"/>
        <v>0</v>
      </c>
      <c r="AD60" s="174">
        <f t="shared" si="54"/>
        <v>0</v>
      </c>
      <c r="AE60" s="174">
        <f t="shared" si="54"/>
        <v>0</v>
      </c>
      <c r="AF60" s="174">
        <f t="shared" si="54"/>
        <v>0</v>
      </c>
      <c r="AG60" s="174">
        <f t="shared" si="54"/>
        <v>0</v>
      </c>
      <c r="AH60" s="179">
        <f t="shared" si="48"/>
        <v>0</v>
      </c>
      <c r="AI60" s="128"/>
    </row>
    <row r="61" spans="1:35">
      <c r="A61" s="9" t="s">
        <v>53</v>
      </c>
      <c r="B61" s="37"/>
      <c r="C61" s="340">
        <f t="shared" si="49"/>
        <v>1.2459683756014698E-2</v>
      </c>
      <c r="D61" s="340">
        <f t="shared" ref="D61:M61" si="55">C61*($N74)</f>
        <v>1.3799158974664267E-2</v>
      </c>
      <c r="E61" s="340">
        <f t="shared" si="55"/>
        <v>1.5282634145199469E-2</v>
      </c>
      <c r="F61" s="340">
        <f t="shared" si="55"/>
        <v>1.6925589946810447E-2</v>
      </c>
      <c r="G61" s="340">
        <f t="shared" si="55"/>
        <v>1.8745171305272507E-2</v>
      </c>
      <c r="H61" s="401">
        <f t="shared" si="52"/>
        <v>1.2843523008445035E-2</v>
      </c>
      <c r="I61" s="116">
        <f t="shared" si="55"/>
        <v>1.4224262770934028E-2</v>
      </c>
      <c r="J61" s="116">
        <f t="shared" si="55"/>
        <v>1.5753438619881901E-2</v>
      </c>
      <c r="K61" s="116">
        <f t="shared" si="55"/>
        <v>1.7447008140028235E-2</v>
      </c>
      <c r="L61" s="116">
        <f t="shared" si="55"/>
        <v>1.9322644432310833E-2</v>
      </c>
      <c r="M61" s="116">
        <f t="shared" si="55"/>
        <v>2.1399920540010053E-2</v>
      </c>
      <c r="N61" s="179">
        <f>M61*($N74)</f>
        <v>2.3700513701580144E-2</v>
      </c>
      <c r="O61" s="116">
        <f t="shared" ref="O61:W61" si="56">N61*$X74</f>
        <v>2.4681234891040151E-2</v>
      </c>
      <c r="P61" s="116">
        <f t="shared" si="56"/>
        <v>2.5702538072247944E-2</v>
      </c>
      <c r="Q61" s="116">
        <f t="shared" si="56"/>
        <v>2.6766102517632753E-2</v>
      </c>
      <c r="R61" s="116">
        <f t="shared" si="56"/>
        <v>2.7873676987487012E-2</v>
      </c>
      <c r="S61" s="116">
        <f t="shared" si="56"/>
        <v>2.9027082605356372E-2</v>
      </c>
      <c r="T61" s="116">
        <f t="shared" si="56"/>
        <v>3.0228215852412574E-2</v>
      </c>
      <c r="U61" s="116">
        <f t="shared" si="56"/>
        <v>3.1479051685732735E-2</v>
      </c>
      <c r="V61" s="116">
        <f t="shared" si="56"/>
        <v>3.2781646785612219E-2</v>
      </c>
      <c r="W61" s="116">
        <f t="shared" si="56"/>
        <v>3.4138142937250482E-2</v>
      </c>
      <c r="X61" s="179">
        <f t="shared" si="46"/>
        <v>3.5550770552370208E-2</v>
      </c>
      <c r="Y61" s="174">
        <f t="shared" si="54"/>
        <v>3.6588355660415836E-2</v>
      </c>
      <c r="Z61" s="174">
        <f t="shared" si="54"/>
        <v>3.7656223736726585E-2</v>
      </c>
      <c r="AA61" s="174">
        <f t="shared" si="54"/>
        <v>3.8755258620285719E-2</v>
      </c>
      <c r="AB61" s="174">
        <f t="shared" si="54"/>
        <v>3.9886369945808998E-2</v>
      </c>
      <c r="AC61" s="174">
        <f t="shared" si="54"/>
        <v>4.105049389661914E-2</v>
      </c>
      <c r="AD61" s="174">
        <f t="shared" si="54"/>
        <v>4.2248593979493716E-2</v>
      </c>
      <c r="AE61" s="174">
        <f t="shared" si="54"/>
        <v>4.3481661822127753E-2</v>
      </c>
      <c r="AF61" s="174">
        <f t="shared" si="54"/>
        <v>4.4750717993871064E-2</v>
      </c>
      <c r="AG61" s="174">
        <f t="shared" si="54"/>
        <v>4.6056812850419661E-2</v>
      </c>
      <c r="AH61" s="179">
        <f t="shared" si="48"/>
        <v>4.7401027403160281E-2</v>
      </c>
      <c r="AI61" s="128"/>
    </row>
    <row r="62" spans="1:35">
      <c r="A62" s="9" t="s">
        <v>353</v>
      </c>
      <c r="B62" s="37"/>
      <c r="C62" s="343">
        <f t="shared" si="49"/>
        <v>0</v>
      </c>
      <c r="D62" s="343">
        <f t="shared" ref="D62:N62" si="57">C62*($N75)</f>
        <v>0</v>
      </c>
      <c r="E62" s="343">
        <f t="shared" si="57"/>
        <v>0</v>
      </c>
      <c r="F62" s="343">
        <f t="shared" si="57"/>
        <v>0</v>
      </c>
      <c r="G62" s="343">
        <f t="shared" si="57"/>
        <v>0</v>
      </c>
      <c r="H62" s="401">
        <f t="shared" si="52"/>
        <v>2.6930418742507696E-3</v>
      </c>
      <c r="I62" s="116">
        <f t="shared" si="57"/>
        <v>3.1464538959181257E-3</v>
      </c>
      <c r="J62" s="116">
        <f t="shared" si="57"/>
        <v>3.6762043003481615E-3</v>
      </c>
      <c r="K62" s="116">
        <f t="shared" si="57"/>
        <v>4.2951457434131039E-3</v>
      </c>
      <c r="L62" s="116">
        <f t="shared" si="57"/>
        <v>5.0182948089725395E-3</v>
      </c>
      <c r="M62" s="116">
        <f t="shared" si="57"/>
        <v>5.863196337023255E-3</v>
      </c>
      <c r="N62" s="179">
        <f t="shared" si="57"/>
        <v>6.850349091691044E-3</v>
      </c>
      <c r="O62" s="116">
        <f t="shared" ref="O62:W62" si="58">N62*$X75</f>
        <v>7.1338147833638621E-3</v>
      </c>
      <c r="P62" s="116">
        <f t="shared" si="58"/>
        <v>7.4290102127887326E-3</v>
      </c>
      <c r="Q62" s="116">
        <f t="shared" si="58"/>
        <v>7.7364207535109341E-3</v>
      </c>
      <c r="R62" s="116">
        <f t="shared" si="58"/>
        <v>8.0565518637087889E-3</v>
      </c>
      <c r="S62" s="116">
        <f t="shared" si="58"/>
        <v>8.3899299172906366E-3</v>
      </c>
      <c r="T62" s="116">
        <f t="shared" si="58"/>
        <v>8.73710306938239E-3</v>
      </c>
      <c r="U62" s="116">
        <f t="shared" si="58"/>
        <v>9.0986421576287387E-3</v>
      </c>
      <c r="V62" s="116">
        <f t="shared" si="58"/>
        <v>9.4751416407899709E-3</v>
      </c>
      <c r="W62" s="116">
        <f t="shared" si="58"/>
        <v>9.8672205761776901E-3</v>
      </c>
      <c r="X62" s="179">
        <f t="shared" si="46"/>
        <v>1.0275523637536576E-2</v>
      </c>
      <c r="Y62" s="174">
        <f t="shared" si="54"/>
        <v>1.0575425162539329E-2</v>
      </c>
      <c r="Z62" s="174">
        <f t="shared" si="54"/>
        <v>1.0884079616139356E-2</v>
      </c>
      <c r="AA62" s="174">
        <f t="shared" si="54"/>
        <v>1.1201742461389169E-2</v>
      </c>
      <c r="AB62" s="174">
        <f t="shared" si="54"/>
        <v>1.1528676617288213E-2</v>
      </c>
      <c r="AC62" s="174">
        <f t="shared" si="54"/>
        <v>1.1865152676392213E-2</v>
      </c>
      <c r="AD62" s="174">
        <f t="shared" si="54"/>
        <v>1.2211449128773651E-2</v>
      </c>
      <c r="AE62" s="174">
        <f t="shared" si="54"/>
        <v>1.2567852592518757E-2</v>
      </c>
      <c r="AF62" s="174">
        <f t="shared" si="54"/>
        <v>1.29346580509518E-2</v>
      </c>
      <c r="AG62" s="174">
        <f t="shared" si="54"/>
        <v>1.3312169096782994E-2</v>
      </c>
      <c r="AH62" s="179">
        <f t="shared" si="48"/>
        <v>1.3700698183382102E-2</v>
      </c>
      <c r="AI62" s="128"/>
    </row>
    <row r="63" spans="1:35">
      <c r="A63" s="9" t="s">
        <v>354</v>
      </c>
      <c r="B63" s="37"/>
      <c r="C63" s="343">
        <f t="shared" si="49"/>
        <v>0</v>
      </c>
      <c r="D63" s="343">
        <f t="shared" ref="D63:N63" si="59">C63*($N76)</f>
        <v>0</v>
      </c>
      <c r="E63" s="343">
        <f t="shared" si="59"/>
        <v>0</v>
      </c>
      <c r="F63" s="343">
        <f t="shared" si="59"/>
        <v>0</v>
      </c>
      <c r="G63" s="343">
        <f t="shared" si="59"/>
        <v>0</v>
      </c>
      <c r="H63" s="401">
        <f t="shared" si="52"/>
        <v>7.1720352877045822E-6</v>
      </c>
      <c r="I63" s="116">
        <f t="shared" si="59"/>
        <v>7.9458387688542016E-6</v>
      </c>
      <c r="J63" s="116">
        <f t="shared" si="59"/>
        <v>8.8031292663694238E-6</v>
      </c>
      <c r="K63" s="116">
        <f t="shared" si="59"/>
        <v>9.7529143410475648E-6</v>
      </c>
      <c r="L63" s="116">
        <f t="shared" si="59"/>
        <v>1.0805173395237471E-5</v>
      </c>
      <c r="M63" s="116">
        <f t="shared" si="59"/>
        <v>1.1970962526531049E-5</v>
      </c>
      <c r="N63" s="179">
        <f t="shared" si="59"/>
        <v>1.3262530694303695E-5</v>
      </c>
      <c r="O63" s="116">
        <f t="shared" ref="O63:W63" si="60">N63*$X76</f>
        <v>1.381133081912547E-5</v>
      </c>
      <c r="P63" s="116">
        <f t="shared" si="60"/>
        <v>1.4382840152615373E-5</v>
      </c>
      <c r="Q63" s="116">
        <f t="shared" si="60"/>
        <v>1.4977998396014362E-5</v>
      </c>
      <c r="R63" s="116">
        <f t="shared" si="60"/>
        <v>1.5597784135160171E-5</v>
      </c>
      <c r="S63" s="116">
        <f t="shared" si="60"/>
        <v>1.6243216449521982E-5</v>
      </c>
      <c r="T63" s="116">
        <f t="shared" si="60"/>
        <v>1.6915356587816515E-5</v>
      </c>
      <c r="U63" s="116">
        <f t="shared" si="60"/>
        <v>1.7615309712960698E-5</v>
      </c>
      <c r="V63" s="116">
        <f t="shared" si="60"/>
        <v>1.8344226719230035E-5</v>
      </c>
      <c r="W63" s="116">
        <f t="shared" si="60"/>
        <v>1.9103306124610514E-5</v>
      </c>
      <c r="X63" s="179">
        <f t="shared" si="46"/>
        <v>1.9893796041455542E-5</v>
      </c>
      <c r="Y63" s="174">
        <f t="shared" si="54"/>
        <v>2.0474416551064584E-5</v>
      </c>
      <c r="Z63" s="174">
        <f t="shared" si="54"/>
        <v>2.10719830560722E-5</v>
      </c>
      <c r="AA63" s="174">
        <f t="shared" si="54"/>
        <v>2.1686990142452009E-5</v>
      </c>
      <c r="AB63" s="174">
        <f t="shared" si="54"/>
        <v>2.231994683116829E-5</v>
      </c>
      <c r="AC63" s="174">
        <f t="shared" si="54"/>
        <v>2.297137699947575E-5</v>
      </c>
      <c r="AD63" s="174">
        <f t="shared" si="54"/>
        <v>2.3641819814515345E-5</v>
      </c>
      <c r="AE63" s="174">
        <f t="shared" si="54"/>
        <v>2.4331830179565047E-5</v>
      </c>
      <c r="AF63" s="174">
        <f t="shared" si="54"/>
        <v>2.5041979193314868E-5</v>
      </c>
      <c r="AG63" s="174">
        <f t="shared" si="54"/>
        <v>2.5772854622546305E-5</v>
      </c>
      <c r="AH63" s="179">
        <f t="shared" si="48"/>
        <v>2.6525061388607391E-5</v>
      </c>
      <c r="AI63" s="128"/>
    </row>
    <row r="64" spans="1:35">
      <c r="A64" s="9" t="s">
        <v>350</v>
      </c>
      <c r="B64" s="37"/>
      <c r="C64" s="340">
        <f t="shared" si="49"/>
        <v>7.4832935471559748E-10</v>
      </c>
      <c r="D64" s="340">
        <f t="shared" ref="D64:N64" si="61">C64*($N77)</f>
        <v>8.2906792284814596E-10</v>
      </c>
      <c r="E64" s="340">
        <f t="shared" si="61"/>
        <v>9.1851751687192331E-10</v>
      </c>
      <c r="F64" s="340">
        <f t="shared" si="61"/>
        <v>1.0176179846667319E-9</v>
      </c>
      <c r="G64" s="340">
        <f t="shared" si="61"/>
        <v>1.1274105759504813E-9</v>
      </c>
      <c r="H64" s="401">
        <f t="shared" si="52"/>
        <v>7.1720352877045824E-10</v>
      </c>
      <c r="I64" s="116">
        <f t="shared" si="61"/>
        <v>7.9458387688542023E-10</v>
      </c>
      <c r="J64" s="116">
        <f t="shared" si="61"/>
        <v>8.8031292663694249E-10</v>
      </c>
      <c r="K64" s="116">
        <f t="shared" si="61"/>
        <v>9.7529143410475662E-10</v>
      </c>
      <c r="L64" s="116">
        <f t="shared" si="61"/>
        <v>1.0805173395237473E-9</v>
      </c>
      <c r="M64" s="116">
        <f t="shared" si="61"/>
        <v>1.1970962526531051E-9</v>
      </c>
      <c r="N64" s="179">
        <f t="shared" si="61"/>
        <v>1.3262530694303698E-9</v>
      </c>
      <c r="O64" s="116">
        <f t="shared" ref="O64:W64" si="62">N64*$X77</f>
        <v>1.3811330819125473E-9</v>
      </c>
      <c r="P64" s="116">
        <f t="shared" si="62"/>
        <v>1.4382840152615377E-9</v>
      </c>
      <c r="Q64" s="116">
        <f t="shared" si="62"/>
        <v>1.4977998396014365E-9</v>
      </c>
      <c r="R64" s="116">
        <f t="shared" si="62"/>
        <v>1.5597784135160178E-9</v>
      </c>
      <c r="S64" s="116">
        <f t="shared" si="62"/>
        <v>1.6243216449521989E-9</v>
      </c>
      <c r="T64" s="116">
        <f t="shared" si="62"/>
        <v>1.6915356587816521E-9</v>
      </c>
      <c r="U64" s="116">
        <f t="shared" si="62"/>
        <v>1.7615309712960706E-9</v>
      </c>
      <c r="V64" s="116">
        <f t="shared" si="62"/>
        <v>1.8344226719230045E-9</v>
      </c>
      <c r="W64" s="116">
        <f t="shared" si="62"/>
        <v>1.9103306124610521E-9</v>
      </c>
      <c r="X64" s="179">
        <f t="shared" si="46"/>
        <v>1.9893796041455545E-9</v>
      </c>
      <c r="Y64" s="174">
        <f t="shared" si="54"/>
        <v>2.0474416551064587E-9</v>
      </c>
      <c r="Z64" s="174">
        <f t="shared" si="54"/>
        <v>2.1071983056072202E-9</v>
      </c>
      <c r="AA64" s="174">
        <f t="shared" si="54"/>
        <v>2.168699014245201E-9</v>
      </c>
      <c r="AB64" s="174">
        <f t="shared" si="54"/>
        <v>2.231994683116829E-9</v>
      </c>
      <c r="AC64" s="174">
        <f t="shared" si="54"/>
        <v>2.2971376999475748E-9</v>
      </c>
      <c r="AD64" s="174">
        <f t="shared" si="54"/>
        <v>2.3641819814515342E-9</v>
      </c>
      <c r="AE64" s="174">
        <f t="shared" si="54"/>
        <v>2.4331830179565044E-9</v>
      </c>
      <c r="AF64" s="174">
        <f t="shared" si="54"/>
        <v>2.5041979193314862E-9</v>
      </c>
      <c r="AG64" s="174">
        <f t="shared" si="54"/>
        <v>2.57728546225463E-9</v>
      </c>
      <c r="AH64" s="179">
        <f t="shared" si="48"/>
        <v>2.6525061388607396E-9</v>
      </c>
      <c r="AI64" s="128"/>
    </row>
    <row r="65" spans="1:35">
      <c r="A65" s="9" t="s">
        <v>126</v>
      </c>
      <c r="B65" s="37"/>
      <c r="C65" s="340">
        <f t="shared" si="49"/>
        <v>0</v>
      </c>
      <c r="D65" s="340">
        <v>0</v>
      </c>
      <c r="E65" s="340">
        <v>0</v>
      </c>
      <c r="F65" s="340">
        <v>0</v>
      </c>
      <c r="G65" s="340">
        <v>0</v>
      </c>
      <c r="H65" s="401">
        <f t="shared" si="52"/>
        <v>7.1720352877045822E-6</v>
      </c>
      <c r="I65" s="174">
        <v>0</v>
      </c>
      <c r="J65" s="174">
        <v>0</v>
      </c>
      <c r="K65" s="174">
        <v>0</v>
      </c>
      <c r="L65" s="174">
        <v>0</v>
      </c>
      <c r="M65" s="174">
        <v>0</v>
      </c>
      <c r="N65" s="179">
        <v>0</v>
      </c>
      <c r="O65" s="116">
        <f t="shared" ref="O65:AG65" si="63">O41/O$49</f>
        <v>5.9798014118415779E-5</v>
      </c>
      <c r="P65" s="116">
        <f t="shared" si="63"/>
        <v>6.7719063552196701E-5</v>
      </c>
      <c r="Q65" s="116">
        <f t="shared" si="63"/>
        <v>7.5043262816229872E-5</v>
      </c>
      <c r="R65" s="116">
        <f t="shared" si="63"/>
        <v>8.1702884193514912E-5</v>
      </c>
      <c r="S65" s="116">
        <f t="shared" si="63"/>
        <v>8.9028758344025639E-5</v>
      </c>
      <c r="T65" s="116">
        <f t="shared" si="63"/>
        <v>9.6892176001507334E-5</v>
      </c>
      <c r="U65" s="116">
        <f t="shared" si="63"/>
        <v>1.0623669660452189E-4</v>
      </c>
      <c r="V65" s="116">
        <f t="shared" si="63"/>
        <v>1.126340113835741E-4</v>
      </c>
      <c r="W65" s="116">
        <f t="shared" si="63"/>
        <v>1.214616669673982E-4</v>
      </c>
      <c r="X65" s="179">
        <f t="shared" si="46"/>
        <v>1.2802170187742922E-4</v>
      </c>
      <c r="Y65" s="174">
        <f t="shared" si="63"/>
        <v>1.3584887000381629E-4</v>
      </c>
      <c r="Z65" s="174">
        <f t="shared" si="63"/>
        <v>1.4048544434747497E-4</v>
      </c>
      <c r="AA65" s="174">
        <f t="shared" si="63"/>
        <v>1.4604290612064066E-4</v>
      </c>
      <c r="AB65" s="174">
        <f t="shared" si="63"/>
        <v>1.531242364523751E-4</v>
      </c>
      <c r="AC65" s="174">
        <f t="shared" si="63"/>
        <v>1.5802254948740104E-4</v>
      </c>
      <c r="AD65" s="174">
        <f t="shared" si="63"/>
        <v>1.6489961553081076E-4</v>
      </c>
      <c r="AE65" s="174">
        <f t="shared" si="63"/>
        <v>1.7087915101769642E-4</v>
      </c>
      <c r="AF65" s="174">
        <f t="shared" si="63"/>
        <v>1.781913819919162E-4</v>
      </c>
      <c r="AG65" s="174">
        <f t="shared" si="63"/>
        <v>1.8402826866728607E-4</v>
      </c>
      <c r="AH65" s="179">
        <f t="shared" si="48"/>
        <v>1.9025470045024549E-4</v>
      </c>
      <c r="AI65" s="128"/>
    </row>
    <row r="66" spans="1:35">
      <c r="A66" s="9" t="s">
        <v>55</v>
      </c>
      <c r="B66" s="37"/>
      <c r="C66" s="340">
        <f>C42/C$49</f>
        <v>4.0110453412756019E-3</v>
      </c>
      <c r="D66" s="340">
        <f t="shared" ref="D66:N66" si="64">C66*($N79)</f>
        <v>4.4754607608450524E-3</v>
      </c>
      <c r="E66" s="340">
        <f t="shared" si="64"/>
        <v>4.9936481185460426E-3</v>
      </c>
      <c r="F66" s="340">
        <f t="shared" si="64"/>
        <v>5.571833351779837E-3</v>
      </c>
      <c r="G66" s="340">
        <f t="shared" si="64"/>
        <v>6.2169632627309219E-3</v>
      </c>
      <c r="H66" s="401">
        <f t="shared" si="52"/>
        <v>2.6780745538088582E-2</v>
      </c>
      <c r="I66" s="116">
        <f t="shared" si="64"/>
        <v>2.9881531023474978E-2</v>
      </c>
      <c r="J66" s="116">
        <f t="shared" si="64"/>
        <v>3.3341338277419245E-2</v>
      </c>
      <c r="K66" s="116">
        <f t="shared" si="64"/>
        <v>3.7201736325223493E-2</v>
      </c>
      <c r="L66" s="116">
        <f t="shared" si="64"/>
        <v>4.1509107225871616E-2</v>
      </c>
      <c r="M66" s="116">
        <f t="shared" si="64"/>
        <v>4.6315203344976026E-2</v>
      </c>
      <c r="N66" s="179">
        <f t="shared" si="64"/>
        <v>5.1677769151091041E-2</v>
      </c>
      <c r="O66" s="116">
        <f t="shared" ref="O66:W66" si="65">N66*$X79</f>
        <v>5.3816182008662082E-2</v>
      </c>
      <c r="P66" s="116">
        <f t="shared" si="65"/>
        <v>5.6043081842829495E-2</v>
      </c>
      <c r="Q66" s="116">
        <f t="shared" si="65"/>
        <v>5.8362130222031496E-2</v>
      </c>
      <c r="R66" s="116">
        <f t="shared" si="65"/>
        <v>6.0777140229470887E-2</v>
      </c>
      <c r="S66" s="116">
        <f t="shared" si="65"/>
        <v>6.3292082732757229E-2</v>
      </c>
      <c r="T66" s="116">
        <f t="shared" si="65"/>
        <v>6.5911092912985192E-2</v>
      </c>
      <c r="U66" s="116">
        <f t="shared" si="65"/>
        <v>6.8638477063984515E-2</v>
      </c>
      <c r="V66" s="116">
        <f t="shared" si="65"/>
        <v>7.1478719672921145E-2</v>
      </c>
      <c r="W66" s="116">
        <f t="shared" si="65"/>
        <v>7.4436490793891905E-2</v>
      </c>
      <c r="X66" s="179">
        <f t="shared" si="46"/>
        <v>7.751665372663652E-2</v>
      </c>
      <c r="Y66" s="174">
        <f t="shared" si="54"/>
        <v>7.9779055477220376E-2</v>
      </c>
      <c r="Z66" s="174">
        <f t="shared" si="54"/>
        <v>8.2107487705578672E-2</v>
      </c>
      <c r="AA66" s="174">
        <f t="shared" si="54"/>
        <v>8.4503877577827666E-2</v>
      </c>
      <c r="AB66" s="174">
        <f t="shared" si="54"/>
        <v>8.6970208506371174E-2</v>
      </c>
      <c r="AC66" s="174">
        <f t="shared" si="54"/>
        <v>8.950852179150523E-2</v>
      </c>
      <c r="AD66" s="174">
        <f t="shared" si="54"/>
        <v>9.212091831093458E-2</v>
      </c>
      <c r="AE66" s="174">
        <f t="shared" si="54"/>
        <v>9.4809560258599504E-2</v>
      </c>
      <c r="AF66" s="174">
        <f t="shared" si="54"/>
        <v>9.7576672934251998E-2</v>
      </c>
      <c r="AG66" s="174">
        <f t="shared" si="54"/>
        <v>0.10042454658526259</v>
      </c>
      <c r="AH66" s="179">
        <f t="shared" si="48"/>
        <v>0.10335553830218203</v>
      </c>
      <c r="AI66" s="128"/>
    </row>
    <row r="67" spans="1:35" s="1" customFormat="1">
      <c r="A67" s="11" t="s">
        <v>547</v>
      </c>
      <c r="B67" s="36"/>
      <c r="C67" s="344">
        <f t="shared" ref="C67:AG67" si="66">SUM(C58:C66)</f>
        <v>2.0482523516249972E-2</v>
      </c>
      <c r="D67" s="344">
        <f t="shared" si="66"/>
        <v>2.32489253688263E-2</v>
      </c>
      <c r="E67" s="344">
        <f t="shared" si="66"/>
        <v>2.6444038221243686E-2</v>
      </c>
      <c r="F67" s="344">
        <f t="shared" si="66"/>
        <v>3.0144980230276251E-2</v>
      </c>
      <c r="G67" s="344">
        <f t="shared" si="66"/>
        <v>3.444455026350815E-2</v>
      </c>
      <c r="H67" s="408">
        <f t="shared" si="66"/>
        <v>4.7218328623876128E-2</v>
      </c>
      <c r="I67" s="85">
        <f t="shared" si="66"/>
        <v>5.3319306029529806E-2</v>
      </c>
      <c r="J67" s="85">
        <f t="shared" si="66"/>
        <v>6.0292645726173141E-2</v>
      </c>
      <c r="K67" s="85">
        <f t="shared" si="66"/>
        <v>6.8269061912216419E-2</v>
      </c>
      <c r="L67" s="85">
        <f t="shared" si="66"/>
        <v>7.7411329952095653E-2</v>
      </c>
      <c r="M67" s="85">
        <f t="shared" si="66"/>
        <v>8.7912106533404866E-2</v>
      </c>
      <c r="N67" s="184">
        <f>SUM(N58:N66)</f>
        <v>0.10000000000000003</v>
      </c>
      <c r="O67" s="85">
        <f t="shared" si="66"/>
        <v>0.10419777241335951</v>
      </c>
      <c r="P67" s="85">
        <f t="shared" si="66"/>
        <v>0.10851489618332209</v>
      </c>
      <c r="Q67" s="85">
        <f t="shared" si="66"/>
        <v>0.11300973680850182</v>
      </c>
      <c r="R67" s="85">
        <f t="shared" si="66"/>
        <v>0.11768960513666091</v>
      </c>
      <c r="S67" s="85">
        <f t="shared" si="66"/>
        <v>0.12256351589750297</v>
      </c>
      <c r="T67" s="85">
        <f t="shared" si="66"/>
        <v>0.12763934223858064</v>
      </c>
      <c r="U67" s="85">
        <f t="shared" si="66"/>
        <v>0.13292636069093799</v>
      </c>
      <c r="V67" s="85">
        <f t="shared" si="66"/>
        <v>0.13842882073364282</v>
      </c>
      <c r="W67" s="85">
        <f t="shared" si="66"/>
        <v>0.14416113678580017</v>
      </c>
      <c r="X67" s="184">
        <f t="shared" si="66"/>
        <v>0.15012802170187745</v>
      </c>
      <c r="Y67" s="85">
        <f t="shared" si="66"/>
        <v>0.15451375021471792</v>
      </c>
      <c r="Z67" s="85">
        <f t="shared" si="66"/>
        <v>0.15902406160166932</v>
      </c>
      <c r="AA67" s="85">
        <f t="shared" si="66"/>
        <v>0.16366679654152333</v>
      </c>
      <c r="AB67" s="85">
        <f t="shared" si="66"/>
        <v>0.16844639605338235</v>
      </c>
      <c r="AC67" s="85">
        <f t="shared" si="66"/>
        <v>0.17336310330637519</v>
      </c>
      <c r="AD67" s="85">
        <f t="shared" si="66"/>
        <v>0.17842514541213123</v>
      </c>
      <c r="AE67" s="85">
        <f t="shared" si="66"/>
        <v>0.18363383007949813</v>
      </c>
      <c r="AF67" s="85">
        <f t="shared" si="66"/>
        <v>0.18899569364097241</v>
      </c>
      <c r="AG67" s="85">
        <f t="shared" si="66"/>
        <v>0.19451235984128212</v>
      </c>
      <c r="AH67" s="184">
        <f>SUM(AH58:AH66)</f>
        <v>0.20019025470045027</v>
      </c>
      <c r="AI67" s="197"/>
    </row>
    <row r="68" spans="1:35" s="253" customFormat="1">
      <c r="A68" s="10" t="s">
        <v>555</v>
      </c>
      <c r="B68" s="37"/>
      <c r="C68" s="336"/>
      <c r="D68" s="336">
        <f>D67/C67-1</f>
        <v>0.13506157336431612</v>
      </c>
      <c r="E68" s="336">
        <f t="shared" ref="E68:W68" si="67">E67/D67-1</f>
        <v>0.13743056084224881</v>
      </c>
      <c r="F68" s="336">
        <f t="shared" si="67"/>
        <v>0.13995373845963632</v>
      </c>
      <c r="G68" s="336">
        <f t="shared" si="67"/>
        <v>0.1426297181284466</v>
      </c>
      <c r="H68" s="285"/>
      <c r="I68" s="285">
        <f t="shared" si="67"/>
        <v>0.12920782212034276</v>
      </c>
      <c r="J68" s="285">
        <f t="shared" si="67"/>
        <v>0.13078451720247997</v>
      </c>
      <c r="K68" s="285">
        <f t="shared" si="67"/>
        <v>0.1322950102781888</v>
      </c>
      <c r="L68" s="285">
        <f t="shared" si="67"/>
        <v>0.13391524335920701</v>
      </c>
      <c r="M68" s="285">
        <f t="shared" si="67"/>
        <v>0.13564909151938598</v>
      </c>
      <c r="N68" s="284">
        <f t="shared" si="67"/>
        <v>0.13749975905766743</v>
      </c>
      <c r="O68" s="285">
        <f t="shared" si="67"/>
        <v>4.1977724133594796E-2</v>
      </c>
      <c r="P68" s="285">
        <f t="shared" si="67"/>
        <v>4.1432015963222879E-2</v>
      </c>
      <c r="Q68" s="285">
        <f t="shared" si="67"/>
        <v>4.1421415706708764E-2</v>
      </c>
      <c r="R68" s="285">
        <f t="shared" si="67"/>
        <v>4.1411195710412629E-2</v>
      </c>
      <c r="S68" s="285">
        <f t="shared" si="67"/>
        <v>4.1413264622499835E-2</v>
      </c>
      <c r="T68" s="285">
        <f t="shared" si="67"/>
        <v>4.1413844111019671E-2</v>
      </c>
      <c r="U68" s="285">
        <f t="shared" si="67"/>
        <v>4.142154260302422E-2</v>
      </c>
      <c r="V68" s="285">
        <f t="shared" si="67"/>
        <v>4.1394799452144637E-2</v>
      </c>
      <c r="W68" s="285">
        <f t="shared" si="67"/>
        <v>4.1409845303725934E-2</v>
      </c>
      <c r="X68" s="285">
        <f>X67/W67-1</f>
        <v>4.1390384739703467E-2</v>
      </c>
      <c r="Y68" s="290">
        <f t="shared" ref="Y68:AG68" si="68">Y67/X67-1</f>
        <v>2.9213257212898025E-2</v>
      </c>
      <c r="Z68" s="290">
        <f t="shared" si="68"/>
        <v>2.9190356073059531E-2</v>
      </c>
      <c r="AA68" s="290">
        <f t="shared" si="68"/>
        <v>2.9195172687032311E-2</v>
      </c>
      <c r="AB68" s="290">
        <f t="shared" si="68"/>
        <v>2.9203232499552367E-2</v>
      </c>
      <c r="AC68" s="290">
        <f t="shared" si="68"/>
        <v>2.918855712077506E-2</v>
      </c>
      <c r="AD68" s="290">
        <f t="shared" si="68"/>
        <v>2.9199074135227931E-2</v>
      </c>
      <c r="AE68" s="290">
        <f t="shared" si="68"/>
        <v>2.9192548255100093E-2</v>
      </c>
      <c r="AF68" s="290">
        <f t="shared" si="68"/>
        <v>2.9198669761193008E-2</v>
      </c>
      <c r="AG68" s="290">
        <f t="shared" si="68"/>
        <v>2.9189375133538809E-2</v>
      </c>
      <c r="AH68" s="284">
        <f>AH67/AG67-1</f>
        <v>2.9190406531498514E-2</v>
      </c>
      <c r="AI68" s="296"/>
    </row>
    <row r="69" spans="1:35">
      <c r="A69" s="10"/>
      <c r="B69" s="37"/>
      <c r="C69" s="336"/>
      <c r="D69" s="336"/>
      <c r="E69" s="336"/>
      <c r="F69" s="336"/>
      <c r="G69" s="336"/>
      <c r="H69" s="285"/>
      <c r="I69" s="165"/>
      <c r="J69" s="165"/>
      <c r="K69" s="165"/>
      <c r="L69" s="165"/>
      <c r="M69" s="165"/>
      <c r="N69" s="186"/>
      <c r="O69" s="165"/>
      <c r="P69" s="165"/>
      <c r="Q69" s="165"/>
      <c r="R69" s="165"/>
      <c r="S69" s="165"/>
      <c r="T69" s="165"/>
      <c r="U69" s="165"/>
      <c r="V69" s="165"/>
      <c r="W69" s="165"/>
      <c r="X69" s="186"/>
      <c r="Y69" s="20"/>
      <c r="Z69" s="20"/>
      <c r="AA69" s="20"/>
      <c r="AB69" s="20"/>
      <c r="AC69" s="20"/>
      <c r="AD69" s="20"/>
      <c r="AE69" s="20"/>
      <c r="AF69" s="20"/>
      <c r="AG69" s="20"/>
      <c r="AH69" s="280"/>
      <c r="AI69" s="128"/>
    </row>
    <row r="70" spans="1:35">
      <c r="A70" s="11" t="s">
        <v>552</v>
      </c>
      <c r="B70" s="37"/>
      <c r="C70" s="336"/>
      <c r="D70" s="336"/>
      <c r="E70" s="336"/>
      <c r="F70" s="336"/>
      <c r="G70" s="336"/>
      <c r="H70" s="285"/>
      <c r="I70" s="165"/>
      <c r="J70" s="165"/>
      <c r="K70" s="165"/>
      <c r="L70" s="165"/>
      <c r="M70" s="165"/>
      <c r="N70" s="200" t="s">
        <v>722</v>
      </c>
      <c r="O70" s="165"/>
      <c r="P70" s="165"/>
      <c r="Q70" s="165"/>
      <c r="R70" s="165"/>
      <c r="S70" s="165"/>
      <c r="T70" s="165"/>
      <c r="U70" s="165"/>
      <c r="V70" s="165"/>
      <c r="W70" s="165"/>
      <c r="X70" s="200" t="s">
        <v>553</v>
      </c>
      <c r="Y70" s="20"/>
      <c r="Z70" s="20"/>
      <c r="AA70" s="20"/>
      <c r="AB70" s="20"/>
      <c r="AC70" s="20"/>
      <c r="AD70" s="20"/>
      <c r="AE70" s="20"/>
      <c r="AF70" s="20"/>
      <c r="AG70" s="20"/>
      <c r="AH70" s="280" t="s">
        <v>719</v>
      </c>
      <c r="AI70" s="128"/>
    </row>
    <row r="71" spans="1:35">
      <c r="A71" s="9" t="s">
        <v>127</v>
      </c>
      <c r="B71" s="37"/>
      <c r="C71" s="336"/>
      <c r="D71" s="336"/>
      <c r="E71" s="336"/>
      <c r="F71" s="336"/>
      <c r="G71" s="336"/>
      <c r="H71" s="285"/>
      <c r="I71" s="165"/>
      <c r="J71" s="165"/>
      <c r="K71" s="400"/>
      <c r="L71" s="400"/>
      <c r="M71" s="165"/>
      <c r="N71" s="187">
        <f>(N86/H86)^(1/6)</f>
        <v>1.2399450300765076</v>
      </c>
      <c r="O71" s="165"/>
      <c r="P71" s="165"/>
      <c r="Q71" s="165"/>
      <c r="R71" s="165"/>
      <c r="S71" s="165"/>
      <c r="T71" s="165"/>
      <c r="U71" s="165"/>
      <c r="V71" s="165"/>
      <c r="W71" s="165"/>
      <c r="X71" s="187">
        <f>(X86/N86)^(1/10)</f>
        <v>1.0413797439924106</v>
      </c>
      <c r="Y71" s="20"/>
      <c r="Z71" s="20"/>
      <c r="AA71" s="20"/>
      <c r="AB71" s="20"/>
      <c r="AC71" s="20"/>
      <c r="AD71" s="20"/>
      <c r="AE71" s="20"/>
      <c r="AF71" s="20"/>
      <c r="AG71" s="20"/>
      <c r="AH71" s="187">
        <f>(AH86/X86)^(1/10)</f>
        <v>1.0291860089647606</v>
      </c>
      <c r="AI71" s="128"/>
    </row>
    <row r="72" spans="1:35">
      <c r="A72" s="9" t="s">
        <v>52</v>
      </c>
      <c r="B72" s="37"/>
      <c r="C72" s="336"/>
      <c r="D72" s="336"/>
      <c r="E72" s="336"/>
      <c r="F72" s="336"/>
      <c r="G72" s="336"/>
      <c r="H72" s="285"/>
      <c r="I72" s="165"/>
      <c r="J72" s="165"/>
      <c r="K72" s="400"/>
      <c r="L72" s="400"/>
      <c r="M72" s="165"/>
      <c r="N72" s="180">
        <f>(N87/H87)^(1/6)</f>
        <v>1.1078917559812058</v>
      </c>
      <c r="O72" s="165"/>
      <c r="P72" s="165"/>
      <c r="Q72" s="165"/>
      <c r="R72" s="165"/>
      <c r="S72" s="165"/>
      <c r="T72" s="165"/>
      <c r="U72" s="165"/>
      <c r="V72" s="165"/>
      <c r="W72" s="165"/>
      <c r="X72" s="187">
        <f>(X87/N87)^(1/10)</f>
        <v>1.0413797439924106</v>
      </c>
      <c r="Y72" s="20"/>
      <c r="Z72" s="20"/>
      <c r="AA72" s="20"/>
      <c r="AB72" s="20"/>
      <c r="AC72" s="20"/>
      <c r="AD72" s="20"/>
      <c r="AE72" s="20"/>
      <c r="AF72" s="20"/>
      <c r="AG72" s="20"/>
      <c r="AH72" s="187">
        <f>(AH87/X87)^(1/10)</f>
        <v>1.0291860089647606</v>
      </c>
      <c r="AI72" s="128"/>
    </row>
    <row r="73" spans="1:35">
      <c r="A73" s="9" t="s">
        <v>125</v>
      </c>
      <c r="B73" s="37"/>
      <c r="C73" s="336"/>
      <c r="D73" s="336"/>
      <c r="E73" s="336"/>
      <c r="F73" s="336"/>
      <c r="G73" s="336"/>
      <c r="H73" s="285"/>
      <c r="I73" s="165"/>
      <c r="J73" s="165"/>
      <c r="K73" s="400"/>
      <c r="L73" s="400"/>
      <c r="M73" s="165"/>
      <c r="N73" s="187"/>
      <c r="O73" s="165"/>
      <c r="P73" s="165"/>
      <c r="Q73" s="165"/>
      <c r="R73" s="165"/>
      <c r="S73" s="165"/>
      <c r="T73" s="165"/>
      <c r="U73" s="165"/>
      <c r="V73" s="165"/>
      <c r="W73" s="165"/>
      <c r="X73" s="187"/>
      <c r="AH73" s="187"/>
      <c r="AI73" s="128"/>
    </row>
    <row r="74" spans="1:35">
      <c r="A74" s="9" t="s">
        <v>53</v>
      </c>
      <c r="B74" s="37"/>
      <c r="C74" s="336"/>
      <c r="D74" s="336"/>
      <c r="E74" s="336"/>
      <c r="F74" s="336"/>
      <c r="G74" s="336"/>
      <c r="H74" s="285"/>
      <c r="I74" s="165"/>
      <c r="J74" s="165"/>
      <c r="K74" s="400"/>
      <c r="L74" s="400"/>
      <c r="M74" s="165"/>
      <c r="N74" s="180">
        <f>(N89/H89)^(1/6)</f>
        <v>1.1075047525185349</v>
      </c>
      <c r="O74" s="165"/>
      <c r="P74" s="165"/>
      <c r="Q74" s="165"/>
      <c r="R74" s="165"/>
      <c r="S74" s="165"/>
      <c r="T74" s="165"/>
      <c r="U74" s="165"/>
      <c r="V74" s="165"/>
      <c r="W74" s="165"/>
      <c r="X74" s="187">
        <f>(X89/N89)^(1/10)</f>
        <v>1.0413797439924106</v>
      </c>
      <c r="AH74" s="187">
        <f>(AH89/X89)^(1/10)</f>
        <v>1.0291860089647606</v>
      </c>
      <c r="AI74" s="128"/>
    </row>
    <row r="75" spans="1:35">
      <c r="A75" s="9" t="s">
        <v>353</v>
      </c>
      <c r="B75" s="37"/>
      <c r="C75" s="336"/>
      <c r="D75" s="336"/>
      <c r="E75" s="336"/>
      <c r="F75" s="336"/>
      <c r="G75" s="336"/>
      <c r="H75" s="285"/>
      <c r="I75" s="165"/>
      <c r="J75" s="165"/>
      <c r="K75" s="400"/>
      <c r="L75" s="400"/>
      <c r="M75" s="165"/>
      <c r="N75" s="180">
        <f>(N90/H90)^(1/6)</f>
        <v>1.1683642671889385</v>
      </c>
      <c r="O75" s="165"/>
      <c r="P75" s="165"/>
      <c r="Q75" s="165"/>
      <c r="R75" s="165"/>
      <c r="S75" s="165"/>
      <c r="T75" s="165"/>
      <c r="U75" s="165"/>
      <c r="V75" s="165"/>
      <c r="W75" s="165"/>
      <c r="X75" s="187">
        <f>(X90/N90)^(1/10)</f>
        <v>1.0413797439924106</v>
      </c>
      <c r="AH75" s="187">
        <f>(AH90/X90)^(1/10)</f>
        <v>1.0291860089647606</v>
      </c>
      <c r="AI75" s="128"/>
    </row>
    <row r="76" spans="1:35">
      <c r="A76" s="9" t="s">
        <v>354</v>
      </c>
      <c r="B76" s="37"/>
      <c r="C76" s="336"/>
      <c r="D76" s="336"/>
      <c r="E76" s="336"/>
      <c r="F76" s="336"/>
      <c r="G76" s="336"/>
      <c r="H76" s="285"/>
      <c r="I76" s="165"/>
      <c r="J76" s="165"/>
      <c r="K76" s="400"/>
      <c r="L76" s="400"/>
      <c r="M76" s="165"/>
      <c r="N76" s="180">
        <f>(N91/H91)^(1/6)</f>
        <v>1.1078917559812058</v>
      </c>
      <c r="O76" s="165"/>
      <c r="P76" s="165"/>
      <c r="Q76" s="165"/>
      <c r="R76" s="165"/>
      <c r="S76" s="165"/>
      <c r="T76" s="165"/>
      <c r="U76" s="165"/>
      <c r="V76" s="165"/>
      <c r="W76" s="165"/>
      <c r="X76" s="187">
        <f>(X91/N91)^(1/10)</f>
        <v>1.0413797439924106</v>
      </c>
      <c r="AH76" s="187">
        <f>(AH91/X91)^(1/10)</f>
        <v>1.0291860089647606</v>
      </c>
      <c r="AI76" s="128"/>
    </row>
    <row r="77" spans="1:35">
      <c r="A77" s="9" t="s">
        <v>350</v>
      </c>
      <c r="B77" s="37"/>
      <c r="C77" s="336"/>
      <c r="D77" s="336"/>
      <c r="E77" s="336"/>
      <c r="F77" s="336"/>
      <c r="G77" s="336"/>
      <c r="H77" s="285"/>
      <c r="I77" s="165"/>
      <c r="J77" s="165"/>
      <c r="K77" s="400"/>
      <c r="L77" s="400"/>
      <c r="M77" s="165"/>
      <c r="N77" s="180">
        <f>(N92/H92)^(1/6)</f>
        <v>1.1078917559812058</v>
      </c>
      <c r="O77" s="165"/>
      <c r="P77" s="165"/>
      <c r="Q77" s="165"/>
      <c r="R77" s="165"/>
      <c r="S77" s="165"/>
      <c r="T77" s="165"/>
      <c r="U77" s="165"/>
      <c r="V77" s="165"/>
      <c r="W77" s="165"/>
      <c r="X77" s="187">
        <f>(X92/N92)^(1/10)</f>
        <v>1.0413797439924106</v>
      </c>
      <c r="AH77" s="187">
        <f>(AH92/X92)^(1/10)</f>
        <v>1.0291860089647606</v>
      </c>
      <c r="AI77" s="128"/>
    </row>
    <row r="78" spans="1:35">
      <c r="A78" s="9" t="s">
        <v>126</v>
      </c>
      <c r="B78" s="37"/>
      <c r="C78" s="336"/>
      <c r="D78" s="336"/>
      <c r="E78" s="336"/>
      <c r="F78" s="336"/>
      <c r="G78" s="336"/>
      <c r="H78" s="285"/>
      <c r="I78" s="165"/>
      <c r="J78" s="165"/>
      <c r="K78" s="400"/>
      <c r="L78" s="400"/>
      <c r="M78" s="165"/>
      <c r="N78" s="187"/>
      <c r="O78" s="165"/>
      <c r="P78" s="165"/>
      <c r="Q78" s="165"/>
      <c r="R78" s="165"/>
      <c r="S78" s="165"/>
      <c r="T78" s="165"/>
      <c r="U78" s="165"/>
      <c r="V78" s="165"/>
      <c r="W78" s="165"/>
      <c r="X78" s="187" t="s">
        <v>0</v>
      </c>
      <c r="AH78" s="187" t="s">
        <v>0</v>
      </c>
      <c r="AI78" s="128"/>
    </row>
    <row r="79" spans="1:35">
      <c r="A79" s="9" t="s">
        <v>55</v>
      </c>
      <c r="B79" s="37"/>
      <c r="C79" s="336"/>
      <c r="D79" s="336"/>
      <c r="E79" s="336"/>
      <c r="F79" s="336"/>
      <c r="G79" s="336"/>
      <c r="H79" s="285"/>
      <c r="I79" s="165"/>
      <c r="J79" s="165"/>
      <c r="K79" s="400"/>
      <c r="L79" s="400"/>
      <c r="M79" s="165"/>
      <c r="N79" s="180">
        <f>(N94/H94)^(1/6)</f>
        <v>1.1157841360680696</v>
      </c>
      <c r="O79" s="165"/>
      <c r="P79" s="165"/>
      <c r="Q79" s="165"/>
      <c r="R79" s="165"/>
      <c r="S79" s="165"/>
      <c r="T79" s="165"/>
      <c r="U79" s="165"/>
      <c r="V79" s="165"/>
      <c r="W79" s="165"/>
      <c r="X79" s="187">
        <f>(X94/N94)^(1/10)</f>
        <v>1.0413797439924106</v>
      </c>
      <c r="AH79" s="187">
        <f>(AH94/X94)^(1/10)</f>
        <v>1.0291860089647606</v>
      </c>
      <c r="AI79" s="128"/>
    </row>
    <row r="80" spans="1:35">
      <c r="A80" s="10"/>
      <c r="B80" s="37"/>
      <c r="C80" s="336"/>
      <c r="D80" s="336"/>
      <c r="E80" s="336"/>
      <c r="F80" s="336"/>
      <c r="G80" s="336"/>
      <c r="H80" s="285"/>
      <c r="I80" s="165"/>
      <c r="J80" s="165"/>
      <c r="K80" s="165"/>
      <c r="L80" s="165"/>
      <c r="M80" s="165"/>
      <c r="N80" s="181"/>
      <c r="O80" s="165"/>
      <c r="P80" s="165"/>
      <c r="Q80" s="165"/>
      <c r="R80" s="165"/>
      <c r="S80" s="165"/>
      <c r="T80" s="165"/>
      <c r="U80" s="165"/>
      <c r="V80" s="165"/>
      <c r="W80" s="165"/>
      <c r="X80" s="186"/>
      <c r="AI80" s="128"/>
    </row>
    <row r="81" spans="1:35">
      <c r="A81" s="1" t="s">
        <v>554</v>
      </c>
      <c r="B81" s="37"/>
      <c r="C81" s="336"/>
      <c r="D81" s="336"/>
      <c r="E81" s="336"/>
      <c r="F81" s="336"/>
      <c r="G81" s="336"/>
      <c r="H81" s="285"/>
      <c r="I81" s="165"/>
      <c r="J81" s="165"/>
      <c r="K81" s="165"/>
      <c r="L81" s="165"/>
      <c r="M81" s="165"/>
      <c r="N81" s="185" t="s">
        <v>0</v>
      </c>
      <c r="O81" s="165"/>
      <c r="P81" s="165"/>
      <c r="Q81" s="165"/>
      <c r="R81" s="165"/>
      <c r="S81" s="165"/>
      <c r="T81" s="165"/>
      <c r="U81" s="165"/>
      <c r="V81" s="165"/>
      <c r="W81" s="165"/>
      <c r="X81" s="186"/>
      <c r="AI81" s="128"/>
    </row>
    <row r="82" spans="1:35">
      <c r="A82" s="9" t="s">
        <v>288</v>
      </c>
      <c r="B82" s="37"/>
      <c r="C82" s="336"/>
      <c r="D82" s="336"/>
      <c r="E82" s="336"/>
      <c r="F82" s="336"/>
      <c r="G82" s="336"/>
      <c r="H82" s="285"/>
      <c r="I82" s="165"/>
      <c r="J82" s="165"/>
      <c r="K82" s="165"/>
      <c r="L82" s="165"/>
      <c r="M82" s="165"/>
      <c r="N82" s="186" t="s">
        <v>0</v>
      </c>
      <c r="O82" s="165"/>
      <c r="P82" s="165"/>
      <c r="Q82" s="165"/>
      <c r="R82" s="165"/>
      <c r="S82" s="165"/>
      <c r="T82" s="165"/>
      <c r="U82" s="165"/>
      <c r="V82" s="165"/>
      <c r="W82" s="165"/>
      <c r="X82" s="186"/>
      <c r="AI82" s="128"/>
    </row>
    <row r="83" spans="1:35">
      <c r="A83" s="20" t="s">
        <v>128</v>
      </c>
      <c r="B83" s="37"/>
      <c r="C83" s="336"/>
      <c r="D83" s="336"/>
      <c r="E83" s="336"/>
      <c r="F83" s="336"/>
      <c r="G83" s="336"/>
      <c r="H83" s="285"/>
      <c r="I83" s="165"/>
      <c r="J83" s="165"/>
      <c r="K83" s="165"/>
      <c r="L83" s="165"/>
      <c r="M83" s="165"/>
      <c r="N83" s="181"/>
      <c r="O83" s="165"/>
      <c r="P83" s="165"/>
      <c r="Q83" s="165"/>
      <c r="R83" s="165"/>
      <c r="S83" s="165"/>
      <c r="T83" s="165"/>
      <c r="U83" s="165"/>
      <c r="V83" s="165"/>
      <c r="W83" s="165"/>
      <c r="X83" s="186"/>
      <c r="AI83" s="128"/>
    </row>
    <row r="84" spans="1:35">
      <c r="A84" s="9" t="s">
        <v>51</v>
      </c>
      <c r="B84" s="37"/>
      <c r="C84" s="340">
        <f t="shared" ref="C84:AH84" si="69">C31/C$49</f>
        <v>0.20665115055638286</v>
      </c>
      <c r="D84" s="340">
        <f t="shared" si="69"/>
        <v>0.20747980782828818</v>
      </c>
      <c r="E84" s="340">
        <f t="shared" si="69"/>
        <v>0.20830846510019349</v>
      </c>
      <c r="F84" s="340">
        <f t="shared" si="69"/>
        <v>0.2091371223720988</v>
      </c>
      <c r="G84" s="340">
        <f t="shared" si="69"/>
        <v>0.20996577964400412</v>
      </c>
      <c r="H84" s="401">
        <f t="shared" si="69"/>
        <v>0.19707331401497816</v>
      </c>
      <c r="I84" s="116">
        <f t="shared" si="69"/>
        <v>0.20018882510370536</v>
      </c>
      <c r="J84" s="116">
        <f t="shared" si="69"/>
        <v>0.20330433619243257</v>
      </c>
      <c r="K84" s="116">
        <f t="shared" si="69"/>
        <v>0.20641984728115978</v>
      </c>
      <c r="L84" s="116">
        <f t="shared" si="69"/>
        <v>0.20953535836988699</v>
      </c>
      <c r="M84" s="116">
        <f t="shared" si="69"/>
        <v>0.21265086945861419</v>
      </c>
      <c r="N84" s="179">
        <f t="shared" si="69"/>
        <v>0.21576638054734146</v>
      </c>
      <c r="O84" s="116">
        <f t="shared" si="69"/>
        <v>0.21604312194113293</v>
      </c>
      <c r="P84" s="116">
        <f t="shared" si="69"/>
        <v>0.21631986333492439</v>
      </c>
      <c r="Q84" s="116">
        <f t="shared" si="69"/>
        <v>0.21659660472871586</v>
      </c>
      <c r="R84" s="116">
        <f t="shared" si="69"/>
        <v>0.21687334612250733</v>
      </c>
      <c r="S84" s="116">
        <f t="shared" si="69"/>
        <v>0.2171500875162988</v>
      </c>
      <c r="T84" s="116">
        <f t="shared" si="69"/>
        <v>0.21742682891009027</v>
      </c>
      <c r="U84" s="116">
        <f t="shared" si="69"/>
        <v>0.21770357030388174</v>
      </c>
      <c r="V84" s="116">
        <f t="shared" si="69"/>
        <v>0.21798031169767321</v>
      </c>
      <c r="W84" s="116">
        <f t="shared" si="69"/>
        <v>0.21825705309146468</v>
      </c>
      <c r="X84" s="179">
        <f t="shared" si="69"/>
        <v>0.21853379448525623</v>
      </c>
      <c r="Y84" s="174">
        <f t="shared" si="69"/>
        <v>0.21712863757248446</v>
      </c>
      <c r="Z84" s="174">
        <f t="shared" si="69"/>
        <v>0.2157234806597127</v>
      </c>
      <c r="AA84" s="174">
        <f t="shared" si="69"/>
        <v>0.21431832374694093</v>
      </c>
      <c r="AB84" s="174">
        <f t="shared" si="69"/>
        <v>0.21291316683416917</v>
      </c>
      <c r="AC84" s="174">
        <f t="shared" si="69"/>
        <v>0.2115080099213974</v>
      </c>
      <c r="AD84" s="174">
        <f t="shared" si="69"/>
        <v>0.21010285300862563</v>
      </c>
      <c r="AE84" s="174">
        <f t="shared" si="69"/>
        <v>0.20869769609585387</v>
      </c>
      <c r="AF84" s="174">
        <f t="shared" si="69"/>
        <v>0.2072925391830821</v>
      </c>
      <c r="AG84" s="174">
        <f t="shared" si="69"/>
        <v>0.20588738227031034</v>
      </c>
      <c r="AH84" s="179">
        <f t="shared" si="69"/>
        <v>0.20448222535753863</v>
      </c>
      <c r="AI84" s="128"/>
    </row>
    <row r="85" spans="1:35">
      <c r="A85" s="9" t="s">
        <v>61</v>
      </c>
      <c r="B85" s="37"/>
      <c r="C85" s="340">
        <f t="shared" ref="C85:AH85" si="70">C32/C$49</f>
        <v>0.32541101989807752</v>
      </c>
      <c r="D85" s="340">
        <f t="shared" si="70"/>
        <v>0.32184082872435427</v>
      </c>
      <c r="E85" s="340">
        <f t="shared" si="70"/>
        <v>0.31827063755063101</v>
      </c>
      <c r="F85" s="340">
        <f t="shared" si="70"/>
        <v>0.31470044637690775</v>
      </c>
      <c r="G85" s="340">
        <f t="shared" si="70"/>
        <v>0.31113025520318449</v>
      </c>
      <c r="H85" s="401">
        <f t="shared" si="70"/>
        <v>0.29160488526052442</v>
      </c>
      <c r="I85" s="116">
        <f t="shared" si="70"/>
        <v>0.29069389054829065</v>
      </c>
      <c r="J85" s="116">
        <f t="shared" si="70"/>
        <v>0.28978289583605688</v>
      </c>
      <c r="K85" s="116">
        <f t="shared" si="70"/>
        <v>0.2888719011238231</v>
      </c>
      <c r="L85" s="116">
        <f t="shared" si="70"/>
        <v>0.28796090641158933</v>
      </c>
      <c r="M85" s="116">
        <f t="shared" si="70"/>
        <v>0.28704991169935556</v>
      </c>
      <c r="N85" s="179">
        <f t="shared" si="70"/>
        <v>0.28613891698712168</v>
      </c>
      <c r="O85" s="116">
        <f t="shared" si="70"/>
        <v>0.28650591801158215</v>
      </c>
      <c r="P85" s="116">
        <f t="shared" si="70"/>
        <v>0.28687291903604262</v>
      </c>
      <c r="Q85" s="116">
        <f t="shared" si="70"/>
        <v>0.28723992006050308</v>
      </c>
      <c r="R85" s="116">
        <f t="shared" si="70"/>
        <v>0.28760692108496355</v>
      </c>
      <c r="S85" s="116">
        <f t="shared" si="70"/>
        <v>0.28797392210942402</v>
      </c>
      <c r="T85" s="116">
        <f t="shared" si="70"/>
        <v>0.28834092313388449</v>
      </c>
      <c r="U85" s="116">
        <f t="shared" si="70"/>
        <v>0.28870792415834495</v>
      </c>
      <c r="V85" s="116">
        <f t="shared" si="70"/>
        <v>0.28907492518280542</v>
      </c>
      <c r="W85" s="116">
        <f t="shared" si="70"/>
        <v>0.28944192620726589</v>
      </c>
      <c r="X85" s="179">
        <f t="shared" si="70"/>
        <v>0.2898089272317263</v>
      </c>
      <c r="Y85" s="174">
        <f t="shared" si="70"/>
        <v>0.28794547623348676</v>
      </c>
      <c r="Z85" s="174">
        <f t="shared" si="70"/>
        <v>0.28608202523524723</v>
      </c>
      <c r="AA85" s="174">
        <f t="shared" si="70"/>
        <v>0.28421857423700769</v>
      </c>
      <c r="AB85" s="174">
        <f t="shared" si="70"/>
        <v>0.28235512323876816</v>
      </c>
      <c r="AC85" s="174">
        <f t="shared" si="70"/>
        <v>0.28049167224052862</v>
      </c>
      <c r="AD85" s="174">
        <f t="shared" si="70"/>
        <v>0.27862822124228909</v>
      </c>
      <c r="AE85" s="174">
        <f t="shared" si="70"/>
        <v>0.27676477024404955</v>
      </c>
      <c r="AF85" s="174">
        <f t="shared" si="70"/>
        <v>0.27490131924581002</v>
      </c>
      <c r="AG85" s="174">
        <f t="shared" si="70"/>
        <v>0.27303786824757048</v>
      </c>
      <c r="AH85" s="179">
        <f t="shared" si="70"/>
        <v>0.27117441724933078</v>
      </c>
      <c r="AI85" s="128"/>
    </row>
    <row r="86" spans="1:35" s="253" customFormat="1">
      <c r="A86" s="10" t="s">
        <v>127</v>
      </c>
      <c r="B86" s="37"/>
      <c r="C86" s="415">
        <f t="shared" ref="C86:AH86" si="71">C34/C$49</f>
        <v>4.0110453412756019E-3</v>
      </c>
      <c r="D86" s="340">
        <f t="shared" si="71"/>
        <v>4.9734757363262116E-3</v>
      </c>
      <c r="E86" s="340">
        <f t="shared" si="71"/>
        <v>6.1668365214637855E-3</v>
      </c>
      <c r="F86" s="340">
        <f t="shared" si="71"/>
        <v>7.6465382960833189E-3</v>
      </c>
      <c r="G86" s="340">
        <f t="shared" si="71"/>
        <v>9.4812871575181978E-3</v>
      </c>
      <c r="H86" s="414">
        <f t="shared" si="71"/>
        <v>4.8859562117840351E-3</v>
      </c>
      <c r="I86" s="401">
        <f t="shared" si="71"/>
        <v>6.0583171219730546E-3</v>
      </c>
      <c r="J86" s="401">
        <f t="shared" si="71"/>
        <v>7.5119802060179004E-3</v>
      </c>
      <c r="K86" s="401">
        <f t="shared" si="71"/>
        <v>9.3144425224849954E-3</v>
      </c>
      <c r="L86" s="401">
        <f t="shared" si="71"/>
        <v>1.154939671368856E-2</v>
      </c>
      <c r="M86" s="401">
        <f t="shared" si="71"/>
        <v>1.4320617055520079E-2</v>
      </c>
      <c r="N86" s="402">
        <f>N34/N$49</f>
        <v>1.7756777945620996E-2</v>
      </c>
      <c r="O86" s="401">
        <f t="shared" si="71"/>
        <v>1.8491548871140871E-2</v>
      </c>
      <c r="P86" s="401">
        <f t="shared" si="71"/>
        <v>1.9256724429451831E-2</v>
      </c>
      <c r="Q86" s="401">
        <f t="shared" si="71"/>
        <v>2.0053562756474946E-2</v>
      </c>
      <c r="R86" s="401">
        <f t="shared" si="71"/>
        <v>2.0883374049473619E-2</v>
      </c>
      <c r="S86" s="401">
        <f t="shared" si="71"/>
        <v>2.1747522721338588E-2</v>
      </c>
      <c r="T86" s="401">
        <f t="shared" si="71"/>
        <v>2.2647429644016712E-2</v>
      </c>
      <c r="U86" s="401">
        <f t="shared" si="71"/>
        <v>2.3584574484772254E-2</v>
      </c>
      <c r="V86" s="401">
        <f t="shared" si="71"/>
        <v>2.4560498139122068E-2</v>
      </c>
      <c r="W86" s="401">
        <f t="shared" si="71"/>
        <v>2.5576805264445016E-2</v>
      </c>
      <c r="X86" s="402">
        <f t="shared" si="71"/>
        <v>2.6635166918431492E-2</v>
      </c>
      <c r="Y86" s="401">
        <f>Y34/Y$49</f>
        <v>2.7412541138890731E-2</v>
      </c>
      <c r="Z86" s="401">
        <f t="shared" si="71"/>
        <v>2.8212603810317267E-2</v>
      </c>
      <c r="AA86" s="401">
        <f t="shared" si="71"/>
        <v>2.9036017118044429E-2</v>
      </c>
      <c r="AB86" s="401">
        <f t="shared" si="71"/>
        <v>2.9883462573952614E-2</v>
      </c>
      <c r="AC86" s="401">
        <f t="shared" si="71"/>
        <v>3.0755641580534083E-2</v>
      </c>
      <c r="AD86" s="401">
        <f t="shared" si="71"/>
        <v>3.1653276011420518E-2</v>
      </c>
      <c r="AE86" s="401">
        <f t="shared" si="71"/>
        <v>3.257710880885388E-2</v>
      </c>
      <c r="AF86" s="401">
        <f t="shared" si="71"/>
        <v>3.3527904598595074E-2</v>
      </c>
      <c r="AG86" s="401">
        <f t="shared" si="71"/>
        <v>3.4506450322779311E-2</v>
      </c>
      <c r="AH86" s="402">
        <f t="shared" si="71"/>
        <v>3.5513555891241992E-2</v>
      </c>
      <c r="AI86" s="296"/>
    </row>
    <row r="87" spans="1:35">
      <c r="A87" s="9" t="s">
        <v>52</v>
      </c>
      <c r="B87" s="37"/>
      <c r="C87" s="415">
        <f t="shared" ref="C87:AH87" si="72">C35/C$49</f>
        <v>7.4832935471559743E-7</v>
      </c>
      <c r="D87" s="340">
        <f t="shared" si="72"/>
        <v>8.2906792284814587E-7</v>
      </c>
      <c r="E87" s="340">
        <f t="shared" si="72"/>
        <v>9.1851751687192321E-7</v>
      </c>
      <c r="F87" s="340">
        <f t="shared" si="72"/>
        <v>1.0176179846667318E-6</v>
      </c>
      <c r="G87" s="340">
        <f t="shared" si="72"/>
        <v>1.1274105759504812E-6</v>
      </c>
      <c r="H87" s="414">
        <f t="shared" si="72"/>
        <v>7.1720352877045829E-7</v>
      </c>
      <c r="I87" s="116">
        <f t="shared" si="72"/>
        <v>7.9458387688542031E-7</v>
      </c>
      <c r="J87" s="116">
        <f>J35/J$49</f>
        <v>8.8031292663694257E-7</v>
      </c>
      <c r="K87" s="116">
        <f t="shared" si="72"/>
        <v>9.7529143410475665E-7</v>
      </c>
      <c r="L87" s="116">
        <f t="shared" si="72"/>
        <v>1.0805173395237473E-6</v>
      </c>
      <c r="M87" s="116">
        <f t="shared" si="72"/>
        <v>1.1970962526531053E-6</v>
      </c>
      <c r="N87" s="179">
        <f t="shared" si="72"/>
        <v>1.3262530694303696E-6</v>
      </c>
      <c r="O87" s="116">
        <f t="shared" si="72"/>
        <v>1.3811330819125476E-6</v>
      </c>
      <c r="P87" s="116">
        <f t="shared" si="72"/>
        <v>1.4382840152615379E-6</v>
      </c>
      <c r="Q87" s="116">
        <f t="shared" si="72"/>
        <v>1.4977998396014368E-6</v>
      </c>
      <c r="R87" s="116">
        <f t="shared" si="72"/>
        <v>1.559778413516018E-6</v>
      </c>
      <c r="S87" s="116">
        <f t="shared" si="72"/>
        <v>1.6243216449521993E-6</v>
      </c>
      <c r="T87" s="116">
        <f t="shared" si="72"/>
        <v>1.6915356587816526E-6</v>
      </c>
      <c r="U87" s="116">
        <f t="shared" si="72"/>
        <v>1.761530971296071E-6</v>
      </c>
      <c r="V87" s="116">
        <f t="shared" si="72"/>
        <v>1.834422671923005E-6</v>
      </c>
      <c r="W87" s="116">
        <f t="shared" si="72"/>
        <v>1.9103306124610526E-6</v>
      </c>
      <c r="X87" s="179">
        <f t="shared" si="72"/>
        <v>1.9893796041455542E-6</v>
      </c>
      <c r="Y87" s="174">
        <f t="shared" si="72"/>
        <v>2.0474416551064582E-6</v>
      </c>
      <c r="Z87" s="174">
        <f t="shared" si="72"/>
        <v>2.1071983056072197E-6</v>
      </c>
      <c r="AA87" s="174">
        <f t="shared" si="72"/>
        <v>2.1686990142452005E-6</v>
      </c>
      <c r="AB87" s="174">
        <f t="shared" si="72"/>
        <v>2.2319946831168286E-6</v>
      </c>
      <c r="AC87" s="174">
        <f t="shared" si="72"/>
        <v>2.2971376999475745E-6</v>
      </c>
      <c r="AD87" s="174">
        <f t="shared" si="72"/>
        <v>2.3641819814515341E-6</v>
      </c>
      <c r="AE87" s="174">
        <f t="shared" si="72"/>
        <v>2.4331830179565043E-6</v>
      </c>
      <c r="AF87" s="174">
        <f t="shared" si="72"/>
        <v>2.5041979193314862E-6</v>
      </c>
      <c r="AG87" s="174">
        <f t="shared" si="72"/>
        <v>2.5772854622546298E-6</v>
      </c>
      <c r="AH87" s="179">
        <f t="shared" si="72"/>
        <v>2.6525061388607393E-6</v>
      </c>
      <c r="AI87" s="128"/>
    </row>
    <row r="88" spans="1:35">
      <c r="A88" s="9" t="s">
        <v>125</v>
      </c>
      <c r="B88" s="37"/>
      <c r="C88" s="415">
        <f t="shared" ref="C88:AH88" si="73">C36/C$49</f>
        <v>0</v>
      </c>
      <c r="D88" s="340">
        <f t="shared" si="73"/>
        <v>0</v>
      </c>
      <c r="E88" s="340">
        <f t="shared" si="73"/>
        <v>0</v>
      </c>
      <c r="F88" s="340">
        <f t="shared" si="73"/>
        <v>0</v>
      </c>
      <c r="G88" s="340">
        <f t="shared" si="73"/>
        <v>0</v>
      </c>
      <c r="H88" s="414">
        <f t="shared" si="73"/>
        <v>0</v>
      </c>
      <c r="I88" s="116">
        <f t="shared" si="73"/>
        <v>0</v>
      </c>
      <c r="J88" s="116">
        <f t="shared" si="73"/>
        <v>0</v>
      </c>
      <c r="K88" s="116">
        <f t="shared" si="73"/>
        <v>0</v>
      </c>
      <c r="L88" s="116">
        <f t="shared" si="73"/>
        <v>0</v>
      </c>
      <c r="M88" s="116">
        <f t="shared" si="73"/>
        <v>0</v>
      </c>
      <c r="N88" s="179">
        <f t="shared" si="73"/>
        <v>0</v>
      </c>
      <c r="O88" s="116">
        <f t="shared" si="73"/>
        <v>0</v>
      </c>
      <c r="P88" s="116">
        <f t="shared" si="73"/>
        <v>0</v>
      </c>
      <c r="Q88" s="116">
        <f t="shared" si="73"/>
        <v>0</v>
      </c>
      <c r="R88" s="116">
        <f t="shared" si="73"/>
        <v>0</v>
      </c>
      <c r="S88" s="116">
        <f t="shared" si="73"/>
        <v>0</v>
      </c>
      <c r="T88" s="116">
        <f t="shared" si="73"/>
        <v>0</v>
      </c>
      <c r="U88" s="116">
        <f t="shared" si="73"/>
        <v>0</v>
      </c>
      <c r="V88" s="116">
        <f t="shared" si="73"/>
        <v>0</v>
      </c>
      <c r="W88" s="116">
        <f t="shared" si="73"/>
        <v>0</v>
      </c>
      <c r="X88" s="179">
        <f t="shared" si="73"/>
        <v>0</v>
      </c>
      <c r="Y88" s="174">
        <f t="shared" si="73"/>
        <v>0</v>
      </c>
      <c r="Z88" s="174">
        <f t="shared" si="73"/>
        <v>0</v>
      </c>
      <c r="AA88" s="174">
        <f t="shared" si="73"/>
        <v>0</v>
      </c>
      <c r="AB88" s="174">
        <f t="shared" si="73"/>
        <v>0</v>
      </c>
      <c r="AC88" s="174">
        <f t="shared" si="73"/>
        <v>0</v>
      </c>
      <c r="AD88" s="174">
        <f t="shared" si="73"/>
        <v>0</v>
      </c>
      <c r="AE88" s="174">
        <f t="shared" si="73"/>
        <v>0</v>
      </c>
      <c r="AF88" s="174">
        <f t="shared" si="73"/>
        <v>0</v>
      </c>
      <c r="AG88" s="174">
        <f t="shared" si="73"/>
        <v>0</v>
      </c>
      <c r="AH88" s="179">
        <f t="shared" si="73"/>
        <v>0</v>
      </c>
      <c r="AI88" s="128"/>
    </row>
    <row r="89" spans="1:35">
      <c r="A89" s="9" t="s">
        <v>53</v>
      </c>
      <c r="B89" s="37"/>
      <c r="C89" s="415">
        <f t="shared" ref="C89:AH89" si="74">C37/C$49</f>
        <v>1.2459683756014698E-2</v>
      </c>
      <c r="D89" s="340">
        <f t="shared" si="74"/>
        <v>1.3799158974664267E-2</v>
      </c>
      <c r="E89" s="340">
        <f t="shared" si="74"/>
        <v>1.5282634145199469E-2</v>
      </c>
      <c r="F89" s="340">
        <f t="shared" si="74"/>
        <v>1.6925589946810447E-2</v>
      </c>
      <c r="G89" s="340">
        <f t="shared" si="74"/>
        <v>1.8745171305272507E-2</v>
      </c>
      <c r="H89" s="414">
        <f t="shared" si="74"/>
        <v>1.2843523008445035E-2</v>
      </c>
      <c r="I89" s="116">
        <f t="shared" si="74"/>
        <v>1.4224262770934028E-2</v>
      </c>
      <c r="J89" s="116">
        <f t="shared" si="74"/>
        <v>1.5753438619881901E-2</v>
      </c>
      <c r="K89" s="116">
        <f t="shared" si="74"/>
        <v>1.7447008140028235E-2</v>
      </c>
      <c r="L89" s="116">
        <f t="shared" si="74"/>
        <v>1.9322644432310833E-2</v>
      </c>
      <c r="M89" s="116">
        <f t="shared" si="74"/>
        <v>2.1399920540010053E-2</v>
      </c>
      <c r="N89" s="179">
        <f t="shared" si="74"/>
        <v>2.3700513701580141E-2</v>
      </c>
      <c r="O89" s="116">
        <f t="shared" si="74"/>
        <v>2.4681234891040151E-2</v>
      </c>
      <c r="P89" s="116">
        <f t="shared" si="74"/>
        <v>2.5702538072247944E-2</v>
      </c>
      <c r="Q89" s="116">
        <f t="shared" si="74"/>
        <v>2.6766102517632753E-2</v>
      </c>
      <c r="R89" s="116">
        <f t="shared" si="74"/>
        <v>2.7873676987487012E-2</v>
      </c>
      <c r="S89" s="116">
        <f t="shared" si="74"/>
        <v>2.9027082605356372E-2</v>
      </c>
      <c r="T89" s="116">
        <f t="shared" si="74"/>
        <v>3.0228215852412574E-2</v>
      </c>
      <c r="U89" s="116">
        <f t="shared" si="74"/>
        <v>3.1479051685732735E-2</v>
      </c>
      <c r="V89" s="116">
        <f t="shared" si="74"/>
        <v>3.2781646785612219E-2</v>
      </c>
      <c r="W89" s="116">
        <f t="shared" si="74"/>
        <v>3.4138142937250482E-2</v>
      </c>
      <c r="X89" s="179">
        <f t="shared" si="74"/>
        <v>3.5550770552370208E-2</v>
      </c>
      <c r="Y89" s="174">
        <f t="shared" si="74"/>
        <v>3.6588355660415836E-2</v>
      </c>
      <c r="Z89" s="174">
        <f t="shared" si="74"/>
        <v>3.7656223736726585E-2</v>
      </c>
      <c r="AA89" s="174">
        <f t="shared" si="74"/>
        <v>3.8755258620285719E-2</v>
      </c>
      <c r="AB89" s="174">
        <f t="shared" si="74"/>
        <v>3.9886369945808998E-2</v>
      </c>
      <c r="AC89" s="174">
        <f t="shared" si="74"/>
        <v>4.105049389661914E-2</v>
      </c>
      <c r="AD89" s="174">
        <f t="shared" si="74"/>
        <v>4.2248593979493716E-2</v>
      </c>
      <c r="AE89" s="174">
        <f t="shared" si="74"/>
        <v>4.3481661822127753E-2</v>
      </c>
      <c r="AF89" s="174">
        <f t="shared" si="74"/>
        <v>4.4750717993871064E-2</v>
      </c>
      <c r="AG89" s="174">
        <f t="shared" si="74"/>
        <v>4.6056812850419661E-2</v>
      </c>
      <c r="AH89" s="179">
        <f t="shared" si="74"/>
        <v>4.7401027403160281E-2</v>
      </c>
      <c r="AI89" s="128"/>
    </row>
    <row r="90" spans="1:35" s="253" customFormat="1">
      <c r="A90" s="10" t="s">
        <v>353</v>
      </c>
      <c r="B90" s="37"/>
      <c r="C90" s="415">
        <f t="shared" ref="C90:AH90" si="75">C38/C$49</f>
        <v>0</v>
      </c>
      <c r="D90" s="340">
        <f t="shared" si="75"/>
        <v>0</v>
      </c>
      <c r="E90" s="340">
        <f t="shared" si="75"/>
        <v>7.9345357222255326E-4</v>
      </c>
      <c r="F90" s="340">
        <f t="shared" si="75"/>
        <v>1.693776927015149E-3</v>
      </c>
      <c r="G90" s="340">
        <f t="shared" si="75"/>
        <v>2.1789577097247412E-3</v>
      </c>
      <c r="H90" s="414">
        <f t="shared" si="75"/>
        <v>2.6930418742507696E-3</v>
      </c>
      <c r="I90" s="401">
        <f t="shared" si="75"/>
        <v>3.1464538959181257E-3</v>
      </c>
      <c r="J90" s="401">
        <f t="shared" si="75"/>
        <v>3.6762043003481615E-3</v>
      </c>
      <c r="K90" s="401">
        <f t="shared" si="75"/>
        <v>4.2951457434131039E-3</v>
      </c>
      <c r="L90" s="401">
        <f t="shared" si="75"/>
        <v>5.0182948089725395E-3</v>
      </c>
      <c r="M90" s="401">
        <f t="shared" si="75"/>
        <v>5.863196337023255E-3</v>
      </c>
      <c r="N90" s="402">
        <f t="shared" si="75"/>
        <v>6.8503490916910492E-3</v>
      </c>
      <c r="O90" s="401">
        <f t="shared" si="75"/>
        <v>7.1338147833638621E-3</v>
      </c>
      <c r="P90" s="401">
        <f t="shared" si="75"/>
        <v>7.4290102127887326E-3</v>
      </c>
      <c r="Q90" s="401">
        <f t="shared" si="75"/>
        <v>7.7364207535109341E-3</v>
      </c>
      <c r="R90" s="401">
        <f t="shared" si="75"/>
        <v>8.0565518637087889E-3</v>
      </c>
      <c r="S90" s="401">
        <f t="shared" si="75"/>
        <v>8.3899299172906366E-3</v>
      </c>
      <c r="T90" s="401">
        <f t="shared" si="75"/>
        <v>8.73710306938239E-3</v>
      </c>
      <c r="U90" s="401">
        <f t="shared" si="75"/>
        <v>9.0986421576287387E-3</v>
      </c>
      <c r="V90" s="401">
        <f t="shared" si="75"/>
        <v>9.4751416407899709E-3</v>
      </c>
      <c r="W90" s="401">
        <f t="shared" si="75"/>
        <v>9.8672205761776901E-3</v>
      </c>
      <c r="X90" s="402">
        <f t="shared" si="75"/>
        <v>1.0275523637536576E-2</v>
      </c>
      <c r="Y90" s="401">
        <f t="shared" si="75"/>
        <v>1.0575425162539329E-2</v>
      </c>
      <c r="Z90" s="401">
        <f t="shared" si="75"/>
        <v>1.0884079616139356E-2</v>
      </c>
      <c r="AA90" s="401">
        <f t="shared" si="75"/>
        <v>1.1201742461389169E-2</v>
      </c>
      <c r="AB90" s="401">
        <f t="shared" si="75"/>
        <v>1.1528676617288213E-2</v>
      </c>
      <c r="AC90" s="401">
        <f t="shared" si="75"/>
        <v>1.1865152676392213E-2</v>
      </c>
      <c r="AD90" s="401">
        <f t="shared" si="75"/>
        <v>1.2211449128773651E-2</v>
      </c>
      <c r="AE90" s="401">
        <f t="shared" si="75"/>
        <v>1.2567852592518757E-2</v>
      </c>
      <c r="AF90" s="401">
        <f t="shared" si="75"/>
        <v>1.29346580509518E-2</v>
      </c>
      <c r="AG90" s="401">
        <f t="shared" si="75"/>
        <v>1.3312169096782994E-2</v>
      </c>
      <c r="AH90" s="402">
        <f t="shared" si="75"/>
        <v>1.3700698183382102E-2</v>
      </c>
      <c r="AI90" s="296"/>
    </row>
    <row r="91" spans="1:35" s="253" customFormat="1">
      <c r="A91" s="10" t="s">
        <v>354</v>
      </c>
      <c r="B91" s="37"/>
      <c r="C91" s="415">
        <f t="shared" ref="C91:AH91" si="76">C39/C$49</f>
        <v>0</v>
      </c>
      <c r="D91" s="340">
        <f t="shared" si="76"/>
        <v>0</v>
      </c>
      <c r="E91" s="340">
        <f t="shared" si="76"/>
        <v>7.1385194215306496E-6</v>
      </c>
      <c r="F91" s="340">
        <f t="shared" si="76"/>
        <v>7.2152064400796978E-6</v>
      </c>
      <c r="G91" s="340">
        <f t="shared" si="76"/>
        <v>7.0197701366441078E-6</v>
      </c>
      <c r="H91" s="414">
        <f t="shared" si="76"/>
        <v>7.1720352877045822E-6</v>
      </c>
      <c r="I91" s="401">
        <f t="shared" si="76"/>
        <v>7.9458387688542016E-6</v>
      </c>
      <c r="J91" s="401">
        <f t="shared" si="76"/>
        <v>8.8031292663694238E-6</v>
      </c>
      <c r="K91" s="401">
        <f t="shared" si="76"/>
        <v>9.7529143410475648E-6</v>
      </c>
      <c r="L91" s="401">
        <f t="shared" si="76"/>
        <v>1.0805173395237471E-5</v>
      </c>
      <c r="M91" s="401">
        <f t="shared" si="76"/>
        <v>1.1970962526531049E-5</v>
      </c>
      <c r="N91" s="402">
        <f t="shared" si="76"/>
        <v>1.3262530694303695E-5</v>
      </c>
      <c r="O91" s="401">
        <f t="shared" si="76"/>
        <v>1.381133081912547E-5</v>
      </c>
      <c r="P91" s="401">
        <f t="shared" si="76"/>
        <v>1.4382840152615373E-5</v>
      </c>
      <c r="Q91" s="401">
        <f t="shared" si="76"/>
        <v>1.4977998396014362E-5</v>
      </c>
      <c r="R91" s="401">
        <f t="shared" si="76"/>
        <v>1.5597784135160171E-5</v>
      </c>
      <c r="S91" s="401">
        <f t="shared" si="76"/>
        <v>1.6243216449521982E-5</v>
      </c>
      <c r="T91" s="401">
        <f t="shared" si="76"/>
        <v>1.6915356587816515E-5</v>
      </c>
      <c r="U91" s="401">
        <f t="shared" si="76"/>
        <v>1.7615309712960698E-5</v>
      </c>
      <c r="V91" s="401">
        <f t="shared" si="76"/>
        <v>1.8344226719230035E-5</v>
      </c>
      <c r="W91" s="401">
        <f t="shared" si="76"/>
        <v>1.9103306124610514E-5</v>
      </c>
      <c r="X91" s="402">
        <f t="shared" si="76"/>
        <v>1.9893796041455542E-5</v>
      </c>
      <c r="Y91" s="401">
        <f t="shared" si="76"/>
        <v>2.0474416551064584E-5</v>
      </c>
      <c r="Z91" s="401">
        <f t="shared" si="76"/>
        <v>2.10719830560722E-5</v>
      </c>
      <c r="AA91" s="401">
        <f t="shared" si="76"/>
        <v>2.1686990142452009E-5</v>
      </c>
      <c r="AB91" s="401">
        <f t="shared" si="76"/>
        <v>2.231994683116829E-5</v>
      </c>
      <c r="AC91" s="401">
        <f t="shared" si="76"/>
        <v>2.297137699947575E-5</v>
      </c>
      <c r="AD91" s="401">
        <f t="shared" si="76"/>
        <v>2.3641819814515345E-5</v>
      </c>
      <c r="AE91" s="401">
        <f t="shared" si="76"/>
        <v>2.4331830179565047E-5</v>
      </c>
      <c r="AF91" s="401">
        <f t="shared" si="76"/>
        <v>2.5041979193314868E-5</v>
      </c>
      <c r="AG91" s="401">
        <f t="shared" si="76"/>
        <v>2.5772854622546305E-5</v>
      </c>
      <c r="AH91" s="402">
        <f t="shared" si="76"/>
        <v>2.6525061388607391E-5</v>
      </c>
      <c r="AI91" s="296"/>
    </row>
    <row r="92" spans="1:35">
      <c r="A92" s="9" t="s">
        <v>350</v>
      </c>
      <c r="B92" s="37"/>
      <c r="C92" s="415">
        <f t="shared" ref="C92:AH92" si="77">C40/C$49</f>
        <v>7.4832935471559748E-10</v>
      </c>
      <c r="D92" s="340">
        <f t="shared" si="77"/>
        <v>8.2906792284814596E-10</v>
      </c>
      <c r="E92" s="340">
        <f t="shared" si="77"/>
        <v>9.1851751687192331E-10</v>
      </c>
      <c r="F92" s="340">
        <f t="shared" si="77"/>
        <v>1.0176179846667319E-9</v>
      </c>
      <c r="G92" s="340">
        <f t="shared" si="77"/>
        <v>1.1274105759504813E-9</v>
      </c>
      <c r="H92" s="414">
        <f t="shared" si="77"/>
        <v>7.1720352877045824E-10</v>
      </c>
      <c r="I92" s="116">
        <f t="shared" si="77"/>
        <v>7.9458387688542023E-10</v>
      </c>
      <c r="J92" s="116">
        <f t="shared" si="77"/>
        <v>8.8031292663694249E-10</v>
      </c>
      <c r="K92" s="116">
        <f t="shared" si="77"/>
        <v>9.7529143410475662E-10</v>
      </c>
      <c r="L92" s="116">
        <f t="shared" si="77"/>
        <v>1.0805173395237473E-9</v>
      </c>
      <c r="M92" s="116">
        <f t="shared" si="77"/>
        <v>1.1970962526531051E-9</v>
      </c>
      <c r="N92" s="179">
        <f t="shared" si="77"/>
        <v>1.3262530694303696E-9</v>
      </c>
      <c r="O92" s="116">
        <f t="shared" si="77"/>
        <v>1.3811330819125473E-9</v>
      </c>
      <c r="P92" s="116">
        <f t="shared" si="77"/>
        <v>1.4382840152615377E-9</v>
      </c>
      <c r="Q92" s="116">
        <f t="shared" si="77"/>
        <v>1.4977998396014365E-9</v>
      </c>
      <c r="R92" s="116">
        <f t="shared" si="77"/>
        <v>1.5597784135160178E-9</v>
      </c>
      <c r="S92" s="116">
        <f t="shared" si="77"/>
        <v>1.6243216449521989E-9</v>
      </c>
      <c r="T92" s="116">
        <f t="shared" si="77"/>
        <v>1.6915356587816521E-9</v>
      </c>
      <c r="U92" s="116">
        <f t="shared" si="77"/>
        <v>1.7615309712960706E-9</v>
      </c>
      <c r="V92" s="116">
        <f t="shared" si="77"/>
        <v>1.8344226719230045E-9</v>
      </c>
      <c r="W92" s="116">
        <f t="shared" si="77"/>
        <v>1.9103306124610521E-9</v>
      </c>
      <c r="X92" s="179">
        <f t="shared" si="77"/>
        <v>1.9893796041455545E-9</v>
      </c>
      <c r="Y92" s="174">
        <f t="shared" si="77"/>
        <v>2.0474416551064587E-9</v>
      </c>
      <c r="Z92" s="174">
        <f t="shared" si="77"/>
        <v>2.1071983056072202E-9</v>
      </c>
      <c r="AA92" s="174">
        <f t="shared" si="77"/>
        <v>2.168699014245201E-9</v>
      </c>
      <c r="AB92" s="174">
        <f t="shared" si="77"/>
        <v>2.231994683116829E-9</v>
      </c>
      <c r="AC92" s="174">
        <f t="shared" si="77"/>
        <v>2.2971376999475748E-9</v>
      </c>
      <c r="AD92" s="174">
        <f t="shared" si="77"/>
        <v>2.3641819814515342E-9</v>
      </c>
      <c r="AE92" s="174">
        <f t="shared" si="77"/>
        <v>2.4331830179565044E-9</v>
      </c>
      <c r="AF92" s="174">
        <f t="shared" si="77"/>
        <v>2.5041979193314862E-9</v>
      </c>
      <c r="AG92" s="174">
        <f t="shared" si="77"/>
        <v>2.57728546225463E-9</v>
      </c>
      <c r="AH92" s="179">
        <f t="shared" si="77"/>
        <v>2.6525061388607396E-9</v>
      </c>
      <c r="AI92" s="128"/>
    </row>
    <row r="93" spans="1:35">
      <c r="A93" s="9" t="s">
        <v>126</v>
      </c>
      <c r="B93" s="37"/>
      <c r="C93" s="415">
        <f t="shared" ref="C93:AH93" si="78">C41/C$49</f>
        <v>0</v>
      </c>
      <c r="D93" s="340">
        <f t="shared" si="78"/>
        <v>0</v>
      </c>
      <c r="E93" s="340">
        <f t="shared" si="78"/>
        <v>0</v>
      </c>
      <c r="F93" s="340">
        <f t="shared" si="78"/>
        <v>0</v>
      </c>
      <c r="G93" s="340">
        <f t="shared" si="78"/>
        <v>0</v>
      </c>
      <c r="H93" s="414">
        <f t="shared" si="78"/>
        <v>7.1720352877045822E-6</v>
      </c>
      <c r="I93" s="116">
        <f t="shared" si="78"/>
        <v>1.433401078974028E-5</v>
      </c>
      <c r="J93" s="116">
        <f t="shared" si="78"/>
        <v>2.2211749957977218E-5</v>
      </c>
      <c r="K93" s="116">
        <f t="shared" si="78"/>
        <v>3.0122421285406551E-5</v>
      </c>
      <c r="L93" s="116">
        <f t="shared" si="78"/>
        <v>3.6896185983696807E-5</v>
      </c>
      <c r="M93" s="116">
        <f t="shared" si="78"/>
        <v>4.4511291502022175E-5</v>
      </c>
      <c r="N93" s="179">
        <f t="shared" si="78"/>
        <v>5.2191781953590883E-5</v>
      </c>
      <c r="O93" s="116">
        <f t="shared" si="78"/>
        <v>5.9798014118415779E-5</v>
      </c>
      <c r="P93" s="116">
        <f t="shared" si="78"/>
        <v>6.7719063552196701E-5</v>
      </c>
      <c r="Q93" s="116">
        <f t="shared" si="78"/>
        <v>7.5043262816229872E-5</v>
      </c>
      <c r="R93" s="116">
        <f t="shared" si="78"/>
        <v>8.1702884193514912E-5</v>
      </c>
      <c r="S93" s="116">
        <f t="shared" si="78"/>
        <v>8.9028758344025639E-5</v>
      </c>
      <c r="T93" s="116">
        <f t="shared" si="78"/>
        <v>9.6892176001507334E-5</v>
      </c>
      <c r="U93" s="116">
        <f t="shared" si="78"/>
        <v>1.0623669660452189E-4</v>
      </c>
      <c r="V93" s="116">
        <f t="shared" si="78"/>
        <v>1.126340113835741E-4</v>
      </c>
      <c r="W93" s="116">
        <f t="shared" si="78"/>
        <v>1.214616669673982E-4</v>
      </c>
      <c r="X93" s="179">
        <f t="shared" si="78"/>
        <v>1.2802170187742922E-4</v>
      </c>
      <c r="Y93" s="174">
        <f t="shared" si="78"/>
        <v>1.3584887000381629E-4</v>
      </c>
      <c r="Z93" s="174">
        <f t="shared" si="78"/>
        <v>1.4048544434747497E-4</v>
      </c>
      <c r="AA93" s="174">
        <f t="shared" si="78"/>
        <v>1.4604290612064066E-4</v>
      </c>
      <c r="AB93" s="174">
        <f t="shared" si="78"/>
        <v>1.531242364523751E-4</v>
      </c>
      <c r="AC93" s="174">
        <f t="shared" si="78"/>
        <v>1.5802254948740104E-4</v>
      </c>
      <c r="AD93" s="174">
        <f t="shared" si="78"/>
        <v>1.6489961553081076E-4</v>
      </c>
      <c r="AE93" s="174">
        <f t="shared" si="78"/>
        <v>1.7087915101769642E-4</v>
      </c>
      <c r="AF93" s="174">
        <f t="shared" si="78"/>
        <v>1.781913819919162E-4</v>
      </c>
      <c r="AG93" s="174">
        <f t="shared" si="78"/>
        <v>1.8402826866728607E-4</v>
      </c>
      <c r="AH93" s="179">
        <f t="shared" si="78"/>
        <v>1.9025470045024549E-4</v>
      </c>
      <c r="AI93" s="128"/>
    </row>
    <row r="94" spans="1:35">
      <c r="A94" s="9" t="s">
        <v>55</v>
      </c>
      <c r="B94" s="37"/>
      <c r="C94" s="415">
        <f t="shared" ref="C94:AH94" si="79">C42/C$49</f>
        <v>4.0110453412756019E-3</v>
      </c>
      <c r="D94" s="340">
        <f t="shared" si="79"/>
        <v>4.4754607608450524E-3</v>
      </c>
      <c r="E94" s="340">
        <f t="shared" si="79"/>
        <v>2.0227829987679413E-2</v>
      </c>
      <c r="F94" s="340">
        <f t="shared" si="79"/>
        <v>2.1756444891158716E-2</v>
      </c>
      <c r="G94" s="340">
        <f t="shared" si="79"/>
        <v>2.4523033469835802E-2</v>
      </c>
      <c r="H94" s="414">
        <f t="shared" si="79"/>
        <v>2.6780745538088582E-2</v>
      </c>
      <c r="I94" s="116">
        <f t="shared" si="79"/>
        <v>2.9881531023474982E-2</v>
      </c>
      <c r="J94" s="116">
        <f t="shared" si="79"/>
        <v>3.3341338277419245E-2</v>
      </c>
      <c r="K94" s="116">
        <f t="shared" si="79"/>
        <v>3.7201736325223493E-2</v>
      </c>
      <c r="L94" s="116">
        <f t="shared" si="79"/>
        <v>4.1509107225871616E-2</v>
      </c>
      <c r="M94" s="116">
        <f t="shared" si="79"/>
        <v>4.6315203344976026E-2</v>
      </c>
      <c r="N94" s="179">
        <f t="shared" si="79"/>
        <v>5.167776915109102E-2</v>
      </c>
      <c r="O94" s="116">
        <f t="shared" si="79"/>
        <v>5.3816182008662082E-2</v>
      </c>
      <c r="P94" s="116">
        <f t="shared" si="79"/>
        <v>5.6043081842829495E-2</v>
      </c>
      <c r="Q94" s="116">
        <f t="shared" si="79"/>
        <v>5.8362130222031496E-2</v>
      </c>
      <c r="R94" s="116">
        <f t="shared" si="79"/>
        <v>6.0777140229470887E-2</v>
      </c>
      <c r="S94" s="116">
        <f t="shared" si="79"/>
        <v>6.3292082732757229E-2</v>
      </c>
      <c r="T94" s="116">
        <f t="shared" si="79"/>
        <v>6.5911092912985192E-2</v>
      </c>
      <c r="U94" s="116">
        <f t="shared" si="79"/>
        <v>6.8638477063984515E-2</v>
      </c>
      <c r="V94" s="116">
        <f t="shared" si="79"/>
        <v>7.1478719672921145E-2</v>
      </c>
      <c r="W94" s="116">
        <f t="shared" si="79"/>
        <v>7.4436490793891905E-2</v>
      </c>
      <c r="X94" s="179">
        <f t="shared" si="79"/>
        <v>7.751665372663652E-2</v>
      </c>
      <c r="Y94" s="174">
        <f t="shared" si="79"/>
        <v>7.9779055477220376E-2</v>
      </c>
      <c r="Z94" s="174">
        <f t="shared" si="79"/>
        <v>8.2107487705578672E-2</v>
      </c>
      <c r="AA94" s="174">
        <f t="shared" si="79"/>
        <v>8.4503877577827666E-2</v>
      </c>
      <c r="AB94" s="174">
        <f t="shared" si="79"/>
        <v>8.6970208506371174E-2</v>
      </c>
      <c r="AC94" s="174">
        <f t="shared" si="79"/>
        <v>8.950852179150523E-2</v>
      </c>
      <c r="AD94" s="174">
        <f t="shared" si="79"/>
        <v>9.212091831093458E-2</v>
      </c>
      <c r="AE94" s="174">
        <f t="shared" si="79"/>
        <v>9.4809560258599504E-2</v>
      </c>
      <c r="AF94" s="174">
        <f t="shared" si="79"/>
        <v>9.7576672934251998E-2</v>
      </c>
      <c r="AG94" s="174">
        <f t="shared" si="79"/>
        <v>0.10042454658526259</v>
      </c>
      <c r="AH94" s="179">
        <f t="shared" si="79"/>
        <v>0.10335553830218203</v>
      </c>
      <c r="AI94" s="128"/>
    </row>
    <row r="95" spans="1:35" s="383" customFormat="1">
      <c r="A95" s="378" t="s">
        <v>547</v>
      </c>
      <c r="B95" s="379"/>
      <c r="C95" s="380">
        <f>SUM(C86:C94)</f>
        <v>2.0482523516249972E-2</v>
      </c>
      <c r="D95" s="380">
        <f>SUM(D86:D94)</f>
        <v>2.32489253688263E-2</v>
      </c>
      <c r="E95" s="380">
        <f>SUM(E86:E94)</f>
        <v>4.2478812182021139E-2</v>
      </c>
      <c r="F95" s="380">
        <f>SUM(F86:F94)</f>
        <v>4.8030583903110359E-2</v>
      </c>
      <c r="G95" s="380">
        <f t="shared" ref="G95:AH95" si="80">SUM(G86:G94)</f>
        <v>5.4936597950474411E-2</v>
      </c>
      <c r="H95" s="380">
        <f t="shared" si="80"/>
        <v>4.7218328623876128E-2</v>
      </c>
      <c r="I95" s="380">
        <f t="shared" si="80"/>
        <v>5.3333640040319548E-2</v>
      </c>
      <c r="J95" s="380">
        <f t="shared" si="80"/>
        <v>6.031485747613112E-2</v>
      </c>
      <c r="K95" s="380">
        <f t="shared" si="80"/>
        <v>6.8299184333501822E-2</v>
      </c>
      <c r="L95" s="380">
        <f t="shared" si="80"/>
        <v>7.7448226138079349E-2</v>
      </c>
      <c r="M95" s="380">
        <f t="shared" si="80"/>
        <v>8.795661782490688E-2</v>
      </c>
      <c r="N95" s="381">
        <f t="shared" si="80"/>
        <v>0.1000521917819536</v>
      </c>
      <c r="O95" s="380">
        <f t="shared" si="80"/>
        <v>0.10419777241335951</v>
      </c>
      <c r="P95" s="380">
        <f t="shared" si="80"/>
        <v>0.10851489618332209</v>
      </c>
      <c r="Q95" s="380">
        <f t="shared" si="80"/>
        <v>0.11300973680850182</v>
      </c>
      <c r="R95" s="380">
        <f t="shared" si="80"/>
        <v>0.11768960513666091</v>
      </c>
      <c r="S95" s="380">
        <f t="shared" si="80"/>
        <v>0.12256351589750297</v>
      </c>
      <c r="T95" s="380">
        <f t="shared" si="80"/>
        <v>0.12763934223858064</v>
      </c>
      <c r="U95" s="380">
        <f t="shared" si="80"/>
        <v>0.13292636069093799</v>
      </c>
      <c r="V95" s="380">
        <f t="shared" si="80"/>
        <v>0.13842882073364282</v>
      </c>
      <c r="W95" s="380">
        <f t="shared" si="80"/>
        <v>0.14416113678580017</v>
      </c>
      <c r="X95" s="381">
        <f t="shared" si="80"/>
        <v>0.15012802170187745</v>
      </c>
      <c r="Y95" s="380">
        <f t="shared" si="80"/>
        <v>0.15451375021471792</v>
      </c>
      <c r="Z95" s="380">
        <f t="shared" si="80"/>
        <v>0.15902406160166932</v>
      </c>
      <c r="AA95" s="380">
        <f t="shared" si="80"/>
        <v>0.16366679654152333</v>
      </c>
      <c r="AB95" s="380">
        <f t="shared" si="80"/>
        <v>0.16844639605338235</v>
      </c>
      <c r="AC95" s="380">
        <f t="shared" si="80"/>
        <v>0.17336310330637519</v>
      </c>
      <c r="AD95" s="380">
        <f t="shared" si="80"/>
        <v>0.17842514541213123</v>
      </c>
      <c r="AE95" s="380">
        <f t="shared" si="80"/>
        <v>0.18363383007949813</v>
      </c>
      <c r="AF95" s="380">
        <f t="shared" si="80"/>
        <v>0.18899569364097241</v>
      </c>
      <c r="AG95" s="380">
        <f t="shared" si="80"/>
        <v>0.19451235984128212</v>
      </c>
      <c r="AH95" s="381">
        <f t="shared" si="80"/>
        <v>0.20019025470045027</v>
      </c>
      <c r="AI95" s="382"/>
    </row>
    <row r="96" spans="1:35">
      <c r="A96" s="10" t="s">
        <v>550</v>
      </c>
      <c r="B96" s="37"/>
      <c r="C96" s="336"/>
      <c r="D96" s="336">
        <f>D95/C95-1</f>
        <v>0.13506157336431612</v>
      </c>
      <c r="E96" s="336">
        <f t="shared" ref="E96:O96" si="81">E95/D95-1</f>
        <v>0.82713013647415923</v>
      </c>
      <c r="F96" s="336">
        <f t="shared" si="81"/>
        <v>0.13069507916793799</v>
      </c>
      <c r="G96" s="336">
        <f t="shared" si="81"/>
        <v>0.14378367877632314</v>
      </c>
      <c r="H96" s="285"/>
      <c r="I96" s="165">
        <f t="shared" si="81"/>
        <v>0.12951139090830055</v>
      </c>
      <c r="J96" s="165">
        <f t="shared" si="81"/>
        <v>0.13089707416433338</v>
      </c>
      <c r="K96" s="165">
        <f t="shared" si="81"/>
        <v>0.13237744714111943</v>
      </c>
      <c r="L96" s="165">
        <f t="shared" si="81"/>
        <v>0.13395535969951222</v>
      </c>
      <c r="M96" s="165">
        <f t="shared" si="81"/>
        <v>0.1356827936651841</v>
      </c>
      <c r="N96" s="165">
        <f t="shared" si="81"/>
        <v>0.13751749733175367</v>
      </c>
      <c r="O96" s="173">
        <f t="shared" si="81"/>
        <v>4.1434181076617227E-2</v>
      </c>
      <c r="P96" s="173">
        <f t="shared" ref="P96:AH96" si="82">P95/O95-1</f>
        <v>4.1432015963222879E-2</v>
      </c>
      <c r="Q96" s="173">
        <f t="shared" si="82"/>
        <v>4.1421415706708764E-2</v>
      </c>
      <c r="R96" s="173">
        <f t="shared" si="82"/>
        <v>4.1411195710412629E-2</v>
      </c>
      <c r="S96" s="173">
        <f t="shared" si="82"/>
        <v>4.1413264622499835E-2</v>
      </c>
      <c r="T96" s="173">
        <f t="shared" si="82"/>
        <v>4.1413844111019671E-2</v>
      </c>
      <c r="U96" s="173">
        <f t="shared" si="82"/>
        <v>4.142154260302422E-2</v>
      </c>
      <c r="V96" s="173">
        <f t="shared" si="82"/>
        <v>4.1394799452144637E-2</v>
      </c>
      <c r="W96" s="173">
        <f t="shared" si="82"/>
        <v>4.1409845303725934E-2</v>
      </c>
      <c r="X96" s="186">
        <f t="shared" si="82"/>
        <v>4.1390384739703467E-2</v>
      </c>
      <c r="Y96" s="173">
        <f t="shared" si="82"/>
        <v>2.9213257212898025E-2</v>
      </c>
      <c r="Z96" s="173">
        <f t="shared" si="82"/>
        <v>2.9190356073059531E-2</v>
      </c>
      <c r="AA96" s="173">
        <f t="shared" si="82"/>
        <v>2.9195172687032311E-2</v>
      </c>
      <c r="AB96" s="173">
        <f t="shared" si="82"/>
        <v>2.9203232499552367E-2</v>
      </c>
      <c r="AC96" s="173">
        <f t="shared" si="82"/>
        <v>2.918855712077506E-2</v>
      </c>
      <c r="AD96" s="173">
        <f t="shared" si="82"/>
        <v>2.9199074135227931E-2</v>
      </c>
      <c r="AE96" s="173">
        <f t="shared" si="82"/>
        <v>2.9192548255100093E-2</v>
      </c>
      <c r="AF96" s="173">
        <f t="shared" si="82"/>
        <v>2.9198669761193008E-2</v>
      </c>
      <c r="AG96" s="173">
        <f t="shared" si="82"/>
        <v>2.9189375133538809E-2</v>
      </c>
      <c r="AH96" s="186">
        <f t="shared" si="82"/>
        <v>2.9190406531498514E-2</v>
      </c>
      <c r="AI96" s="128"/>
    </row>
    <row r="97" spans="1:36">
      <c r="A97" s="10"/>
      <c r="B97" s="37"/>
      <c r="C97" s="336"/>
      <c r="D97" s="336"/>
      <c r="E97" s="336"/>
      <c r="F97" s="336"/>
      <c r="G97" s="336"/>
      <c r="H97" s="285"/>
      <c r="I97" s="165"/>
      <c r="J97" s="165"/>
      <c r="K97" s="165"/>
      <c r="L97" s="165"/>
      <c r="M97" s="165"/>
      <c r="N97" s="181"/>
      <c r="O97" s="165"/>
      <c r="P97" s="165"/>
      <c r="Q97" s="165"/>
      <c r="R97" s="165"/>
      <c r="S97" s="165"/>
      <c r="T97" s="165"/>
      <c r="U97" s="165"/>
      <c r="V97" s="165"/>
      <c r="W97" s="165"/>
      <c r="X97" s="186"/>
      <c r="AI97" s="128"/>
    </row>
    <row r="98" spans="1:36">
      <c r="A98" s="10"/>
      <c r="B98" s="37"/>
      <c r="C98" s="336"/>
      <c r="D98" s="336"/>
      <c r="E98" s="336"/>
      <c r="F98" s="336"/>
      <c r="G98" s="336"/>
      <c r="H98" s="285"/>
      <c r="I98" s="173"/>
      <c r="J98" s="173"/>
      <c r="K98" s="173"/>
      <c r="L98" s="173"/>
      <c r="M98" s="173"/>
      <c r="N98" s="186"/>
      <c r="O98" s="173"/>
      <c r="P98" s="173"/>
      <c r="Q98" s="173"/>
      <c r="R98" s="173"/>
      <c r="S98" s="173"/>
      <c r="T98" s="173"/>
      <c r="U98" s="173"/>
      <c r="V98" s="173"/>
      <c r="W98" s="173"/>
      <c r="X98" s="186"/>
      <c r="AI98" s="128"/>
    </row>
    <row r="99" spans="1:36">
      <c r="A99" s="1" t="s">
        <v>145</v>
      </c>
      <c r="C99" s="332">
        <v>2009</v>
      </c>
      <c r="D99" s="332">
        <v>2010</v>
      </c>
      <c r="E99" s="332">
        <v>2011</v>
      </c>
      <c r="F99" s="332">
        <v>2012</v>
      </c>
      <c r="G99" s="332">
        <v>2013</v>
      </c>
      <c r="H99" s="405">
        <v>2014</v>
      </c>
      <c r="I99" s="13">
        <v>2015</v>
      </c>
      <c r="J99" s="13">
        <v>2016</v>
      </c>
      <c r="K99" s="13">
        <v>2017</v>
      </c>
      <c r="L99" s="13">
        <v>2018</v>
      </c>
      <c r="M99" s="13">
        <v>2019</v>
      </c>
      <c r="N99" s="177">
        <v>2020</v>
      </c>
      <c r="O99" s="13">
        <v>2021</v>
      </c>
      <c r="P99" s="13">
        <v>2022</v>
      </c>
      <c r="Q99" s="13">
        <v>2023</v>
      </c>
      <c r="R99" s="13">
        <v>2024</v>
      </c>
      <c r="S99" s="13">
        <v>2025</v>
      </c>
      <c r="T99" s="13">
        <v>2026</v>
      </c>
      <c r="U99" s="13">
        <v>2027</v>
      </c>
      <c r="V99" s="13">
        <v>2028</v>
      </c>
      <c r="W99" s="13">
        <v>2029</v>
      </c>
      <c r="X99" s="177">
        <v>2030</v>
      </c>
      <c r="Y99" s="13">
        <v>2031</v>
      </c>
      <c r="Z99" s="13">
        <v>2032</v>
      </c>
      <c r="AA99" s="13">
        <v>2033</v>
      </c>
      <c r="AB99" s="13">
        <v>2034</v>
      </c>
      <c r="AC99" s="13">
        <v>2035</v>
      </c>
      <c r="AD99" s="13">
        <v>2036</v>
      </c>
      <c r="AE99" s="13">
        <v>2037</v>
      </c>
      <c r="AF99" s="13">
        <v>2038</v>
      </c>
      <c r="AG99" s="13">
        <v>2039</v>
      </c>
      <c r="AH99" s="177">
        <v>2040</v>
      </c>
      <c r="AI99" s="1"/>
    </row>
    <row r="100" spans="1:36">
      <c r="A100" s="10" t="s">
        <v>63</v>
      </c>
      <c r="B100" s="35">
        <v>0</v>
      </c>
      <c r="C100" s="335">
        <v>0</v>
      </c>
      <c r="D100" s="335">
        <f xml:space="preserve"> IF(D29*Inputs!$C44 &gt; 0, D29*Inputs!$C44, 0)</f>
        <v>0</v>
      </c>
      <c r="E100" s="335">
        <f xml:space="preserve"> IF(E29*Inputs!$C44 &gt; 0, E29*Inputs!$C44, 0)</f>
        <v>0</v>
      </c>
      <c r="F100" s="335">
        <f xml:space="preserve"> IF(F29*Inputs!$C44 &gt; 0, F29*Inputs!$C44, 0)</f>
        <v>0</v>
      </c>
      <c r="G100" s="335">
        <f xml:space="preserve"> IF(G29*Inputs!$C44 &gt; 0, G29*Inputs!$C44, 0)</f>
        <v>0</v>
      </c>
      <c r="H100" s="407">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3">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8">
        <f xml:space="preserve"> IF(X29*Inputs!$C44 &gt; 0, X29*Inputs!$C44, 0)</f>
        <v>0</v>
      </c>
    </row>
    <row r="101" spans="1:36">
      <c r="A101" s="10" t="s">
        <v>62</v>
      </c>
      <c r="B101" s="35">
        <v>0</v>
      </c>
      <c r="C101" s="335">
        <v>0</v>
      </c>
      <c r="D101" s="335">
        <f>D30*Inputs!$C47</f>
        <v>0</v>
      </c>
      <c r="E101" s="335">
        <f>E30*Inputs!$C47</f>
        <v>0</v>
      </c>
      <c r="F101" s="335">
        <f>F30*Inputs!$C47</f>
        <v>0</v>
      </c>
      <c r="G101" s="335">
        <f>G30*Inputs!$C47</f>
        <v>0</v>
      </c>
      <c r="H101" s="407">
        <f>H30*Inputs!$C47</f>
        <v>0</v>
      </c>
      <c r="I101" s="14">
        <f>I30*Inputs!$C47</f>
        <v>0</v>
      </c>
      <c r="J101" s="14">
        <f>J30*Inputs!$C47</f>
        <v>0</v>
      </c>
      <c r="K101" s="14">
        <f>K30*Inputs!$C47</f>
        <v>0</v>
      </c>
      <c r="L101" s="14">
        <f>L30*Inputs!$C47</f>
        <v>0</v>
      </c>
      <c r="M101" s="14">
        <f>M30*Inputs!$C47</f>
        <v>0</v>
      </c>
      <c r="N101" s="183">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8">
        <f>X30*Inputs!$C47</f>
        <v>0</v>
      </c>
    </row>
    <row r="102" spans="1:36">
      <c r="A102" s="10" t="s">
        <v>51</v>
      </c>
      <c r="B102" s="35">
        <v>0</v>
      </c>
      <c r="C102" s="335">
        <f>C31*Inputs!$C$48</f>
        <v>4142.2499849999995</v>
      </c>
      <c r="D102" s="335">
        <f>D31*Inputs!$C$48</f>
        <v>4279.0220606890498</v>
      </c>
      <c r="E102" s="335">
        <f>E31*Inputs!$C$48</f>
        <v>4377.1359185192441</v>
      </c>
      <c r="F102" s="335">
        <f>F31*Inputs!$C$48</f>
        <v>4347.8407189508371</v>
      </c>
      <c r="G102" s="335">
        <f>G31*Inputs!$C$48</f>
        <v>4486.5951923686698</v>
      </c>
      <c r="H102" s="407">
        <f>H31*Inputs!$C$48</f>
        <v>4121.7026849999993</v>
      </c>
      <c r="I102" s="14">
        <f>I31*Inputs!$C$48</f>
        <v>4189.8006365460378</v>
      </c>
      <c r="J102" s="14">
        <f>J31*Inputs!$C$48</f>
        <v>4118.8538255509065</v>
      </c>
      <c r="K102" s="14">
        <f>K31*Inputs!$C$48</f>
        <v>4111.618624386565</v>
      </c>
      <c r="L102" s="14">
        <f>L31*Inputs!$C$48</f>
        <v>4259.2889911942457</v>
      </c>
      <c r="M102" s="14">
        <f>M31*Inputs!$C$48</f>
        <v>4299.7130852529408</v>
      </c>
      <c r="N102" s="183">
        <f>N31*Inputs!$C$48</f>
        <v>4340.8117350000002</v>
      </c>
      <c r="O102" s="14">
        <f>O31*Inputs!$C$48</f>
        <v>4335.4574587706693</v>
      </c>
      <c r="P102" s="14">
        <f>P31*Inputs!$C$48</f>
        <v>4312.4018582604112</v>
      </c>
      <c r="Q102" s="14">
        <f>Q31*Inputs!$C$48</f>
        <v>4329.4347140621339</v>
      </c>
      <c r="R102" s="14">
        <f>R31*Inputs!$C$48</f>
        <v>4379.7844425489748</v>
      </c>
      <c r="S102" s="14">
        <f>S31*Inputs!$C$48</f>
        <v>4390.3808701783109</v>
      </c>
      <c r="T102" s="14">
        <f>T31*Inputs!$C$48</f>
        <v>4375.8158178641806</v>
      </c>
      <c r="U102" s="14">
        <f>U31*Inputs!$C$48</f>
        <v>4303.3858567726984</v>
      </c>
      <c r="V102" s="14">
        <f>V31*Inputs!$C$48</f>
        <v>4354.4191962543382</v>
      </c>
      <c r="W102" s="14">
        <f>W31*Inputs!$C$48</f>
        <v>4312.6110525069125</v>
      </c>
      <c r="X102" s="188">
        <f>X31*Inputs!$C$48</f>
        <v>4352.864926533608</v>
      </c>
      <c r="Y102" s="159">
        <f>Y31*Inputs!$C$48</f>
        <v>4315.4375993649337</v>
      </c>
      <c r="Z102" s="159">
        <f>Z31*Inputs!$C$48</f>
        <v>4376.3389348686751</v>
      </c>
      <c r="AA102" s="159">
        <f>AA31*Inputs!$C$48</f>
        <v>4402.507374851205</v>
      </c>
      <c r="AB102" s="159">
        <f>AB31*Inputs!$C$48</f>
        <v>4379.9498437742577</v>
      </c>
      <c r="AC102" s="159">
        <f>AC31*Inputs!$C$48</f>
        <v>4416.9419807788909</v>
      </c>
      <c r="AD102" s="159">
        <f>AD31*Inputs!$C$48</f>
        <v>4395.7339775866394</v>
      </c>
      <c r="AE102" s="159">
        <f>AE31*Inputs!$C$48</f>
        <v>4396.742969932402</v>
      </c>
      <c r="AF102" s="159">
        <f>AF31*Inputs!$C$48</f>
        <v>4362.4277069236878</v>
      </c>
      <c r="AG102" s="159">
        <f>AG31*Inputs!$C$48</f>
        <v>4363.2469982420107</v>
      </c>
      <c r="AH102" s="188">
        <f>AH31*Inputs!$C$48</f>
        <v>4352.864926533608</v>
      </c>
    </row>
    <row r="103" spans="1:36">
      <c r="A103" s="10" t="s">
        <v>61</v>
      </c>
      <c r="B103" s="35">
        <v>0</v>
      </c>
      <c r="C103" s="335">
        <f>C32*Inputs!$C$53</f>
        <v>6087.9000000000005</v>
      </c>
      <c r="D103" s="335">
        <f>D32*Inputs!$C$53</f>
        <v>6195.075491215649</v>
      </c>
      <c r="E103" s="335">
        <f>E32*Inputs!$C$53</f>
        <v>6241.8950801893579</v>
      </c>
      <c r="F103" s="335">
        <f>F32*Inputs!$C$53</f>
        <v>6106.2788512923598</v>
      </c>
      <c r="G103" s="335">
        <f>G32*Inputs!$C$53</f>
        <v>6205.0800639562558</v>
      </c>
      <c r="H103" s="407">
        <f>H32*Inputs!$C$53</f>
        <v>5692.2034400000011</v>
      </c>
      <c r="I103" s="14">
        <f>I32*Inputs!$C$53</f>
        <v>5678.4029639338778</v>
      </c>
      <c r="J103" s="14">
        <f>J32*Inputs!$C$53</f>
        <v>5479.4789461166656</v>
      </c>
      <c r="K103" s="14">
        <f>K32*Inputs!$C$53</f>
        <v>5370.3606060284746</v>
      </c>
      <c r="L103" s="14">
        <f>L32*Inputs!$C$53</f>
        <v>5463.2377063900531</v>
      </c>
      <c r="M103" s="14">
        <f>M32*Inputs!$C$53</f>
        <v>5417.0957006831486</v>
      </c>
      <c r="N103" s="183">
        <f>N32*Inputs!$C$53</f>
        <v>5372.8025400000006</v>
      </c>
      <c r="O103" s="14">
        <f>O32*Inputs!$C$53</f>
        <v>5366.1753304638542</v>
      </c>
      <c r="P103" s="14">
        <f>P32*Inputs!$C$53</f>
        <v>5337.6384584350699</v>
      </c>
      <c r="Q103" s="14">
        <f>Q32*Inputs!$C$53</f>
        <v>5358.7207297939212</v>
      </c>
      <c r="R103" s="14">
        <f>R32*Inputs!$C$53</f>
        <v>5421.0406749141403</v>
      </c>
      <c r="S103" s="14">
        <f>S32*Inputs!$C$53</f>
        <v>5434.1563124394397</v>
      </c>
      <c r="T103" s="14">
        <f>T32*Inputs!$C$53</f>
        <v>5416.1285437072429</v>
      </c>
      <c r="U103" s="14">
        <f>U32*Inputs!$C$53</f>
        <v>5326.4789798280535</v>
      </c>
      <c r="V103" s="14">
        <f>V32*Inputs!$C$53</f>
        <v>5389.6450586010214</v>
      </c>
      <c r="W103" s="14">
        <f>W32*Inputs!$C$53</f>
        <v>5337.8973868216435</v>
      </c>
      <c r="X103" s="188">
        <f>X32*Inputs!$C$53</f>
        <v>5387.7212745686347</v>
      </c>
      <c r="Y103" s="159">
        <f>Y32*Inputs!$C$53</f>
        <v>5341.3959209819141</v>
      </c>
      <c r="Z103" s="159">
        <f>Z32*Inputs!$C$53</f>
        <v>5416.7760272983414</v>
      </c>
      <c r="AA103" s="159">
        <f>AA32*Inputs!$C$53</f>
        <v>5449.1657897181985</v>
      </c>
      <c r="AB103" s="159">
        <f>AB32*Inputs!$C$53</f>
        <v>5421.2453988638472</v>
      </c>
      <c r="AC103" s="159">
        <f>AC32*Inputs!$C$53</f>
        <v>5467.0320995530265</v>
      </c>
      <c r="AD103" s="159">
        <f>AD32*Inputs!$C$53</f>
        <v>5440.782075277406</v>
      </c>
      <c r="AE103" s="159">
        <f>AE32*Inputs!$C$53</f>
        <v>5442.030946909972</v>
      </c>
      <c r="AF103" s="159">
        <f>AF32*Inputs!$C$53</f>
        <v>5399.5575240781518</v>
      </c>
      <c r="AG103" s="159">
        <f>AG32*Inputs!$C$53</f>
        <v>5400.5715948890556</v>
      </c>
      <c r="AH103" s="188">
        <f>AH32*Inputs!$C$53</f>
        <v>5387.7212745686347</v>
      </c>
    </row>
    <row r="104" spans="1:36">
      <c r="A104" s="10" t="s">
        <v>127</v>
      </c>
      <c r="B104" s="35">
        <v>1</v>
      </c>
      <c r="C104" s="335">
        <f>C34*Inputs!$C$46</f>
        <v>112.56</v>
      </c>
      <c r="D104" s="335">
        <f>D34*Inputs!$C$46</f>
        <v>143.60075644718233</v>
      </c>
      <c r="E104" s="335">
        <f>E34*Inputs!$C$46</f>
        <v>181.41516371047595</v>
      </c>
      <c r="F104" s="335">
        <f>F34*Inputs!$C$46</f>
        <v>222.55399835236869</v>
      </c>
      <c r="G104" s="335">
        <f>G34*Inputs!$C$46</f>
        <v>283.63753574852501</v>
      </c>
      <c r="H104" s="407">
        <f>H34*Inputs!$C$46</f>
        <v>143.06271000000001</v>
      </c>
      <c r="I104" s="14">
        <f>I34*Inputs!$C$46</f>
        <v>177.51439067214395</v>
      </c>
      <c r="J104" s="14">
        <f>J34*Inputs!$C$46</f>
        <v>213.06504614651539</v>
      </c>
      <c r="K104" s="14">
        <f>K34*Inputs!$C$46</f>
        <v>259.74444898551246</v>
      </c>
      <c r="L104" s="14">
        <f>L34*Inputs!$C$46</f>
        <v>328.67534207279431</v>
      </c>
      <c r="M104" s="14">
        <f>M34*Inputs!$C$46</f>
        <v>405.37977850261996</v>
      </c>
      <c r="N104" s="183">
        <f>N34*Inputs!$C$46</f>
        <v>500.12593176591031</v>
      </c>
      <c r="O104" s="14">
        <f>O34*Inputs!$C$46</f>
        <v>519.51227079210707</v>
      </c>
      <c r="P104" s="14">
        <f>P34*Inputs!$C$46</f>
        <v>537.44407058451361</v>
      </c>
      <c r="Q104" s="14">
        <f>Q34*Inputs!$C$46</f>
        <v>561.17604976378459</v>
      </c>
      <c r="R104" s="14">
        <f>R34*Inputs!$C$46</f>
        <v>590.43930370958822</v>
      </c>
      <c r="S104" s="14">
        <f>S34*Inputs!$C$46</f>
        <v>615.5736447092761</v>
      </c>
      <c r="T104" s="14">
        <f>T34*Inputs!$C$46</f>
        <v>638.10604199046759</v>
      </c>
      <c r="U104" s="14">
        <f>U34*Inputs!$C$46</f>
        <v>652.68077040602441</v>
      </c>
      <c r="V104" s="14">
        <f>V34*Inputs!$C$46</f>
        <v>686.87573307468176</v>
      </c>
      <c r="W104" s="14">
        <f>W34*Inputs!$C$46</f>
        <v>707.53240783038223</v>
      </c>
      <c r="X104" s="188">
        <f>X34*Inputs!$C$46</f>
        <v>742.74552286329799</v>
      </c>
      <c r="Y104" s="159">
        <f>Y34*Inputs!$C$46</f>
        <v>762.75500489695685</v>
      </c>
      <c r="Z104" s="159">
        <f>Z34*Inputs!$C$46</f>
        <v>801.2807997726859</v>
      </c>
      <c r="AA104" s="159">
        <f>AA34*Inputs!$C$46</f>
        <v>835.03728551558095</v>
      </c>
      <c r="AB104" s="159">
        <f>AB34*Inputs!$C$46</f>
        <v>860.64801369389556</v>
      </c>
      <c r="AC104" s="159">
        <f>AC34*Inputs!$C$46</f>
        <v>899.18220255898495</v>
      </c>
      <c r="AD104" s="159">
        <f>AD34*Inputs!$C$46</f>
        <v>927.14178042819719</v>
      </c>
      <c r="AE104" s="159">
        <f>AE34*Inputs!$C$46</f>
        <v>960.84646616496821</v>
      </c>
      <c r="AF104" s="159">
        <f>AF34*Inputs!$C$46</f>
        <v>987.82273965757497</v>
      </c>
      <c r="AG104" s="159">
        <f>AG34*Inputs!$C$46</f>
        <v>1023.784118205243</v>
      </c>
      <c r="AH104" s="188">
        <f>AH34*Inputs!$C$46</f>
        <v>1058.3804837768057</v>
      </c>
    </row>
    <row r="105" spans="1:36">
      <c r="A105" s="10" t="s">
        <v>52</v>
      </c>
      <c r="B105" s="35">
        <v>1</v>
      </c>
      <c r="C105" s="335">
        <f>C35*Inputs!$C$49</f>
        <v>2.5000000000000001E-2</v>
      </c>
      <c r="D105" s="335">
        <f>D35*Inputs!$C$49</f>
        <v>2.8497551712059317E-2</v>
      </c>
      <c r="E105" s="335">
        <f>E35*Inputs!$C$49</f>
        <v>3.2167647891436765E-2</v>
      </c>
      <c r="F105" s="335">
        <f>F35*Inputs!$C$49</f>
        <v>3.525948956269543E-2</v>
      </c>
      <c r="G105" s="335">
        <f>G35*Inputs!$C$49</f>
        <v>4.0151264001696163E-2</v>
      </c>
      <c r="H105" s="407">
        <f>H35*Inputs!$C$49</f>
        <v>2.5000000000000001E-2</v>
      </c>
      <c r="I105" s="14">
        <f>I35*Inputs!$C$49</f>
        <v>2.7716732202202336E-2</v>
      </c>
      <c r="J105" s="14">
        <f>J35*Inputs!$C$49</f>
        <v>2.9724569033363693E-2</v>
      </c>
      <c r="K105" s="14">
        <f>K35*Inputs!$C$49</f>
        <v>3.2377590926837528E-2</v>
      </c>
      <c r="L105" s="14">
        <f>L35*Inputs!$C$49</f>
        <v>3.6606674603209391E-2</v>
      </c>
      <c r="M105" s="14">
        <f>M35*Inputs!$C$49</f>
        <v>4.0341322805654396E-2</v>
      </c>
      <c r="N105" s="183">
        <f>N35*Inputs!$C$49</f>
        <v>4.4469508122312006E-2</v>
      </c>
      <c r="O105" s="14">
        <f>O35*Inputs!$C$49</f>
        <v>4.6193275889648812E-2</v>
      </c>
      <c r="P105" s="14">
        <f>P35*Inputs!$C$49</f>
        <v>4.7787710942637292E-2</v>
      </c>
      <c r="Q105" s="14">
        <f>Q35*Inputs!$C$49</f>
        <v>4.9897878350163578E-2</v>
      </c>
      <c r="R105" s="14">
        <f>R35*Inputs!$C$49</f>
        <v>5.2499868021911471E-2</v>
      </c>
      <c r="S105" s="14">
        <f>S35*Inputs!$C$49</f>
        <v>5.4734728704476009E-2</v>
      </c>
      <c r="T105" s="14">
        <f>T35*Inputs!$C$49</f>
        <v>5.6738233342544062E-2</v>
      </c>
      <c r="U105" s="14">
        <f>U35*Inputs!$C$49</f>
        <v>5.803416895093691E-2</v>
      </c>
      <c r="V105" s="14">
        <f>V35*Inputs!$C$49</f>
        <v>6.1074669500002156E-2</v>
      </c>
      <c r="W105" s="14">
        <f>W35*Inputs!$C$49</f>
        <v>6.2911391228437807E-2</v>
      </c>
      <c r="X105" s="188">
        <f>X35*Inputs!$C$49</f>
        <v>6.6042422445793419E-2</v>
      </c>
      <c r="Y105" s="159">
        <f>Y35*Inputs!$C$49</f>
        <v>6.7821597983996729E-2</v>
      </c>
      <c r="Z105" s="159">
        <f>Z35*Inputs!$C$49</f>
        <v>7.1247181500723178E-2</v>
      </c>
      <c r="AA105" s="159">
        <f>AA35*Inputs!$C$49</f>
        <v>7.4248694162992013E-2</v>
      </c>
      <c r="AB105" s="159">
        <f>AB35*Inputs!$C$49</f>
        <v>7.6525913583953692E-2</v>
      </c>
      <c r="AC105" s="159">
        <f>AC35*Inputs!$C$49</f>
        <v>7.9952243465854056E-2</v>
      </c>
      <c r="AD105" s="159">
        <f>AD35*Inputs!$C$49</f>
        <v>8.2438314665484069E-2</v>
      </c>
      <c r="AE105" s="159">
        <f>AE35*Inputs!$C$49</f>
        <v>8.5435221446220372E-2</v>
      </c>
      <c r="AF105" s="159">
        <f>AF35*Inputs!$C$49</f>
        <v>8.7833860542884279E-2</v>
      </c>
      <c r="AG105" s="159">
        <f>AG35*Inputs!$C$49</f>
        <v>9.1031424823881352E-2</v>
      </c>
      <c r="AH105" s="188">
        <f>AH35*Inputs!$C$49</f>
        <v>9.4107616762889215E-2</v>
      </c>
    </row>
    <row r="106" spans="1:36">
      <c r="A106" s="10" t="s">
        <v>125</v>
      </c>
      <c r="B106" s="35">
        <v>1</v>
      </c>
      <c r="C106" s="335"/>
      <c r="D106" s="335"/>
      <c r="E106" s="335"/>
      <c r="F106" s="335"/>
      <c r="G106" s="335"/>
      <c r="H106" s="407"/>
      <c r="I106" s="14"/>
      <c r="J106" s="14"/>
      <c r="K106" s="14"/>
      <c r="L106" s="14"/>
      <c r="M106" s="14"/>
      <c r="N106" s="188"/>
      <c r="O106" s="14"/>
      <c r="P106" s="14"/>
      <c r="Q106" s="14"/>
      <c r="R106" s="14"/>
      <c r="S106" s="14"/>
      <c r="T106" s="14"/>
      <c r="U106" s="14"/>
      <c r="V106" s="14"/>
      <c r="W106" s="14"/>
      <c r="X106" s="188"/>
      <c r="AJ106" s="171" t="s">
        <v>0</v>
      </c>
    </row>
    <row r="107" spans="1:36">
      <c r="A107" s="10" t="s">
        <v>53</v>
      </c>
      <c r="B107" s="35">
        <v>1</v>
      </c>
      <c r="C107" s="335">
        <f>C37*Inputs!$C$52</f>
        <v>249.75</v>
      </c>
      <c r="D107" s="335">
        <f>D37*Inputs!$C$52</f>
        <v>284.59109486168086</v>
      </c>
      <c r="E107" s="335">
        <f>E37*Inputs!$C$52</f>
        <v>321.13033339459378</v>
      </c>
      <c r="F107" s="335">
        <f>F37*Inputs!$C$52</f>
        <v>351.87329885928023</v>
      </c>
      <c r="G107" s="335">
        <f>G37*Inputs!$C$52</f>
        <v>400.55096407117998</v>
      </c>
      <c r="H107" s="407">
        <f>H37*Inputs!$C$52</f>
        <v>268.61669999999998</v>
      </c>
      <c r="I107" s="14">
        <f>I37*Inputs!$C$52</f>
        <v>297.70305700722355</v>
      </c>
      <c r="J107" s="14">
        <f>J37*Inputs!$C$52</f>
        <v>319.15753564481599</v>
      </c>
      <c r="K107" s="14">
        <f>K37*Inputs!$C$52</f>
        <v>347.52202636142289</v>
      </c>
      <c r="L107" s="14">
        <f>L37*Inputs!$C$52</f>
        <v>392.77727325628308</v>
      </c>
      <c r="M107" s="14">
        <f>M37*Inputs!$C$52</f>
        <v>432.69758832169714</v>
      </c>
      <c r="N107" s="183">
        <f>N37*Inputs!$C$52</f>
        <v>476.80953696479372</v>
      </c>
      <c r="O107" s="14">
        <f>O37*Inputs!$C$52</f>
        <v>495.2920645591638</v>
      </c>
      <c r="P107" s="14">
        <f>P37*Inputs!$C$52</f>
        <v>512.38786506239512</v>
      </c>
      <c r="Q107" s="14">
        <f>Q37*Inputs!$C$52</f>
        <v>535.01343451401635</v>
      </c>
      <c r="R107" s="14">
        <f>R37*Inputs!$C$52</f>
        <v>562.91240490876214</v>
      </c>
      <c r="S107" s="14">
        <f>S37*Inputs!$C$52</f>
        <v>586.87495660381376</v>
      </c>
      <c r="T107" s="14">
        <f>T37*Inputs!$C$52</f>
        <v>608.35686992195861</v>
      </c>
      <c r="U107" s="14">
        <f>U37*Inputs!$C$52</f>
        <v>622.25210923232896</v>
      </c>
      <c r="V107" s="14">
        <f>V37*Inputs!$C$52</f>
        <v>654.85286692349871</v>
      </c>
      <c r="W107" s="14">
        <f>W37*Inputs!$C$52</f>
        <v>674.54650586503624</v>
      </c>
      <c r="X107" s="188">
        <f>X37*Inputs!$C$52</f>
        <v>708.11794859076781</v>
      </c>
      <c r="Y107" s="159">
        <f>Y37*Inputs!$C$52</f>
        <v>727.19456761287427</v>
      </c>
      <c r="Z107" s="159">
        <f>Z37*Inputs!$C$52</f>
        <v>763.92424957724586</v>
      </c>
      <c r="AA107" s="159">
        <f>AA37*Inputs!$C$52</f>
        <v>796.10697259621963</v>
      </c>
      <c r="AB107" s="159">
        <f>AB37*Inputs!$C$52</f>
        <v>820.5237018006336</v>
      </c>
      <c r="AC107" s="159">
        <f>AC37*Inputs!$C$52</f>
        <v>857.26138641778948</v>
      </c>
      <c r="AD107" s="159">
        <f>AD37*Inputs!$C$52</f>
        <v>883.91745948018377</v>
      </c>
      <c r="AE107" s="159">
        <f>AE37*Inputs!$C$52</f>
        <v>916.05079746357762</v>
      </c>
      <c r="AF107" s="159">
        <f>AF37*Inputs!$C$52</f>
        <v>941.76940882937629</v>
      </c>
      <c r="AG107" s="159">
        <f>AG37*Inputs!$C$52</f>
        <v>976.05423024102618</v>
      </c>
      <c r="AH107" s="188">
        <f>AH37*Inputs!$C$52</f>
        <v>1009.0376770113141</v>
      </c>
    </row>
    <row r="108" spans="1:36">
      <c r="A108" s="9" t="s">
        <v>353</v>
      </c>
      <c r="B108" s="35">
        <v>1</v>
      </c>
      <c r="C108" s="335">
        <f>C38*Inputs!$C$54</f>
        <v>0</v>
      </c>
      <c r="D108" s="335">
        <f>D38*Inputs!$C$54</f>
        <v>0</v>
      </c>
      <c r="E108" s="335">
        <f>E38*Inputs!$C$54</f>
        <v>87.809290000000004</v>
      </c>
      <c r="F108" s="335">
        <f>F38*Inputs!$C$54</f>
        <v>185.45328999999998</v>
      </c>
      <c r="G108" s="335">
        <f>G38*Inputs!$C$54</f>
        <v>245.21837000000002</v>
      </c>
      <c r="H108" s="407">
        <f>H38*Inputs!$C$54</f>
        <v>296.63868000000008</v>
      </c>
      <c r="I108" s="14">
        <f>I38*Inputs!$C$54</f>
        <v>346.82526952672373</v>
      </c>
      <c r="J108" s="14">
        <f>J38*Inputs!$C$54</f>
        <v>392.2520381468666</v>
      </c>
      <c r="K108" s="14">
        <f>K38*Inputs!$C$54</f>
        <v>450.58331867103175</v>
      </c>
      <c r="L108" s="14">
        <f>L38*Inputs!$C$54</f>
        <v>537.24426975190136</v>
      </c>
      <c r="M108" s="14">
        <f>M38*Inputs!$C$54</f>
        <v>624.37079895171416</v>
      </c>
      <c r="N108" s="183">
        <f>N38*Inputs!$C$54</f>
        <v>725.83132936017967</v>
      </c>
      <c r="O108" s="14">
        <f>O38*Inputs!$C$54</f>
        <v>753.96666754815737</v>
      </c>
      <c r="P108" s="14">
        <f>P38*Inputs!$C$54</f>
        <v>779.9910371208091</v>
      </c>
      <c r="Q108" s="14">
        <f>Q38*Inputs!$C$54</f>
        <v>814.43319039052005</v>
      </c>
      <c r="R108" s="14">
        <f>R38*Inputs!$C$54</f>
        <v>856.9028668535849</v>
      </c>
      <c r="S108" s="14">
        <f>S38*Inputs!$C$54</f>
        <v>893.38026380834742</v>
      </c>
      <c r="T108" s="14">
        <f>T38*Inputs!$C$54</f>
        <v>926.0814673122959</v>
      </c>
      <c r="U108" s="14">
        <f>U38*Inputs!$C$54</f>
        <v>947.23372883085824</v>
      </c>
      <c r="V108" s="14">
        <f>V38*Inputs!$C$54</f>
        <v>996.86078000890132</v>
      </c>
      <c r="W108" s="14">
        <f>W38*Inputs!$C$54</f>
        <v>1026.8397527951172</v>
      </c>
      <c r="X108" s="188">
        <f>X38*Inputs!$C$54</f>
        <v>1077.9444455772093</v>
      </c>
      <c r="Y108" s="159">
        <f>Y38*Inputs!$C$54</f>
        <v>1106.9841494234342</v>
      </c>
      <c r="Z108" s="159">
        <f>Z38*Inputs!$C$54</f>
        <v>1162.8965249536764</v>
      </c>
      <c r="AA108" s="159">
        <f>AA38*Inputs!$C$54</f>
        <v>1211.8872158278336</v>
      </c>
      <c r="AB108" s="159">
        <f>AB38*Inputs!$C$54</f>
        <v>1249.0559921276579</v>
      </c>
      <c r="AC108" s="159">
        <f>AC38*Inputs!$C$54</f>
        <v>1304.9805498305675</v>
      </c>
      <c r="AD108" s="159">
        <f>AD38*Inputs!$C$54</f>
        <v>1345.5582049453569</v>
      </c>
      <c r="AE108" s="159">
        <f>AE38*Inputs!$C$54</f>
        <v>1394.4737186192974</v>
      </c>
      <c r="AF108" s="159">
        <f>AF38*Inputs!$C$54</f>
        <v>1433.6243069145014</v>
      </c>
      <c r="AG108" s="159">
        <f>AG38*Inputs!$C$54</f>
        <v>1485.8149523879617</v>
      </c>
      <c r="AH108" s="188">
        <f>AH38*Inputs!$C$54</f>
        <v>1536.0245584469246</v>
      </c>
    </row>
    <row r="109" spans="1:36">
      <c r="A109" s="9" t="s">
        <v>354</v>
      </c>
      <c r="B109" s="35">
        <v>1</v>
      </c>
      <c r="C109" s="335">
        <f>C39*Inputs!$C$54</f>
        <v>0</v>
      </c>
      <c r="D109" s="335">
        <f>D39*Inputs!$C$55</f>
        <v>0</v>
      </c>
      <c r="E109" s="335">
        <f>E39*Inputs!$C$55</f>
        <v>0.23</v>
      </c>
      <c r="F109" s="335">
        <f>F39*Inputs!$C$55</f>
        <v>0.23</v>
      </c>
      <c r="G109" s="335">
        <f>G39*Inputs!$C$55</f>
        <v>0.23</v>
      </c>
      <c r="H109" s="407">
        <f>H39*Inputs!$C$55</f>
        <v>0.23</v>
      </c>
      <c r="I109" s="14">
        <f>I39*Inputs!$C$55</f>
        <v>0.2549939362602614</v>
      </c>
      <c r="J109" s="14">
        <f>J39*Inputs!$C$55</f>
        <v>0.27346603510694589</v>
      </c>
      <c r="K109" s="14">
        <f>K39*Inputs!$C$55</f>
        <v>0.29787383652690519</v>
      </c>
      <c r="L109" s="14">
        <f>L39*Inputs!$C$55</f>
        <v>0.33678140634952636</v>
      </c>
      <c r="M109" s="14">
        <f>M39*Inputs!$C$55</f>
        <v>0.37114016981202036</v>
      </c>
      <c r="N109" s="183">
        <f>N39*Inputs!$C$55</f>
        <v>0.40911947472527044</v>
      </c>
      <c r="O109" s="14">
        <f>O39*Inputs!$C$55</f>
        <v>0.42497813818476893</v>
      </c>
      <c r="P109" s="14">
        <f>P39*Inputs!$C$55</f>
        <v>0.4396469406722629</v>
      </c>
      <c r="Q109" s="14">
        <f>Q39*Inputs!$C$55</f>
        <v>0.45906048082150475</v>
      </c>
      <c r="R109" s="14">
        <f>R39*Inputs!$C$55</f>
        <v>0.48299878580158528</v>
      </c>
      <c r="S109" s="14">
        <f>S39*Inputs!$C$55</f>
        <v>0.50355950408117889</v>
      </c>
      <c r="T109" s="14">
        <f>T39*Inputs!$C$55</f>
        <v>0.52199174675140503</v>
      </c>
      <c r="U109" s="14">
        <f>U39*Inputs!$C$55</f>
        <v>0.53391435434861922</v>
      </c>
      <c r="V109" s="14">
        <f>V39*Inputs!$C$55</f>
        <v>0.56188695940001931</v>
      </c>
      <c r="W109" s="14">
        <f>W39*Inputs!$C$55</f>
        <v>0.57878479930162752</v>
      </c>
      <c r="X109" s="188">
        <f>X39*Inputs!$C$55</f>
        <v>0.60759028650129954</v>
      </c>
      <c r="Y109" s="159">
        <f>Y39*Inputs!$C$55</f>
        <v>0.62395870145276999</v>
      </c>
      <c r="Z109" s="159">
        <f>Z39*Inputs!$C$55</f>
        <v>0.65547406980665324</v>
      </c>
      <c r="AA109" s="159">
        <f>AA39*Inputs!$C$55</f>
        <v>0.68308798629952661</v>
      </c>
      <c r="AB109" s="159">
        <f>AB39*Inputs!$C$55</f>
        <v>0.70403840497237413</v>
      </c>
      <c r="AC109" s="159">
        <f>AC39*Inputs!$C$55</f>
        <v>0.73556063988585751</v>
      </c>
      <c r="AD109" s="159">
        <f>AD39*Inputs!$C$55</f>
        <v>0.75843249492245357</v>
      </c>
      <c r="AE109" s="159">
        <f>AE39*Inputs!$C$55</f>
        <v>0.7860040373052275</v>
      </c>
      <c r="AF109" s="159">
        <f>AF39*Inputs!$C$55</f>
        <v>0.80807151699453561</v>
      </c>
      <c r="AG109" s="159">
        <f>AG39*Inputs!$C$55</f>
        <v>0.83748910837970869</v>
      </c>
      <c r="AH109" s="188">
        <f>AH39*Inputs!$C$55</f>
        <v>0.86579007421858079</v>
      </c>
    </row>
    <row r="110" spans="1:36">
      <c r="A110" s="9" t="s">
        <v>350</v>
      </c>
      <c r="B110" s="35">
        <v>1</v>
      </c>
      <c r="C110" s="335">
        <f>C40*Inputs!$C$51</f>
        <v>2.7000000000000002E-5</v>
      </c>
      <c r="D110" s="335">
        <f>D40*Inputs!$C$51</f>
        <v>3.0777355849024069E-5</v>
      </c>
      <c r="E110" s="335">
        <f>E40*Inputs!$C$51</f>
        <v>3.4741059722751712E-5</v>
      </c>
      <c r="F110" s="335">
        <f>F40*Inputs!$C$51</f>
        <v>3.808024872771107E-5</v>
      </c>
      <c r="G110" s="335">
        <f>G40*Inputs!$C$51</f>
        <v>4.3363365121831862E-5</v>
      </c>
      <c r="H110" s="407">
        <f>H40*Inputs!$C$51</f>
        <v>2.7000000000000002E-5</v>
      </c>
      <c r="I110" s="14">
        <f>I40*Inputs!$C$51</f>
        <v>2.9934070778378521E-5</v>
      </c>
      <c r="J110" s="14">
        <f>J40*Inputs!$C$51</f>
        <v>3.2102534556032785E-5</v>
      </c>
      <c r="K110" s="14">
        <f>K40*Inputs!$C$51</f>
        <v>3.4967798200984529E-5</v>
      </c>
      <c r="L110" s="14">
        <f>L40*Inputs!$C$51</f>
        <v>3.9535208571466142E-5</v>
      </c>
      <c r="M110" s="14">
        <f>M40*Inputs!$C$51</f>
        <v>4.3568628630106737E-5</v>
      </c>
      <c r="N110" s="183">
        <f>N40*Inputs!$C$51</f>
        <v>4.8027068772096971E-5</v>
      </c>
      <c r="O110" s="14">
        <f>O40*Inputs!$C$51</f>
        <v>4.9888737960820707E-5</v>
      </c>
      <c r="P110" s="14">
        <f>P40*Inputs!$C$51</f>
        <v>5.161072781804827E-5</v>
      </c>
      <c r="Q110" s="14">
        <f>Q40*Inputs!$C$51</f>
        <v>5.3889708618176654E-5</v>
      </c>
      <c r="R110" s="14">
        <f>R40*Inputs!$C$51</f>
        <v>5.6699857463664383E-5</v>
      </c>
      <c r="S110" s="14">
        <f>S40*Inputs!$C$51</f>
        <v>5.9113507000834078E-5</v>
      </c>
      <c r="T110" s="14">
        <f>T40*Inputs!$C$51</f>
        <v>6.127729200994757E-5</v>
      </c>
      <c r="U110" s="14">
        <f>U40*Inputs!$C$51</f>
        <v>6.2676902467011854E-5</v>
      </c>
      <c r="V110" s="14">
        <f>V40*Inputs!$C$51</f>
        <v>6.5960643060002314E-5</v>
      </c>
      <c r="W110" s="14">
        <f>W40*Inputs!$C$51</f>
        <v>6.7944302526712827E-5</v>
      </c>
      <c r="X110" s="188">
        <f>X40*Inputs!$C$51</f>
        <v>7.1325816241456911E-5</v>
      </c>
      <c r="Y110" s="159">
        <f>Y40*Inputs!$C$51</f>
        <v>7.3247325822716503E-5</v>
      </c>
      <c r="Z110" s="159">
        <f>Z40*Inputs!$C$51</f>
        <v>7.6946956020781045E-5</v>
      </c>
      <c r="AA110" s="159">
        <f>AA40*Inputs!$C$51</f>
        <v>8.0188589696031398E-5</v>
      </c>
      <c r="AB110" s="159">
        <f>AB40*Inputs!$C$51</f>
        <v>8.2647986670670009E-5</v>
      </c>
      <c r="AC110" s="159">
        <f>AC40*Inputs!$C$51</f>
        <v>8.6348422943122399E-5</v>
      </c>
      <c r="AD110" s="159">
        <f>AD40*Inputs!$C$51</f>
        <v>8.9033379838722798E-5</v>
      </c>
      <c r="AE110" s="159">
        <f>AE40*Inputs!$C$51</f>
        <v>9.2270039161918008E-5</v>
      </c>
      <c r="AF110" s="159">
        <f>AF40*Inputs!$C$51</f>
        <v>9.486056938631503E-5</v>
      </c>
      <c r="AG110" s="159">
        <f>AG40*Inputs!$C$51</f>
        <v>9.8313938809791888E-5</v>
      </c>
      <c r="AH110" s="188">
        <f>AH40*Inputs!$C$51</f>
        <v>1.0163622610392038E-4</v>
      </c>
    </row>
    <row r="111" spans="1:36">
      <c r="A111" s="10" t="s">
        <v>126</v>
      </c>
      <c r="B111" s="35">
        <v>1</v>
      </c>
      <c r="C111" s="335"/>
      <c r="D111" s="335"/>
      <c r="E111" s="335"/>
      <c r="F111" s="335"/>
      <c r="G111" s="335"/>
      <c r="H111" s="407"/>
      <c r="I111" s="14"/>
      <c r="J111" s="14"/>
      <c r="K111" s="14"/>
      <c r="L111" s="14"/>
      <c r="M111" s="14"/>
      <c r="N111" s="188"/>
      <c r="O111" s="14"/>
      <c r="P111" s="14"/>
      <c r="Q111" s="14"/>
      <c r="R111" s="14"/>
      <c r="S111" s="14"/>
      <c r="T111" s="14"/>
      <c r="U111" s="14"/>
      <c r="V111" s="14"/>
      <c r="W111" s="14"/>
      <c r="X111" s="188"/>
    </row>
    <row r="112" spans="1:36">
      <c r="A112" s="10" t="s">
        <v>55</v>
      </c>
      <c r="B112" s="35">
        <v>1</v>
      </c>
      <c r="C112" s="335">
        <f>C42*Inputs!$C$57</f>
        <v>91.12</v>
      </c>
      <c r="D112" s="335">
        <f>D42*Inputs!$C$57</f>
        <v>104.60780865811836</v>
      </c>
      <c r="E112" s="335">
        <f>E42*Inputs!$C$57</f>
        <v>481.71488999999997</v>
      </c>
      <c r="F112" s="335">
        <f>F42*Inputs!$C$57</f>
        <v>512.61119999999994</v>
      </c>
      <c r="G112" s="335">
        <f>G42*Inputs!$C$57</f>
        <v>593.88207999999997</v>
      </c>
      <c r="H112" s="407">
        <f>H42*Inputs!$C$57</f>
        <v>634.78867000000002</v>
      </c>
      <c r="I112" s="14">
        <f>I42*Inputs!$C$57</f>
        <v>708.78421238900012</v>
      </c>
      <c r="J112" s="14">
        <f>J42*Inputs!$C$57</f>
        <v>765.54447774957498</v>
      </c>
      <c r="K112" s="14">
        <f>K42*Inputs!$C$57</f>
        <v>839.81232655449708</v>
      </c>
      <c r="L112" s="14">
        <f>L42*Inputs!$C$57</f>
        <v>956.27068764183764</v>
      </c>
      <c r="M112" s="14">
        <f>M42*Inputs!$C$57</f>
        <v>1061.3376026109991</v>
      </c>
      <c r="N112" s="183">
        <f>N42*Inputs!$C$57</f>
        <v>1178.280238534129</v>
      </c>
      <c r="O112" s="14">
        <f>O42*Inputs!$C$57</f>
        <v>1223.9538153699382</v>
      </c>
      <c r="P112" s="14">
        <f>P42*Inputs!$C$57</f>
        <v>1266.2005456327322</v>
      </c>
      <c r="Q112" s="14">
        <f>Q42*Inputs!$C$57</f>
        <v>1322.1123076753511</v>
      </c>
      <c r="R112" s="14">
        <f>R42*Inputs!$C$57</f>
        <v>1391.055571060632</v>
      </c>
      <c r="S112" s="14">
        <f>S42*Inputs!$C$57</f>
        <v>1450.2712514072618</v>
      </c>
      <c r="T112" s="14">
        <f>T42*Inputs!$C$57</f>
        <v>1503.3568379703972</v>
      </c>
      <c r="U112" s="14">
        <f>U42*Inputs!$C$57</f>
        <v>1537.6944185341872</v>
      </c>
      <c r="V112" s="14">
        <f>V42*Inputs!$C$57</f>
        <v>1618.2566253920195</v>
      </c>
      <c r="W112" s="14">
        <f>W42*Inputs!$C$57</f>
        <v>1666.9230714059825</v>
      </c>
      <c r="X112" s="188">
        <f>X42*Inputs!$C$57</f>
        <v>1749.8840117315751</v>
      </c>
      <c r="Y112" s="159">
        <f>Y42*Inputs!$C$57</f>
        <v>1797.0256929883658</v>
      </c>
      <c r="Z112" s="159">
        <f>Z42*Inputs!$C$57</f>
        <v>1887.7911980194824</v>
      </c>
      <c r="AA112" s="159">
        <f>AA42*Inputs!$C$57</f>
        <v>1967.3203676683568</v>
      </c>
      <c r="AB112" s="159">
        <f>AB42*Inputs!$C$57</f>
        <v>2027.6584005322509</v>
      </c>
      <c r="AC112" s="159">
        <f>AC42*Inputs!$C$57</f>
        <v>2118.443681526096</v>
      </c>
      <c r="AD112" s="159">
        <f>AD42*Inputs!$C$57</f>
        <v>2184.3155269725526</v>
      </c>
      <c r="AE112" s="159">
        <f>AE42*Inputs!$C$57</f>
        <v>2263.7226575114842</v>
      </c>
      <c r="AF112" s="159">
        <f>AF42*Inputs!$C$57</f>
        <v>2327.2778702024111</v>
      </c>
      <c r="AG112" s="159">
        <f>AG42*Inputs!$C$57</f>
        <v>2412.0016947470567</v>
      </c>
      <c r="AH112" s="188">
        <f>AH42*Inputs!$C$57</f>
        <v>2493.5095936359207</v>
      </c>
      <c r="AI112" s="31" t="s">
        <v>0</v>
      </c>
    </row>
    <row r="113" spans="1:35" s="20" customFormat="1">
      <c r="A113" s="10" t="s">
        <v>390</v>
      </c>
      <c r="B113" s="37"/>
      <c r="C113" s="338">
        <f>SUM(C100:C112)</f>
        <v>10683.605012</v>
      </c>
      <c r="D113" s="338">
        <f t="shared" ref="D113:AH113" si="83">SUM(D100:D112)</f>
        <v>11006.925740200746</v>
      </c>
      <c r="E113" s="338">
        <f t="shared" si="83"/>
        <v>11691.362878202621</v>
      </c>
      <c r="F113" s="338">
        <f t="shared" si="83"/>
        <v>11726.876655024656</v>
      </c>
      <c r="G113" s="338">
        <f t="shared" si="83"/>
        <v>12215.234400771997</v>
      </c>
      <c r="H113" s="409">
        <f t="shared" si="83"/>
        <v>11157.267912000001</v>
      </c>
      <c r="I113" s="19">
        <f t="shared" si="83"/>
        <v>11399.31327067754</v>
      </c>
      <c r="J113" s="19">
        <f t="shared" si="83"/>
        <v>11288.655092062018</v>
      </c>
      <c r="K113" s="19">
        <f t="shared" si="83"/>
        <v>11379.971637382754</v>
      </c>
      <c r="L113" s="19">
        <f t="shared" si="83"/>
        <v>11937.867697923277</v>
      </c>
      <c r="M113" s="19">
        <f t="shared" si="83"/>
        <v>12241.006079384366</v>
      </c>
      <c r="N113" s="183">
        <f t="shared" si="83"/>
        <v>12595.11494863493</v>
      </c>
      <c r="O113" s="19">
        <f t="shared" si="83"/>
        <v>12694.828828806701</v>
      </c>
      <c r="P113" s="19">
        <f t="shared" si="83"/>
        <v>12746.551321358276</v>
      </c>
      <c r="Q113" s="19">
        <f t="shared" si="83"/>
        <v>12921.39943844861</v>
      </c>
      <c r="R113" s="19">
        <f t="shared" si="83"/>
        <v>13202.670819349361</v>
      </c>
      <c r="S113" s="19">
        <f t="shared" si="83"/>
        <v>13371.195652492741</v>
      </c>
      <c r="T113" s="19">
        <f t="shared" si="83"/>
        <v>13468.424370023928</v>
      </c>
      <c r="U113" s="19">
        <f t="shared" si="83"/>
        <v>13390.317874804354</v>
      </c>
      <c r="V113" s="19">
        <f t="shared" si="83"/>
        <v>13701.533287844002</v>
      </c>
      <c r="W113" s="19">
        <f t="shared" si="83"/>
        <v>13726.991941359907</v>
      </c>
      <c r="X113" s="183">
        <f t="shared" si="83"/>
        <v>14019.951833899859</v>
      </c>
      <c r="Y113" s="207">
        <f t="shared" si="83"/>
        <v>14051.484788815242</v>
      </c>
      <c r="Z113" s="207">
        <f t="shared" si="83"/>
        <v>14409.734532688366</v>
      </c>
      <c r="AA113" s="207">
        <f t="shared" si="83"/>
        <v>14662.782423046445</v>
      </c>
      <c r="AB113" s="207">
        <f t="shared" si="83"/>
        <v>14759.861997759086</v>
      </c>
      <c r="AC113" s="207">
        <f t="shared" si="83"/>
        <v>15064.65749989713</v>
      </c>
      <c r="AD113" s="207">
        <f t="shared" si="83"/>
        <v>15178.289984533301</v>
      </c>
      <c r="AE113" s="207">
        <f t="shared" si="83"/>
        <v>15374.739088130493</v>
      </c>
      <c r="AF113" s="207">
        <f t="shared" si="83"/>
        <v>15453.375556843812</v>
      </c>
      <c r="AG113" s="207">
        <f t="shared" si="83"/>
        <v>15662.402207559495</v>
      </c>
      <c r="AH113" s="183">
        <f t="shared" si="83"/>
        <v>15838.498513300417</v>
      </c>
      <c r="AI113" s="31" t="s">
        <v>0</v>
      </c>
    </row>
    <row r="114" spans="1:35" s="20" customFormat="1">
      <c r="A114" s="10" t="s">
        <v>391</v>
      </c>
      <c r="B114" s="37"/>
      <c r="C114" s="338">
        <f>SUM(C101:C103)</f>
        <v>10230.149985</v>
      </c>
      <c r="D114" s="338">
        <f t="shared" ref="D114:AH114" si="84">SUM(D101:D103)</f>
        <v>10474.097551904699</v>
      </c>
      <c r="E114" s="338">
        <f t="shared" si="84"/>
        <v>10619.030998708602</v>
      </c>
      <c r="F114" s="338">
        <f t="shared" si="84"/>
        <v>10454.119570243198</v>
      </c>
      <c r="G114" s="338">
        <f t="shared" si="84"/>
        <v>10691.675256324925</v>
      </c>
      <c r="H114" s="409">
        <f t="shared" si="84"/>
        <v>9813.9061250000013</v>
      </c>
      <c r="I114" s="19">
        <f t="shared" si="84"/>
        <v>9868.2036004799156</v>
      </c>
      <c r="J114" s="19">
        <f t="shared" si="84"/>
        <v>9598.3327716675722</v>
      </c>
      <c r="K114" s="19">
        <f t="shared" si="84"/>
        <v>9481.9792304150396</v>
      </c>
      <c r="L114" s="19">
        <f t="shared" si="84"/>
        <v>9722.5266975842987</v>
      </c>
      <c r="M114" s="19">
        <f t="shared" si="84"/>
        <v>9716.8087859360894</v>
      </c>
      <c r="N114" s="183">
        <f t="shared" si="84"/>
        <v>9713.6142749999999</v>
      </c>
      <c r="O114" s="19">
        <f t="shared" si="84"/>
        <v>9701.6327892345234</v>
      </c>
      <c r="P114" s="19">
        <f t="shared" si="84"/>
        <v>9650.040316695482</v>
      </c>
      <c r="Q114" s="19">
        <f t="shared" si="84"/>
        <v>9688.1554438560561</v>
      </c>
      <c r="R114" s="19">
        <f t="shared" si="84"/>
        <v>9800.825117463115</v>
      </c>
      <c r="S114" s="19">
        <f t="shared" si="84"/>
        <v>9824.5371826177507</v>
      </c>
      <c r="T114" s="19">
        <f t="shared" si="84"/>
        <v>9791.9443615714226</v>
      </c>
      <c r="U114" s="19">
        <f t="shared" si="84"/>
        <v>9629.864836600751</v>
      </c>
      <c r="V114" s="19">
        <f t="shared" si="84"/>
        <v>9744.0642548553587</v>
      </c>
      <c r="W114" s="19">
        <f t="shared" si="84"/>
        <v>9650.5084393285561</v>
      </c>
      <c r="X114" s="183">
        <f t="shared" si="84"/>
        <v>9740.5862011022436</v>
      </c>
      <c r="Y114" s="207">
        <f t="shared" si="84"/>
        <v>9656.8335203468487</v>
      </c>
      <c r="Z114" s="207">
        <f t="shared" si="84"/>
        <v>9793.1149621670156</v>
      </c>
      <c r="AA114" s="207">
        <f t="shared" si="84"/>
        <v>9851.6731645694035</v>
      </c>
      <c r="AB114" s="207">
        <f t="shared" si="84"/>
        <v>9801.1952426381049</v>
      </c>
      <c r="AC114" s="207">
        <f t="shared" si="84"/>
        <v>9883.9740803319182</v>
      </c>
      <c r="AD114" s="207">
        <f t="shared" si="84"/>
        <v>9836.5160528640445</v>
      </c>
      <c r="AE114" s="207">
        <f t="shared" si="84"/>
        <v>9838.7739168423741</v>
      </c>
      <c r="AF114" s="207">
        <f t="shared" si="84"/>
        <v>9761.9852310018396</v>
      </c>
      <c r="AG114" s="207">
        <f t="shared" si="84"/>
        <v>9763.8185931310654</v>
      </c>
      <c r="AH114" s="183">
        <f t="shared" si="84"/>
        <v>9740.5862011022436</v>
      </c>
      <c r="AI114" s="31"/>
    </row>
    <row r="115" spans="1:35" s="20" customFormat="1">
      <c r="A115" s="10" t="s">
        <v>392</v>
      </c>
      <c r="B115" s="37"/>
      <c r="C115" s="338">
        <f>SUMPRODUCT($B104:$B112,C104:C112)</f>
        <v>453.45502700000003</v>
      </c>
      <c r="D115" s="338">
        <f t="shared" ref="D115:AH115" si="85">SUMPRODUCT($B104:$B112,D104:D112)</f>
        <v>532.82818829604946</v>
      </c>
      <c r="E115" s="338">
        <f t="shared" si="85"/>
        <v>1072.331879494021</v>
      </c>
      <c r="F115" s="338">
        <f t="shared" si="85"/>
        <v>1272.7570847814604</v>
      </c>
      <c r="G115" s="338">
        <f t="shared" si="85"/>
        <v>1523.5591444470717</v>
      </c>
      <c r="H115" s="409">
        <f t="shared" si="85"/>
        <v>1343.3617870000003</v>
      </c>
      <c r="I115" s="19">
        <f t="shared" si="85"/>
        <v>1531.1096701976246</v>
      </c>
      <c r="J115" s="19">
        <f t="shared" si="85"/>
        <v>1690.3223203944476</v>
      </c>
      <c r="K115" s="19">
        <f t="shared" si="85"/>
        <v>1897.9924069677161</v>
      </c>
      <c r="L115" s="19">
        <f t="shared" si="85"/>
        <v>2215.3410003389777</v>
      </c>
      <c r="M115" s="19">
        <f t="shared" si="85"/>
        <v>2524.1972934482765</v>
      </c>
      <c r="N115" s="183">
        <f t="shared" si="85"/>
        <v>2881.5006736349287</v>
      </c>
      <c r="O115" s="19">
        <f t="shared" si="85"/>
        <v>2993.196039572179</v>
      </c>
      <c r="P115" s="19">
        <f t="shared" si="85"/>
        <v>3096.5110046627924</v>
      </c>
      <c r="Q115" s="19">
        <f t="shared" si="85"/>
        <v>3233.2439945925526</v>
      </c>
      <c r="R115" s="19">
        <f t="shared" si="85"/>
        <v>3401.8457018862482</v>
      </c>
      <c r="S115" s="19">
        <f t="shared" si="85"/>
        <v>3546.6584698749921</v>
      </c>
      <c r="T115" s="19">
        <f t="shared" si="85"/>
        <v>3676.480008452505</v>
      </c>
      <c r="U115" s="19">
        <f t="shared" si="85"/>
        <v>3760.453038203601</v>
      </c>
      <c r="V115" s="19">
        <f t="shared" si="85"/>
        <v>3957.4690329886444</v>
      </c>
      <c r="W115" s="19">
        <f t="shared" si="85"/>
        <v>4076.4835020313503</v>
      </c>
      <c r="X115" s="183">
        <f t="shared" si="85"/>
        <v>4279.3656327976141</v>
      </c>
      <c r="Y115" s="207">
        <f t="shared" si="85"/>
        <v>4394.6512684683939</v>
      </c>
      <c r="Z115" s="207">
        <f t="shared" si="85"/>
        <v>4616.619570521354</v>
      </c>
      <c r="AA115" s="207">
        <f t="shared" si="85"/>
        <v>4811.1092584770431</v>
      </c>
      <c r="AB115" s="207">
        <f t="shared" si="85"/>
        <v>4958.6667551209812</v>
      </c>
      <c r="AC115" s="207">
        <f t="shared" si="85"/>
        <v>5180.6834195652127</v>
      </c>
      <c r="AD115" s="207">
        <f t="shared" si="85"/>
        <v>5341.7739316692587</v>
      </c>
      <c r="AE115" s="207">
        <f t="shared" si="85"/>
        <v>5535.9651712881187</v>
      </c>
      <c r="AF115" s="207">
        <f t="shared" si="85"/>
        <v>5691.3903258419705</v>
      </c>
      <c r="AG115" s="207">
        <f t="shared" si="85"/>
        <v>5898.5836144284294</v>
      </c>
      <c r="AH115" s="183">
        <f t="shared" si="85"/>
        <v>6097.9123121981738</v>
      </c>
    </row>
    <row r="116" spans="1:35" s="20" customFormat="1">
      <c r="A116" s="10" t="s">
        <v>148</v>
      </c>
      <c r="B116" s="37"/>
      <c r="C116" s="338">
        <f>C47*Inputs!$C$60</f>
        <v>4332.7052999999996</v>
      </c>
      <c r="D116" s="338">
        <f>D47*Inputs!$C$60</f>
        <v>1402.8576552815146</v>
      </c>
      <c r="E116" s="338">
        <f>E47*Inputs!$C$60</f>
        <v>919.18809453506253</v>
      </c>
      <c r="F116" s="338">
        <f>F47*Inputs!$C$60</f>
        <v>401.02264183850002</v>
      </c>
      <c r="G116" s="338">
        <f>G47*Inputs!$C$60</f>
        <v>669.35786054019695</v>
      </c>
      <c r="H116" s="409">
        <f>H47*Inputs!$C$60</f>
        <v>630.14003508425833</v>
      </c>
      <c r="I116" s="19">
        <f>I47*Inputs!$C$60</f>
        <v>747.91295920458356</v>
      </c>
      <c r="J116" s="19">
        <f>J47*Inputs!$C$60</f>
        <v>725.59766384559555</v>
      </c>
      <c r="K116" s="19">
        <f>K47*Inputs!$C$60</f>
        <v>725.10911078788308</v>
      </c>
      <c r="L116" s="19">
        <f>L47*Inputs!$C$60</f>
        <v>750.59500404491735</v>
      </c>
      <c r="M116" s="19">
        <f>M47*Inputs!$C$60</f>
        <v>787.18132257557386</v>
      </c>
      <c r="N116" s="183">
        <f>N47*Inputs!$C$60</f>
        <v>770.75450944525483</v>
      </c>
      <c r="O116" s="19">
        <f>O47*Inputs!$C$60</f>
        <v>1011.1413824576315</v>
      </c>
      <c r="P116" s="19">
        <f>P47*Inputs!$C$60</f>
        <v>1127.8882729885167</v>
      </c>
      <c r="Q116" s="19">
        <f>Q47*Inputs!$C$60</f>
        <v>1117.9881316271785</v>
      </c>
      <c r="R116" s="19">
        <f>R47*Inputs!$C$60</f>
        <v>1095.1244435247786</v>
      </c>
      <c r="S116" s="19">
        <f>S47*Inputs!$C$60</f>
        <v>1100.5906060054758</v>
      </c>
      <c r="T116" s="19">
        <f>T47*Inputs!$C$60</f>
        <v>1089.2794108111163</v>
      </c>
      <c r="U116" s="19">
        <f>U47*Inputs!$C$60</f>
        <v>1095.1153294770379</v>
      </c>
      <c r="V116" s="19">
        <f>V47*Inputs!$C$60</f>
        <v>1065.5287531459496</v>
      </c>
      <c r="W116" s="19">
        <f>W47*Inputs!$C$60</f>
        <v>1068.362848034378</v>
      </c>
      <c r="X116" s="183">
        <f>X47*Inputs!$C$60</f>
        <v>1035.5696046066305</v>
      </c>
      <c r="Y116" s="207">
        <f>Y47*Inputs!$C$60</f>
        <v>1035.0055808992868</v>
      </c>
      <c r="Z116" s="207">
        <f>Z47*Inputs!$C$60</f>
        <v>996.02017015401805</v>
      </c>
      <c r="AA116" s="207">
        <f>AA47*Inputs!$C$60</f>
        <v>976.08032688243759</v>
      </c>
      <c r="AB116" s="207">
        <f>AB47*Inputs!$C$60</f>
        <v>968.95614796561813</v>
      </c>
      <c r="AC116" s="207">
        <f>AC47*Inputs!$C$60</f>
        <v>946.6138812897384</v>
      </c>
      <c r="AD116" s="207">
        <f>AD47*Inputs!$C$60</f>
        <v>934.17277540189446</v>
      </c>
      <c r="AE116" s="207">
        <f>AE47*Inputs!$C$60</f>
        <v>925.37284385849102</v>
      </c>
      <c r="AF116" s="207">
        <f>AF47*Inputs!$C$60</f>
        <v>919.83734975091932</v>
      </c>
      <c r="AG116" s="207">
        <f>AG47*Inputs!$C$60</f>
        <v>908.9064887626779</v>
      </c>
      <c r="AH116" s="183">
        <f>AH47*Inputs!$C$60</f>
        <v>898.27196887959246</v>
      </c>
      <c r="AI116" s="31"/>
    </row>
    <row r="117" spans="1:35" s="20" customFormat="1">
      <c r="A117" s="10" t="s">
        <v>228</v>
      </c>
      <c r="B117" s="37"/>
      <c r="C117" s="338">
        <f>C48*Inputs!$C$61</f>
        <v>1856.8736999999999</v>
      </c>
      <c r="D117" s="338">
        <f>D48*Inputs!$C$61</f>
        <v>5052.0639818707614</v>
      </c>
      <c r="E117" s="338">
        <f>E48*Inputs!$C$61</f>
        <v>5527.7987811931116</v>
      </c>
      <c r="F117" s="338">
        <f>F48*Inputs!$C$61</f>
        <v>5976.1608721635475</v>
      </c>
      <c r="G117" s="338">
        <f>G48*Inputs!$C$61</f>
        <v>5744.1107910615783</v>
      </c>
      <c r="H117" s="409">
        <f>H48*Inputs!$C$61</f>
        <v>6258.3174749157388</v>
      </c>
      <c r="I117" s="19">
        <f>I48*Inputs!$C$61</f>
        <v>6016.9984956833532</v>
      </c>
      <c r="J117" s="19">
        <f>J48*Inputs!$C$61</f>
        <v>5695.7914231553532</v>
      </c>
      <c r="K117" s="19">
        <f>K48*Inputs!$C$61</f>
        <v>5495.8902710405737</v>
      </c>
      <c r="L117" s="19">
        <f>L48*Inputs!$C$61</f>
        <v>5431.3814760994619</v>
      </c>
      <c r="M117" s="19">
        <f>M48*Inputs!$C$61</f>
        <v>5199.4014291733274</v>
      </c>
      <c r="N117" s="183">
        <f>N48*Inputs!$C$61</f>
        <v>4975.6465795547465</v>
      </c>
      <c r="O117" s="19">
        <f>O48*Inputs!$C$61</f>
        <v>4647.9572529780135</v>
      </c>
      <c r="P117" s="19">
        <f>P48*Inputs!$C$61</f>
        <v>4420.0171592193792</v>
      </c>
      <c r="Q117" s="19">
        <f>Q48*Inputs!$C$61</f>
        <v>4369.6377609322053</v>
      </c>
      <c r="R117" s="19">
        <f>R48*Inputs!$C$61</f>
        <v>4371.4420066488246</v>
      </c>
      <c r="S117" s="19">
        <f>S48*Inputs!$C$61</f>
        <v>4290.9090443132072</v>
      </c>
      <c r="T117" s="19">
        <f>T48*Inputs!$C$61</f>
        <v>4196.6543387482225</v>
      </c>
      <c r="U117" s="19">
        <f>U48*Inputs!$C$61</f>
        <v>4009.2498052338542</v>
      </c>
      <c r="V117" s="19">
        <f>V48*Inputs!$C$61</f>
        <v>4002.661092843764</v>
      </c>
      <c r="W117" s="19">
        <f>W48*Inputs!$C$61</f>
        <v>3850.5191622874295</v>
      </c>
      <c r="X117" s="183">
        <f>X48*Inputs!$C$61</f>
        <v>3827.0318973933713</v>
      </c>
      <c r="Y117" s="207">
        <f>Y48*Inputs!$C$61</f>
        <v>3823.1006360501356</v>
      </c>
      <c r="Z117" s="207">
        <f>Z48*Inputs!$C$61</f>
        <v>3946.9299729462068</v>
      </c>
      <c r="AA117" s="207">
        <f>AA48*Inputs!$C$61</f>
        <v>4009.4879273894244</v>
      </c>
      <c r="AB117" s="207">
        <f>AB48*Inputs!$C$61</f>
        <v>3999.2296824370087</v>
      </c>
      <c r="AC117" s="207">
        <f>AC48*Inputs!$C$61</f>
        <v>4073.0205375212281</v>
      </c>
      <c r="AD117" s="207">
        <f>AD48*Inputs!$C$61</f>
        <v>4067.370042334474</v>
      </c>
      <c r="AE117" s="207">
        <f>AE48*Inputs!$C$61</f>
        <v>4081.675154929374</v>
      </c>
      <c r="AF117" s="207">
        <f>AF48*Inputs!$C$61</f>
        <v>4049.3954769926854</v>
      </c>
      <c r="AG117" s="207">
        <f>AG48*Inputs!$C$61</f>
        <v>4061.2182517293199</v>
      </c>
      <c r="AH117" s="183">
        <f>AH48*Inputs!$C$61</f>
        <v>4056.951238120404</v>
      </c>
      <c r="AI117" s="31"/>
    </row>
    <row r="118" spans="1:35" s="20" customFormat="1">
      <c r="A118" s="10" t="s">
        <v>60</v>
      </c>
      <c r="B118" s="37"/>
      <c r="C118" s="338">
        <f>SUM(C113,C116,C117)</f>
        <v>16873.184011999998</v>
      </c>
      <c r="D118" s="338">
        <f>SUM(D113,D116,D117)</f>
        <v>17461.84737735302</v>
      </c>
      <c r="E118" s="338">
        <f t="shared" ref="E118:AH118" si="86">SUM(E113,E116,E117)</f>
        <v>18138.349753930794</v>
      </c>
      <c r="F118" s="338">
        <f t="shared" si="86"/>
        <v>18104.060169026707</v>
      </c>
      <c r="G118" s="338">
        <f t="shared" si="86"/>
        <v>18628.70305237377</v>
      </c>
      <c r="H118" s="409">
        <f t="shared" si="86"/>
        <v>18045.725421999996</v>
      </c>
      <c r="I118" s="19">
        <f t="shared" si="86"/>
        <v>18164.224725565477</v>
      </c>
      <c r="J118" s="19">
        <f t="shared" si="86"/>
        <v>17710.044179062967</v>
      </c>
      <c r="K118" s="19">
        <f t="shared" si="86"/>
        <v>17600.971019211211</v>
      </c>
      <c r="L118" s="19">
        <f t="shared" si="86"/>
        <v>18119.844178067655</v>
      </c>
      <c r="M118" s="19">
        <f t="shared" si="86"/>
        <v>18227.588831133267</v>
      </c>
      <c r="N118" s="183">
        <f t="shared" si="86"/>
        <v>18341.51603763493</v>
      </c>
      <c r="O118" s="19">
        <f t="shared" si="86"/>
        <v>18353.927464242348</v>
      </c>
      <c r="P118" s="19">
        <f t="shared" si="86"/>
        <v>18294.456753566174</v>
      </c>
      <c r="Q118" s="19">
        <f t="shared" si="86"/>
        <v>18409.025331007993</v>
      </c>
      <c r="R118" s="19">
        <f t="shared" si="86"/>
        <v>18669.237269522964</v>
      </c>
      <c r="S118" s="19">
        <f t="shared" si="86"/>
        <v>18762.695302811426</v>
      </c>
      <c r="T118" s="19">
        <f t="shared" si="86"/>
        <v>18754.358119583267</v>
      </c>
      <c r="U118" s="19">
        <f t="shared" si="86"/>
        <v>18494.683009515247</v>
      </c>
      <c r="V118" s="19">
        <f t="shared" si="86"/>
        <v>18769.723133833715</v>
      </c>
      <c r="W118" s="19">
        <f t="shared" si="86"/>
        <v>18645.873951681715</v>
      </c>
      <c r="X118" s="183">
        <f t="shared" si="86"/>
        <v>18882.553335899862</v>
      </c>
      <c r="Y118" s="207">
        <f t="shared" si="86"/>
        <v>18909.591005764665</v>
      </c>
      <c r="Z118" s="207">
        <f t="shared" si="86"/>
        <v>19352.684675788591</v>
      </c>
      <c r="AA118" s="207">
        <f t="shared" si="86"/>
        <v>19648.350677318307</v>
      </c>
      <c r="AB118" s="207">
        <f t="shared" si="86"/>
        <v>19728.047828161714</v>
      </c>
      <c r="AC118" s="207">
        <f t="shared" si="86"/>
        <v>20084.291918708099</v>
      </c>
      <c r="AD118" s="207">
        <f t="shared" si="86"/>
        <v>20179.83280226967</v>
      </c>
      <c r="AE118" s="207">
        <f t="shared" si="86"/>
        <v>20381.787086918357</v>
      </c>
      <c r="AF118" s="207">
        <f t="shared" si="86"/>
        <v>20422.608383587416</v>
      </c>
      <c r="AG118" s="207">
        <f t="shared" si="86"/>
        <v>20632.526948051491</v>
      </c>
      <c r="AH118" s="183">
        <f t="shared" si="86"/>
        <v>20793.721720300415</v>
      </c>
      <c r="AI118" s="31"/>
    </row>
    <row r="119" spans="1:35" s="1" customFormat="1">
      <c r="A119" s="1" t="s">
        <v>341</v>
      </c>
      <c r="B119" s="13"/>
      <c r="C119" s="345">
        <f>C118-'Output - Jobs vs Yr (BAU)'!C55</f>
        <v>190.28899999999703</v>
      </c>
      <c r="D119" s="345">
        <f>D118-'Output - Jobs vs Yr (BAU)'!D55</f>
        <v>445.82236535302218</v>
      </c>
      <c r="E119" s="345">
        <f>E118-'Output - Jobs vs Yr (BAU)'!E55</f>
        <v>117.46061193079731</v>
      </c>
      <c r="F119" s="345">
        <f>F118-'Output - Jobs vs Yr (BAU)'!F55</f>
        <v>263.78633702670777</v>
      </c>
      <c r="G119" s="345">
        <f>G118-'Output - Jobs vs Yr (BAU)'!G55</f>
        <v>239.69403037377197</v>
      </c>
      <c r="H119" s="410">
        <f>H118-'Output - Jobs vs Yr (BAU)'!H55</f>
        <v>-109.59784000000582</v>
      </c>
      <c r="I119" s="15">
        <f>I118-'Output - Jobs vs Yr (BAU)'!I55</f>
        <v>-13.722386434525106</v>
      </c>
      <c r="J119" s="15">
        <f>J118-'Output - Jobs vs Yr (BAU)'!J55</f>
        <v>-84.167382937030197</v>
      </c>
      <c r="K119" s="15">
        <f>K118-'Output - Jobs vs Yr (BAU)'!K55</f>
        <v>-62.951032788787415</v>
      </c>
      <c r="L119" s="15">
        <f>L118-'Output - Jobs vs Yr (BAU)'!L55</f>
        <v>148.36479606765715</v>
      </c>
      <c r="M119" s="15">
        <f>M118-'Output - Jobs vs Yr (BAU)'!M55</f>
        <v>293.52504913326993</v>
      </c>
      <c r="N119" s="183">
        <f>N118-'Output - Jobs vs Yr (BAU)'!N55</f>
        <v>463.97799563493027</v>
      </c>
      <c r="O119" s="15">
        <f>O118-'Output - Jobs vs Yr (BAU)'!O55</f>
        <v>483.81503224234984</v>
      </c>
      <c r="P119" s="15">
        <f>P118-'Output - Jobs vs Yr (BAU)'!P55</f>
        <v>480.40384156617074</v>
      </c>
      <c r="Q119" s="15">
        <f>Q118-'Output - Jobs vs Yr (BAU)'!Q55</f>
        <v>525.95318900799612</v>
      </c>
      <c r="R119" s="15">
        <f>R118-'Output - Jobs vs Yr (BAU)'!R55</f>
        <v>612.92535752296317</v>
      </c>
      <c r="S119" s="15">
        <f>S118-'Output - Jobs vs Yr (BAU)'!S55</f>
        <v>687.00068081142308</v>
      </c>
      <c r="T119" s="15">
        <f>T118-'Output - Jobs vs Yr (BAU)'!T55</f>
        <v>717.99403758326662</v>
      </c>
      <c r="U119" s="15">
        <f>U118-'Output - Jobs vs Yr (BAU)'!U55</f>
        <v>694.02376751524571</v>
      </c>
      <c r="V119" s="15">
        <f>V118-'Output - Jobs vs Yr (BAU)'!V55</f>
        <v>797.22047183371615</v>
      </c>
      <c r="W119" s="15">
        <f>W118-'Output - Jobs vs Yr (BAU)'!W55</f>
        <v>801.23511968171442</v>
      </c>
      <c r="X119" s="191">
        <f>X118-'Output - Jobs vs Yr (BAU)'!X55</f>
        <v>890.29953389985894</v>
      </c>
      <c r="Y119" s="131">
        <f>Y118-'Output - Jobs vs Yr (BAU)'!Y55</f>
        <v>894.75506376466728</v>
      </c>
      <c r="Z119" s="131">
        <f>Z118-'Output - Jobs vs Yr (BAU)'!Z55</f>
        <v>1007.341453788591</v>
      </c>
      <c r="AA119" s="131">
        <f>AA118-'Output - Jobs vs Yr (BAU)'!AA55</f>
        <v>1084.8333053183051</v>
      </c>
      <c r="AB119" s="131">
        <f>AB118-'Output - Jobs vs Yr (BAU)'!AB55</f>
        <v>1112.5575661617149</v>
      </c>
      <c r="AC119" s="131">
        <f>AC118-'Output - Jobs vs Yr (BAU)'!AC55</f>
        <v>1208.1768167080991</v>
      </c>
      <c r="AD119" s="131">
        <f>AD118-'Output - Jobs vs Yr (BAU)'!AD55</f>
        <v>1235.5638902696701</v>
      </c>
      <c r="AE119" s="131">
        <f>AE118-'Output - Jobs vs Yr (BAU)'!AE55</f>
        <v>1301.7182149183573</v>
      </c>
      <c r="AF119" s="131">
        <f>AF118-'Output - Jobs vs Yr (BAU)'!AF55</f>
        <v>1325.647381587416</v>
      </c>
      <c r="AG119" s="131">
        <f>AG118-'Output - Jobs vs Yr (BAU)'!AG55</f>
        <v>1392.3370160514896</v>
      </c>
      <c r="AH119" s="191">
        <f>AH118-'Output - Jobs vs Yr (BAU)'!AH55</f>
        <v>1311.8096683004151</v>
      </c>
    </row>
    <row r="120" spans="1:35" s="1" customFormat="1">
      <c r="B120" s="13"/>
      <c r="C120" s="332"/>
      <c r="D120" s="345"/>
      <c r="E120" s="345"/>
      <c r="F120" s="345"/>
      <c r="G120" s="345"/>
      <c r="H120" s="410"/>
      <c r="I120" s="15"/>
      <c r="J120" s="15"/>
      <c r="K120" s="15"/>
      <c r="L120" s="15"/>
      <c r="M120" s="15"/>
      <c r="N120" s="188" t="s">
        <v>0</v>
      </c>
      <c r="O120" s="15"/>
      <c r="P120" s="15"/>
      <c r="Q120" s="15"/>
      <c r="R120" s="15"/>
      <c r="S120" s="15"/>
      <c r="T120" s="15"/>
      <c r="U120" s="15"/>
      <c r="V120" s="15"/>
      <c r="W120" s="15"/>
      <c r="X120" s="191"/>
      <c r="Y120"/>
      <c r="Z120"/>
      <c r="AA120"/>
      <c r="AB120"/>
      <c r="AC120"/>
      <c r="AD120"/>
      <c r="AE120"/>
      <c r="AF120"/>
      <c r="AG120"/>
      <c r="AH120" s="281"/>
    </row>
    <row r="121" spans="1:35" hidden="1">
      <c r="W121" s="2" t="s">
        <v>139</v>
      </c>
      <c r="X121" s="188">
        <f>X100</f>
        <v>0</v>
      </c>
    </row>
    <row r="122" spans="1:35" hidden="1">
      <c r="W122" s="2" t="s">
        <v>142</v>
      </c>
      <c r="X122" s="188">
        <f>X103-'Output - Jobs vs Yr (BAU)'!X43</f>
        <v>14.918734568634136</v>
      </c>
    </row>
    <row r="123" spans="1:35" hidden="1">
      <c r="W123" s="2" t="s">
        <v>140</v>
      </c>
      <c r="X123" s="188">
        <f>X115-'Output - Jobs vs Yr (BAU)'!X51</f>
        <v>2390.4941957976143</v>
      </c>
    </row>
    <row r="124" spans="1:35" hidden="1">
      <c r="W124" s="2" t="s">
        <v>143</v>
      </c>
      <c r="X124" s="188">
        <f>SUM(X101,X106,X111)</f>
        <v>0</v>
      </c>
    </row>
    <row r="125" spans="1:35" hidden="1">
      <c r="W125" s="2" t="s">
        <v>138</v>
      </c>
      <c r="X125" s="188">
        <f>SUM(X121:X124)</f>
        <v>2405.4129303662485</v>
      </c>
    </row>
    <row r="126" spans="1:35">
      <c r="A126" s="1" t="s">
        <v>146</v>
      </c>
      <c r="C126" s="332">
        <v>2009</v>
      </c>
      <c r="D126" s="332">
        <v>2010</v>
      </c>
      <c r="E126" s="332">
        <v>2011</v>
      </c>
      <c r="F126" s="332">
        <v>2012</v>
      </c>
      <c r="G126" s="332">
        <v>2013</v>
      </c>
      <c r="H126" s="405">
        <v>2014</v>
      </c>
      <c r="I126" s="13">
        <v>2015</v>
      </c>
      <c r="J126" s="13">
        <v>2016</v>
      </c>
      <c r="K126" s="13">
        <v>2017</v>
      </c>
      <c r="L126" s="13">
        <v>2018</v>
      </c>
      <c r="M126" s="13">
        <v>2019</v>
      </c>
      <c r="N126" s="177">
        <v>2020</v>
      </c>
      <c r="O126" s="13">
        <v>2021</v>
      </c>
      <c r="P126" s="13">
        <v>2022</v>
      </c>
      <c r="Q126" s="13">
        <v>2023</v>
      </c>
      <c r="R126" s="13">
        <v>2024</v>
      </c>
      <c r="S126" s="13">
        <v>2025</v>
      </c>
      <c r="T126" s="13">
        <v>2026</v>
      </c>
      <c r="U126" s="13">
        <v>2027</v>
      </c>
      <c r="V126" s="13">
        <v>2028</v>
      </c>
      <c r="W126" s="13">
        <v>2029</v>
      </c>
      <c r="X126" s="177">
        <v>2030</v>
      </c>
      <c r="Y126" s="13">
        <v>2031</v>
      </c>
      <c r="Z126" s="13">
        <v>2032</v>
      </c>
      <c r="AA126" s="13">
        <v>2033</v>
      </c>
      <c r="AB126" s="13">
        <v>2034</v>
      </c>
      <c r="AC126" s="13">
        <v>2035</v>
      </c>
      <c r="AD126" s="13">
        <v>2036</v>
      </c>
      <c r="AE126" s="13">
        <v>2037</v>
      </c>
      <c r="AF126" s="13">
        <v>2038</v>
      </c>
      <c r="AG126" s="13">
        <v>2039</v>
      </c>
      <c r="AH126" s="177">
        <v>2040</v>
      </c>
      <c r="AI126" s="1" t="s">
        <v>0</v>
      </c>
    </row>
    <row r="127" spans="1:35">
      <c r="A127" s="10" t="s">
        <v>63</v>
      </c>
      <c r="B127" s="35">
        <v>0</v>
      </c>
      <c r="C127" s="335">
        <v>0</v>
      </c>
      <c r="D127" s="335">
        <f xml:space="preserve"> IF(D100&gt; 0, D100*Inputs!$H44, 0)</f>
        <v>0</v>
      </c>
      <c r="E127" s="335">
        <f xml:space="preserve"> IF(E100&gt; 0, E100*Inputs!$H44, 0)</f>
        <v>0</v>
      </c>
      <c r="F127" s="335">
        <f xml:space="preserve"> IF(F100&gt; 0, F100*Inputs!$H44, 0)</f>
        <v>0</v>
      </c>
      <c r="G127" s="335">
        <f xml:space="preserve"> IF(G100&gt; 0, G100*Inputs!$H44, 0)</f>
        <v>0</v>
      </c>
      <c r="H127" s="407">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3">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8">
        <f xml:space="preserve"> IF(X100&gt; 0, X100*Inputs!$H44, 0)</f>
        <v>0</v>
      </c>
      <c r="Y127" s="159">
        <f xml:space="preserve"> IF(Y100&gt; 0, Y100*Inputs!$H44, 0)</f>
        <v>0</v>
      </c>
      <c r="Z127" s="159">
        <f xml:space="preserve"> IF(Z100&gt; 0, Z100*Inputs!$H44, 0)</f>
        <v>0</v>
      </c>
      <c r="AA127" s="159">
        <f xml:space="preserve"> IF(AA100&gt; 0, AA100*Inputs!$H44, 0)</f>
        <v>0</v>
      </c>
      <c r="AB127" s="159">
        <f xml:space="preserve"> IF(AB100&gt; 0, AB100*Inputs!$H44, 0)</f>
        <v>0</v>
      </c>
      <c r="AC127" s="159">
        <f xml:space="preserve"> IF(AC100&gt; 0, AC100*Inputs!$H44, 0)</f>
        <v>0</v>
      </c>
      <c r="AD127" s="159">
        <f xml:space="preserve"> IF(AD100&gt; 0, AD100*Inputs!$H44, 0)</f>
        <v>0</v>
      </c>
      <c r="AE127" s="159">
        <f xml:space="preserve"> IF(AE100&gt; 0, AE100*Inputs!$H44, 0)</f>
        <v>0</v>
      </c>
      <c r="AF127" s="159">
        <f xml:space="preserve"> IF(AF100&gt; 0, AF100*Inputs!$H44, 0)</f>
        <v>0</v>
      </c>
      <c r="AG127" s="159">
        <f xml:space="preserve"> IF(AG100&gt; 0, AG100*Inputs!$H44, 0)</f>
        <v>0</v>
      </c>
      <c r="AH127" s="188">
        <f xml:space="preserve"> IF(AH100&gt; 0, AH100*Inputs!$H44, 0)</f>
        <v>0</v>
      </c>
    </row>
    <row r="128" spans="1:35">
      <c r="A128" s="10" t="s">
        <v>62</v>
      </c>
      <c r="B128" s="35">
        <v>0</v>
      </c>
      <c r="C128" s="335">
        <f>C101*Inputs!$H47</f>
        <v>0</v>
      </c>
      <c r="D128" s="335">
        <f>D101*Inputs!$H47</f>
        <v>0</v>
      </c>
      <c r="E128" s="335">
        <f>E101*Inputs!$H47</f>
        <v>0</v>
      </c>
      <c r="F128" s="335">
        <f>F101*Inputs!$H47</f>
        <v>0</v>
      </c>
      <c r="G128" s="335">
        <f>G101*Inputs!$H47</f>
        <v>0</v>
      </c>
      <c r="H128" s="407">
        <f>H101*Inputs!$H47</f>
        <v>0</v>
      </c>
      <c r="I128" s="14">
        <f>I101*Inputs!$H47</f>
        <v>0</v>
      </c>
      <c r="J128" s="14">
        <f>J101*Inputs!$H47</f>
        <v>0</v>
      </c>
      <c r="K128" s="14">
        <f>K101*Inputs!$H47</f>
        <v>0</v>
      </c>
      <c r="L128" s="14">
        <f>L101*Inputs!$H47</f>
        <v>0</v>
      </c>
      <c r="M128" s="14">
        <f>M101*Inputs!$H47</f>
        <v>0</v>
      </c>
      <c r="N128" s="183">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8">
        <f>X101*Inputs!$H47</f>
        <v>0</v>
      </c>
      <c r="Y128" s="159">
        <f>Y101*Inputs!$H47</f>
        <v>0</v>
      </c>
      <c r="Z128" s="159">
        <f>Z101*Inputs!$H47</f>
        <v>0</v>
      </c>
      <c r="AA128" s="159">
        <f>AA101*Inputs!$H47</f>
        <v>0</v>
      </c>
      <c r="AB128" s="159">
        <f>AB101*Inputs!$H47</f>
        <v>0</v>
      </c>
      <c r="AC128" s="159">
        <f>AC101*Inputs!$H47</f>
        <v>0</v>
      </c>
      <c r="AD128" s="159">
        <f>AD101*Inputs!$H47</f>
        <v>0</v>
      </c>
      <c r="AE128" s="159">
        <f>AE101*Inputs!$H47</f>
        <v>0</v>
      </c>
      <c r="AF128" s="159">
        <f>AF101*Inputs!$H47</f>
        <v>0</v>
      </c>
      <c r="AG128" s="159">
        <f>AG101*Inputs!$H47</f>
        <v>0</v>
      </c>
      <c r="AH128" s="188">
        <f>AH101*Inputs!$H47</f>
        <v>0</v>
      </c>
    </row>
    <row r="129" spans="1:35">
      <c r="A129" s="10" t="s">
        <v>51</v>
      </c>
      <c r="B129" s="35">
        <v>0</v>
      </c>
      <c r="C129" s="335">
        <f>C102*Inputs!$H48</f>
        <v>3728.0249864999996</v>
      </c>
      <c r="D129" s="335">
        <f>D102*Inputs!$H48</f>
        <v>3851.1198546201449</v>
      </c>
      <c r="E129" s="335">
        <f>E102*Inputs!$H48</f>
        <v>3939.4223266673198</v>
      </c>
      <c r="F129" s="335">
        <f>F102*Inputs!$H48</f>
        <v>3913.0566470557533</v>
      </c>
      <c r="G129" s="335">
        <f>G102*Inputs!$H48</f>
        <v>4037.935673131803</v>
      </c>
      <c r="H129" s="407">
        <f>H102*Inputs!$H48</f>
        <v>3709.5324164999993</v>
      </c>
      <c r="I129" s="14">
        <f>I102*Inputs!$H48</f>
        <v>3770.820572891434</v>
      </c>
      <c r="J129" s="14">
        <f>J102*Inputs!$H48</f>
        <v>3706.9684429958161</v>
      </c>
      <c r="K129" s="14">
        <f>K102*Inputs!$H48</f>
        <v>3700.4567619479085</v>
      </c>
      <c r="L129" s="14">
        <f>L102*Inputs!$H48</f>
        <v>3833.3600920748213</v>
      </c>
      <c r="M129" s="14">
        <f>M102*Inputs!$H48</f>
        <v>3869.741776727647</v>
      </c>
      <c r="N129" s="183">
        <f>N102*Inputs!$H48</f>
        <v>3906.7305615000005</v>
      </c>
      <c r="O129" s="14">
        <f>O102*Inputs!$H48</f>
        <v>3901.9117128936023</v>
      </c>
      <c r="P129" s="14">
        <f>P102*Inputs!$H48</f>
        <v>3881.1616724343703</v>
      </c>
      <c r="Q129" s="14">
        <f>Q102*Inputs!$H48</f>
        <v>3896.4912426559208</v>
      </c>
      <c r="R129" s="14">
        <f>R102*Inputs!$H48</f>
        <v>3941.8059982940772</v>
      </c>
      <c r="S129" s="14">
        <f>S102*Inputs!$H48</f>
        <v>3951.3427831604799</v>
      </c>
      <c r="T129" s="14">
        <f>T102*Inputs!$H48</f>
        <v>3938.2342360777625</v>
      </c>
      <c r="U129" s="14">
        <f>U102*Inputs!$H48</f>
        <v>3873.0472710954286</v>
      </c>
      <c r="V129" s="14">
        <f>V102*Inputs!$H48</f>
        <v>3918.9772766289043</v>
      </c>
      <c r="W129" s="14">
        <f>W102*Inputs!$H48</f>
        <v>3881.3499472562212</v>
      </c>
      <c r="X129" s="188">
        <f>X102*Inputs!$H48</f>
        <v>3917.5784338802473</v>
      </c>
      <c r="Y129" s="159">
        <f>Y102*Inputs!$H48</f>
        <v>3883.8938394284405</v>
      </c>
      <c r="Z129" s="159">
        <f>Z102*Inputs!$H48</f>
        <v>3938.7050413818079</v>
      </c>
      <c r="AA129" s="159">
        <f>AA102*Inputs!$H48</f>
        <v>3962.2566373660848</v>
      </c>
      <c r="AB129" s="159">
        <f>AB102*Inputs!$H48</f>
        <v>3941.954859396832</v>
      </c>
      <c r="AC129" s="159">
        <f>AC102*Inputs!$H48</f>
        <v>3975.2477827010021</v>
      </c>
      <c r="AD129" s="159">
        <f>AD102*Inputs!$H48</f>
        <v>3956.1605798279757</v>
      </c>
      <c r="AE129" s="159">
        <f>AE102*Inputs!$H48</f>
        <v>3957.0686729391618</v>
      </c>
      <c r="AF129" s="159">
        <f>AF102*Inputs!$H48</f>
        <v>3926.1849362313192</v>
      </c>
      <c r="AG129" s="159">
        <f>AG102*Inputs!$H48</f>
        <v>3926.9222984178095</v>
      </c>
      <c r="AH129" s="188">
        <f>AH102*Inputs!$H48</f>
        <v>3917.5784338802473</v>
      </c>
    </row>
    <row r="130" spans="1:35">
      <c r="A130" s="10" t="s">
        <v>61</v>
      </c>
      <c r="B130" s="35">
        <v>0</v>
      </c>
      <c r="C130" s="335">
        <f>C103*Inputs!$H53</f>
        <v>5479.1100000000006</v>
      </c>
      <c r="D130" s="335">
        <f>D103*Inputs!$H53</f>
        <v>5575.5679420940842</v>
      </c>
      <c r="E130" s="335">
        <f>E103*Inputs!$H53</f>
        <v>5617.7055721704219</v>
      </c>
      <c r="F130" s="335">
        <f>F103*Inputs!$H53</f>
        <v>5495.6509661631244</v>
      </c>
      <c r="G130" s="335">
        <f>G103*Inputs!$H53</f>
        <v>5584.5720575606301</v>
      </c>
      <c r="H130" s="407">
        <f>H103*Inputs!$H53</f>
        <v>5122.9830960000008</v>
      </c>
      <c r="I130" s="14">
        <f>I103*Inputs!$H53</f>
        <v>5110.5626675404901</v>
      </c>
      <c r="J130" s="14">
        <f>J103*Inputs!$H53</f>
        <v>4931.5310515049996</v>
      </c>
      <c r="K130" s="14">
        <f>K103*Inputs!$H53</f>
        <v>4833.3245454256275</v>
      </c>
      <c r="L130" s="14">
        <f>L103*Inputs!$H53</f>
        <v>4916.9139357510476</v>
      </c>
      <c r="M130" s="14">
        <f>M103*Inputs!$H53</f>
        <v>4875.3861306148337</v>
      </c>
      <c r="N130" s="183">
        <f>N103*Inputs!$H53</f>
        <v>4835.5222860000003</v>
      </c>
      <c r="O130" s="14">
        <f>O103*Inputs!$H53</f>
        <v>4829.5577974174685</v>
      </c>
      <c r="P130" s="14">
        <f>P103*Inputs!$H53</f>
        <v>4803.8746125915632</v>
      </c>
      <c r="Q130" s="14">
        <f>Q103*Inputs!$H53</f>
        <v>4822.848656814529</v>
      </c>
      <c r="R130" s="14">
        <f>R103*Inputs!$H53</f>
        <v>4878.9366074227264</v>
      </c>
      <c r="S130" s="14">
        <f>S103*Inputs!$H53</f>
        <v>4890.7406811954961</v>
      </c>
      <c r="T130" s="14">
        <f>T103*Inputs!$H53</f>
        <v>4874.5156893365183</v>
      </c>
      <c r="U130" s="14">
        <f>U103*Inputs!$H53</f>
        <v>4793.8310818452483</v>
      </c>
      <c r="V130" s="14">
        <f>V103*Inputs!$H53</f>
        <v>4850.6805527409197</v>
      </c>
      <c r="W130" s="14">
        <f>W103*Inputs!$H53</f>
        <v>4804.1076481394794</v>
      </c>
      <c r="X130" s="188">
        <f>X103*Inputs!$H53</f>
        <v>4848.9491471117717</v>
      </c>
      <c r="Y130" s="159">
        <f>Y103*Inputs!$H53</f>
        <v>4807.2563288837227</v>
      </c>
      <c r="Z130" s="159">
        <f>Z103*Inputs!$H53</f>
        <v>4875.0984245685077</v>
      </c>
      <c r="AA130" s="159">
        <f>AA103*Inputs!$H53</f>
        <v>4904.2492107463786</v>
      </c>
      <c r="AB130" s="159">
        <f>AB103*Inputs!$H53</f>
        <v>4879.1208589774624</v>
      </c>
      <c r="AC130" s="159">
        <f>AC103*Inputs!$H53</f>
        <v>4920.3288895977239</v>
      </c>
      <c r="AD130" s="159">
        <f>AD103*Inputs!$H53</f>
        <v>4896.7038677496657</v>
      </c>
      <c r="AE130" s="159">
        <f>AE103*Inputs!$H53</f>
        <v>4897.8278522189748</v>
      </c>
      <c r="AF130" s="159">
        <f>AF103*Inputs!$H53</f>
        <v>4859.6017716703363</v>
      </c>
      <c r="AG130" s="159">
        <f>AG103*Inputs!$H53</f>
        <v>4860.5144354001504</v>
      </c>
      <c r="AH130" s="188">
        <f>AH103*Inputs!$H53</f>
        <v>4848.9491471117717</v>
      </c>
    </row>
    <row r="131" spans="1:35">
      <c r="A131" s="10" t="s">
        <v>127</v>
      </c>
      <c r="B131" s="35">
        <v>1</v>
      </c>
      <c r="C131" s="334">
        <f>Inputs!$H46*'Output -Jobs vs Yr'!C104</f>
        <v>101.304</v>
      </c>
      <c r="D131" s="334">
        <f>Inputs!$H46*'Output -Jobs vs Yr'!D104</f>
        <v>129.24068080246411</v>
      </c>
      <c r="E131" s="334">
        <f>Inputs!$H46*'Output -Jobs vs Yr'!E104</f>
        <v>163.27364733942835</v>
      </c>
      <c r="F131" s="334">
        <f>Inputs!$H46*'Output -Jobs vs Yr'!F104</f>
        <v>200.29859851713184</v>
      </c>
      <c r="G131" s="334">
        <f>Inputs!$H46*'Output -Jobs vs Yr'!G104</f>
        <v>255.27378217367252</v>
      </c>
      <c r="H131" s="287">
        <f>Inputs!$H46*'Output -Jobs vs Yr'!H104</f>
        <v>128.756439</v>
      </c>
      <c r="I131" s="40">
        <f>Inputs!$H46*'Output -Jobs vs Yr'!I104</f>
        <v>159.76295160492955</v>
      </c>
      <c r="J131" s="40">
        <f>Inputs!$H46*'Output -Jobs vs Yr'!J104</f>
        <v>191.75854153186384</v>
      </c>
      <c r="K131" s="40">
        <f>Inputs!$H46*'Output -Jobs vs Yr'!K104</f>
        <v>233.77000408696122</v>
      </c>
      <c r="L131" s="40">
        <f>Inputs!$H46*'Output -Jobs vs Yr'!L104</f>
        <v>295.80780786551486</v>
      </c>
      <c r="M131" s="40">
        <f>Inputs!$H46*'Output -Jobs vs Yr'!M104</f>
        <v>364.84180065235796</v>
      </c>
      <c r="N131" s="178">
        <f>Inputs!$H46*'Output -Jobs vs Yr'!N104</f>
        <v>450.11333858931931</v>
      </c>
      <c r="O131" s="40">
        <f>Inputs!$H46*'Output -Jobs vs Yr'!O104</f>
        <v>467.56104371289638</v>
      </c>
      <c r="P131" s="40">
        <f>Inputs!$H46*'Output -Jobs vs Yr'!P104</f>
        <v>483.69966352606224</v>
      </c>
      <c r="Q131" s="40">
        <f>Inputs!$H46*'Output -Jobs vs Yr'!Q104</f>
        <v>505.05844478740613</v>
      </c>
      <c r="R131" s="40">
        <f>Inputs!$H46*'Output -Jobs vs Yr'!R104</f>
        <v>531.39537333862938</v>
      </c>
      <c r="S131" s="40">
        <f>Inputs!$H46*'Output -Jobs vs Yr'!S104</f>
        <v>554.01628023834849</v>
      </c>
      <c r="T131" s="40">
        <f>Inputs!$H46*'Output -Jobs vs Yr'!T104</f>
        <v>574.2954377914208</v>
      </c>
      <c r="U131" s="40">
        <f>Inputs!$H46*'Output -Jobs vs Yr'!U104</f>
        <v>587.412693365422</v>
      </c>
      <c r="V131" s="40">
        <f>Inputs!$H46*'Output -Jobs vs Yr'!V104</f>
        <v>618.18815976721362</v>
      </c>
      <c r="W131" s="40">
        <f>Inputs!$H46*'Output -Jobs vs Yr'!W104</f>
        <v>636.779167047344</v>
      </c>
      <c r="X131" s="185">
        <f>Inputs!$H46*'Output -Jobs vs Yr'!X104</f>
        <v>668.47097057696817</v>
      </c>
      <c r="Y131" s="272">
        <f>Inputs!$H46*'Output -Jobs vs Yr'!Y104</f>
        <v>686.47950440726117</v>
      </c>
      <c r="Z131" s="272">
        <f>Inputs!$H46*'Output -Jobs vs Yr'!Z104</f>
        <v>721.15271979541728</v>
      </c>
      <c r="AA131" s="272">
        <f>Inputs!$H46*'Output -Jobs vs Yr'!AA104</f>
        <v>751.53355696402286</v>
      </c>
      <c r="AB131" s="272">
        <f>Inputs!$H46*'Output -Jobs vs Yr'!AB104</f>
        <v>774.58321232450601</v>
      </c>
      <c r="AC131" s="272">
        <f>Inputs!$H46*'Output -Jobs vs Yr'!AC104</f>
        <v>809.26398230308644</v>
      </c>
      <c r="AD131" s="272">
        <f>Inputs!$H46*'Output -Jobs vs Yr'!AD104</f>
        <v>834.42760238537744</v>
      </c>
      <c r="AE131" s="272">
        <f>Inputs!$H46*'Output -Jobs vs Yr'!AE104</f>
        <v>864.76181954847141</v>
      </c>
      <c r="AF131" s="272">
        <f>Inputs!$H46*'Output -Jobs vs Yr'!AF104</f>
        <v>889.04046569181753</v>
      </c>
      <c r="AG131" s="272">
        <f>Inputs!$H46*'Output -Jobs vs Yr'!AG104</f>
        <v>921.40570638471866</v>
      </c>
      <c r="AH131" s="185">
        <f>Inputs!$H46*'Output -Jobs vs Yr'!AH104</f>
        <v>952.54243539912511</v>
      </c>
    </row>
    <row r="132" spans="1:35">
      <c r="A132" s="10" t="s">
        <v>52</v>
      </c>
      <c r="B132" s="35">
        <v>1</v>
      </c>
      <c r="C132" s="335">
        <f>C105*Inputs!$H49</f>
        <v>2.2500000000000003E-2</v>
      </c>
      <c r="D132" s="335">
        <f>D105*Inputs!$H49</f>
        <v>2.5647796540853387E-2</v>
      </c>
      <c r="E132" s="335">
        <f>E105*Inputs!$H49</f>
        <v>2.8950883102293091E-2</v>
      </c>
      <c r="F132" s="335">
        <f>F105*Inputs!$H49</f>
        <v>3.1733540606425886E-2</v>
      </c>
      <c r="G132" s="335">
        <f>G105*Inputs!$H49</f>
        <v>3.613613760152655E-2</v>
      </c>
      <c r="H132" s="407">
        <f>H105*Inputs!$H49</f>
        <v>2.2500000000000003E-2</v>
      </c>
      <c r="I132" s="14">
        <f>I105*Inputs!$H49</f>
        <v>2.4945058981982102E-2</v>
      </c>
      <c r="J132" s="14">
        <f>J105*Inputs!$H49</f>
        <v>2.6752112130027324E-2</v>
      </c>
      <c r="K132" s="14">
        <f>K105*Inputs!$H49</f>
        <v>2.9139831834153775E-2</v>
      </c>
      <c r="L132" s="14">
        <f>L105*Inputs!$H49</f>
        <v>3.294600714288845E-2</v>
      </c>
      <c r="M132" s="14">
        <f>M105*Inputs!$H49</f>
        <v>3.6307190525088955E-2</v>
      </c>
      <c r="N132" s="183">
        <f>N105*Inputs!$H49</f>
        <v>4.0022557310080809E-2</v>
      </c>
      <c r="O132" s="14">
        <f>O105*Inputs!$H49</f>
        <v>4.1573948300683929E-2</v>
      </c>
      <c r="P132" s="14">
        <f>P105*Inputs!$H49</f>
        <v>4.3008939848373562E-2</v>
      </c>
      <c r="Q132" s="14">
        <f>Q105*Inputs!$H49</f>
        <v>4.4908090515147221E-2</v>
      </c>
      <c r="R132" s="14">
        <f>R105*Inputs!$H49</f>
        <v>4.7249881219720326E-2</v>
      </c>
      <c r="S132" s="14">
        <f>S105*Inputs!$H49</f>
        <v>4.9261255834028406E-2</v>
      </c>
      <c r="T132" s="14">
        <f>T105*Inputs!$H49</f>
        <v>5.1064410008289658E-2</v>
      </c>
      <c r="U132" s="14">
        <f>U105*Inputs!$H49</f>
        <v>5.2230752055843217E-2</v>
      </c>
      <c r="V132" s="14">
        <f>V105*Inputs!$H49</f>
        <v>5.496720255000194E-2</v>
      </c>
      <c r="W132" s="14">
        <f>W105*Inputs!$H49</f>
        <v>5.6620252105594029E-2</v>
      </c>
      <c r="X132" s="188">
        <f>X105*Inputs!$H49</f>
        <v>5.943818020121408E-2</v>
      </c>
      <c r="Y132" s="159">
        <f>Y105*Inputs!$H49</f>
        <v>6.103943818559706E-2</v>
      </c>
      <c r="Z132" s="159">
        <f>Z105*Inputs!$H49</f>
        <v>6.412246335065086E-2</v>
      </c>
      <c r="AA132" s="159">
        <f>AA105*Inputs!$H49</f>
        <v>6.6823824746692809E-2</v>
      </c>
      <c r="AB132" s="159">
        <f>AB105*Inputs!$H49</f>
        <v>6.8873322225558323E-2</v>
      </c>
      <c r="AC132" s="159">
        <f>AC105*Inputs!$H49</f>
        <v>7.1957019119268648E-2</v>
      </c>
      <c r="AD132" s="159">
        <f>AD105*Inputs!$H49</f>
        <v>7.4194483198935665E-2</v>
      </c>
      <c r="AE132" s="159">
        <f>AE105*Inputs!$H49</f>
        <v>7.6891699301598337E-2</v>
      </c>
      <c r="AF132" s="159">
        <f>AF105*Inputs!$H49</f>
        <v>7.9050474488595854E-2</v>
      </c>
      <c r="AG132" s="159">
        <f>AG105*Inputs!$H49</f>
        <v>8.1928282341493214E-2</v>
      </c>
      <c r="AH132" s="188">
        <f>AH105*Inputs!$H49</f>
        <v>8.4696855086600298E-2</v>
      </c>
    </row>
    <row r="133" spans="1:35">
      <c r="A133" s="10" t="s">
        <v>125</v>
      </c>
      <c r="B133" s="35">
        <v>1</v>
      </c>
      <c r="C133" s="335">
        <f>C106*Inputs!$H50</f>
        <v>0</v>
      </c>
      <c r="D133" s="335">
        <f>D106*Inputs!$H50</f>
        <v>0</v>
      </c>
      <c r="E133" s="335">
        <f>E106*Inputs!$H50</f>
        <v>0</v>
      </c>
      <c r="F133" s="335">
        <f>F106*Inputs!$H50</f>
        <v>0</v>
      </c>
      <c r="G133" s="335">
        <f>G106*Inputs!$H50</f>
        <v>0</v>
      </c>
      <c r="H133" s="407">
        <f>H106*Inputs!$H50</f>
        <v>0</v>
      </c>
      <c r="I133" s="14">
        <f>I106*Inputs!$H50</f>
        <v>0</v>
      </c>
      <c r="J133" s="14">
        <f>J106*Inputs!$H50</f>
        <v>0</v>
      </c>
      <c r="K133" s="14">
        <f>K106*Inputs!$H50</f>
        <v>0</v>
      </c>
      <c r="L133" s="14">
        <f>L106*Inputs!$H50</f>
        <v>0</v>
      </c>
      <c r="M133" s="14">
        <f>M106*Inputs!$H50</f>
        <v>0</v>
      </c>
      <c r="N133" s="183">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8">
        <f>X106*Inputs!$H50</f>
        <v>0</v>
      </c>
      <c r="Y133" s="159">
        <f>Y106*Inputs!$H50</f>
        <v>0</v>
      </c>
      <c r="Z133" s="159">
        <f>Z106*Inputs!$H50</f>
        <v>0</v>
      </c>
      <c r="AA133" s="159">
        <f>AA106*Inputs!$H50</f>
        <v>0</v>
      </c>
      <c r="AB133" s="159">
        <f>AB106*Inputs!$H50</f>
        <v>0</v>
      </c>
      <c r="AC133" s="159">
        <f>AC106*Inputs!$H50</f>
        <v>0</v>
      </c>
      <c r="AD133" s="159">
        <f>AD106*Inputs!$H50</f>
        <v>0</v>
      </c>
      <c r="AE133" s="159">
        <f>AE106*Inputs!$H50</f>
        <v>0</v>
      </c>
      <c r="AF133" s="159">
        <f>AF106*Inputs!$H50</f>
        <v>0</v>
      </c>
      <c r="AG133" s="159">
        <f>AG106*Inputs!$H50</f>
        <v>0</v>
      </c>
      <c r="AH133" s="188">
        <f>AH106*Inputs!$H50</f>
        <v>0</v>
      </c>
    </row>
    <row r="134" spans="1:35">
      <c r="A134" s="10" t="s">
        <v>53</v>
      </c>
      <c r="B134" s="35">
        <v>1</v>
      </c>
      <c r="C134" s="335">
        <f>C107*Inputs!$H52</f>
        <v>224.77500000000001</v>
      </c>
      <c r="D134" s="335">
        <f>D107*Inputs!$H52</f>
        <v>256.13198537551278</v>
      </c>
      <c r="E134" s="335">
        <f>E107*Inputs!$H52</f>
        <v>289.0173000551344</v>
      </c>
      <c r="F134" s="335">
        <f>F107*Inputs!$H52</f>
        <v>316.6859689733522</v>
      </c>
      <c r="G134" s="335">
        <f>G107*Inputs!$H52</f>
        <v>360.49586766406196</v>
      </c>
      <c r="H134" s="407">
        <f>H107*Inputs!$H52</f>
        <v>241.75502999999998</v>
      </c>
      <c r="I134" s="14">
        <f>I107*Inputs!$H52</f>
        <v>267.93275130650119</v>
      </c>
      <c r="J134" s="14">
        <f>J107*Inputs!$H52</f>
        <v>287.24178208033442</v>
      </c>
      <c r="K134" s="14">
        <f>K107*Inputs!$H52</f>
        <v>312.76982372528062</v>
      </c>
      <c r="L134" s="14">
        <f>L107*Inputs!$H52</f>
        <v>353.49954593065479</v>
      </c>
      <c r="M134" s="14">
        <f>M107*Inputs!$H52</f>
        <v>389.42782948952743</v>
      </c>
      <c r="N134" s="183">
        <f>N107*Inputs!$H52</f>
        <v>429.12858326831434</v>
      </c>
      <c r="O134" s="14">
        <f>O107*Inputs!$H52</f>
        <v>445.76285810324742</v>
      </c>
      <c r="P134" s="14">
        <f>P107*Inputs!$H52</f>
        <v>461.14907855615564</v>
      </c>
      <c r="Q134" s="14">
        <f>Q107*Inputs!$H52</f>
        <v>481.51209106261473</v>
      </c>
      <c r="R134" s="14">
        <f>R107*Inputs!$H52</f>
        <v>506.62116441788595</v>
      </c>
      <c r="S134" s="14">
        <f>S107*Inputs!$H52</f>
        <v>528.18746094343237</v>
      </c>
      <c r="T134" s="14">
        <f>T107*Inputs!$H52</f>
        <v>547.52118292976274</v>
      </c>
      <c r="U134" s="14">
        <f>U107*Inputs!$H52</f>
        <v>560.02689830909605</v>
      </c>
      <c r="V134" s="14">
        <f>V107*Inputs!$H52</f>
        <v>589.36758023114885</v>
      </c>
      <c r="W134" s="14">
        <f>W107*Inputs!$H52</f>
        <v>607.09185527853265</v>
      </c>
      <c r="X134" s="188">
        <f>X107*Inputs!$H52</f>
        <v>637.3061537316911</v>
      </c>
      <c r="Y134" s="159">
        <f>Y107*Inputs!$H52</f>
        <v>654.47511085158681</v>
      </c>
      <c r="Z134" s="159">
        <f>Z107*Inputs!$H52</f>
        <v>687.53182461952133</v>
      </c>
      <c r="AA134" s="159">
        <f>AA107*Inputs!$H52</f>
        <v>716.49627533659771</v>
      </c>
      <c r="AB134" s="159">
        <f>AB107*Inputs!$H52</f>
        <v>738.47133162057025</v>
      </c>
      <c r="AC134" s="159">
        <f>AC107*Inputs!$H52</f>
        <v>771.53524777601058</v>
      </c>
      <c r="AD134" s="159">
        <f>AD107*Inputs!$H52</f>
        <v>795.52571353216535</v>
      </c>
      <c r="AE134" s="159">
        <f>AE107*Inputs!$H52</f>
        <v>824.44571771721985</v>
      </c>
      <c r="AF134" s="159">
        <f>AF107*Inputs!$H52</f>
        <v>847.59246794643866</v>
      </c>
      <c r="AG134" s="159">
        <f>AG107*Inputs!$H52</f>
        <v>878.44880721692357</v>
      </c>
      <c r="AH134" s="188">
        <f>AH107*Inputs!$H52</f>
        <v>908.13390931018273</v>
      </c>
    </row>
    <row r="135" spans="1:35">
      <c r="A135" s="9" t="s">
        <v>353</v>
      </c>
      <c r="B135" s="35">
        <v>1</v>
      </c>
      <c r="C135" s="335">
        <f>C108*Inputs!$H54</f>
        <v>0</v>
      </c>
      <c r="D135" s="335">
        <f>D108*Inputs!$H54</f>
        <v>0</v>
      </c>
      <c r="E135" s="335">
        <f>E108*Inputs!$H54</f>
        <v>79.028361000000004</v>
      </c>
      <c r="F135" s="335">
        <f>F108*Inputs!$H54</f>
        <v>166.907961</v>
      </c>
      <c r="G135" s="335">
        <f>G108*Inputs!$H54</f>
        <v>220.69653300000002</v>
      </c>
      <c r="H135" s="407">
        <f>H108*Inputs!$H54</f>
        <v>266.9748120000001</v>
      </c>
      <c r="I135" s="14">
        <f>I108*Inputs!$H54</f>
        <v>312.14274257405134</v>
      </c>
      <c r="J135" s="14">
        <f>J108*Inputs!$H54</f>
        <v>353.02683433217993</v>
      </c>
      <c r="K135" s="14">
        <f>K108*Inputs!$H54</f>
        <v>405.52498680392858</v>
      </c>
      <c r="L135" s="14">
        <f>L108*Inputs!$H54</f>
        <v>483.51984277671124</v>
      </c>
      <c r="M135" s="14">
        <f>M108*Inputs!$H54</f>
        <v>561.93371905654271</v>
      </c>
      <c r="N135" s="183">
        <f>N108*Inputs!$H54</f>
        <v>653.24819642416173</v>
      </c>
      <c r="O135" s="14">
        <f>O108*Inputs!$H54</f>
        <v>678.57000079334171</v>
      </c>
      <c r="P135" s="14">
        <f>P108*Inputs!$H54</f>
        <v>701.99193340872819</v>
      </c>
      <c r="Q135" s="14">
        <f>Q108*Inputs!$H54</f>
        <v>732.98987135146808</v>
      </c>
      <c r="R135" s="14">
        <f>R108*Inputs!$H54</f>
        <v>771.2125801682264</v>
      </c>
      <c r="S135" s="14">
        <f>S108*Inputs!$H54</f>
        <v>804.04223742751265</v>
      </c>
      <c r="T135" s="14">
        <f>T108*Inputs!$H54</f>
        <v>833.47332058106633</v>
      </c>
      <c r="U135" s="14">
        <f>U108*Inputs!$H54</f>
        <v>852.51035594777238</v>
      </c>
      <c r="V135" s="14">
        <f>V108*Inputs!$H54</f>
        <v>897.1747020080112</v>
      </c>
      <c r="W135" s="14">
        <f>W108*Inputs!$H54</f>
        <v>924.15577751560545</v>
      </c>
      <c r="X135" s="188">
        <f>X108*Inputs!$H54</f>
        <v>970.1500010194884</v>
      </c>
      <c r="Y135" s="159">
        <f>Y108*Inputs!$H54</f>
        <v>996.2857344810908</v>
      </c>
      <c r="Z135" s="159">
        <f>Z108*Inputs!$H54</f>
        <v>1046.6068724583088</v>
      </c>
      <c r="AA135" s="159">
        <f>AA108*Inputs!$H54</f>
        <v>1090.6984942450504</v>
      </c>
      <c r="AB135" s="159">
        <f>AB108*Inputs!$H54</f>
        <v>1124.1503929148921</v>
      </c>
      <c r="AC135" s="159">
        <f>AC108*Inputs!$H54</f>
        <v>1174.4824948475107</v>
      </c>
      <c r="AD135" s="159">
        <f>AD108*Inputs!$H54</f>
        <v>1211.0023844508212</v>
      </c>
      <c r="AE135" s="159">
        <f>AE108*Inputs!$H54</f>
        <v>1255.0263467573677</v>
      </c>
      <c r="AF135" s="159">
        <f>AF108*Inputs!$H54</f>
        <v>1290.2618762230513</v>
      </c>
      <c r="AG135" s="159">
        <f>AG108*Inputs!$H54</f>
        <v>1337.2334571491656</v>
      </c>
      <c r="AH135" s="188">
        <f>AH108*Inputs!$H54</f>
        <v>1382.4221026022321</v>
      </c>
    </row>
    <row r="136" spans="1:35">
      <c r="A136" s="9" t="s">
        <v>354</v>
      </c>
      <c r="B136" s="35">
        <v>1</v>
      </c>
      <c r="C136" s="335">
        <f>C109*Inputs!$H55</f>
        <v>0</v>
      </c>
      <c r="D136" s="335">
        <f>D109*Inputs!$H55</f>
        <v>0</v>
      </c>
      <c r="E136" s="335">
        <f>E109*Inputs!$H55</f>
        <v>0.20700000000000002</v>
      </c>
      <c r="F136" s="335">
        <f>F109*Inputs!$H55</f>
        <v>0.20700000000000002</v>
      </c>
      <c r="G136" s="335">
        <f>G109*Inputs!$H55</f>
        <v>0.20700000000000002</v>
      </c>
      <c r="H136" s="407">
        <f>H109*Inputs!$H55</f>
        <v>0.20700000000000002</v>
      </c>
      <c r="I136" s="14">
        <f>I109*Inputs!$H55</f>
        <v>0.22949454263423527</v>
      </c>
      <c r="J136" s="14">
        <f>J109*Inputs!$H55</f>
        <v>0.2461194315962513</v>
      </c>
      <c r="K136" s="14">
        <f>K109*Inputs!$H55</f>
        <v>0.26808645287421468</v>
      </c>
      <c r="L136" s="14">
        <f>L109*Inputs!$H55</f>
        <v>0.30310326571457374</v>
      </c>
      <c r="M136" s="14">
        <f>M109*Inputs!$H55</f>
        <v>0.33402615283081832</v>
      </c>
      <c r="N136" s="188">
        <f>N109*Inputs!$H55</f>
        <v>0.36820752725274342</v>
      </c>
      <c r="O136" s="14">
        <f>O109*Inputs!$H55</f>
        <v>0.38248032436629203</v>
      </c>
      <c r="P136" s="14">
        <f>P109*Inputs!$H55</f>
        <v>0.39568224660503659</v>
      </c>
      <c r="Q136" s="14">
        <f>Q109*Inputs!$H55</f>
        <v>0.41315443273935426</v>
      </c>
      <c r="R136" s="14">
        <f>R109*Inputs!$H55</f>
        <v>0.43469890722142679</v>
      </c>
      <c r="S136" s="14">
        <f>S109*Inputs!$H55</f>
        <v>0.45320355367306103</v>
      </c>
      <c r="T136" s="14">
        <f>T109*Inputs!$H55</f>
        <v>0.46979257207626451</v>
      </c>
      <c r="U136" s="14">
        <f>U109*Inputs!$H55</f>
        <v>0.48052291891375731</v>
      </c>
      <c r="V136" s="14">
        <f>V109*Inputs!$H55</f>
        <v>0.50569826346001745</v>
      </c>
      <c r="W136" s="14">
        <f>W109*Inputs!$H55</f>
        <v>0.52090631937146481</v>
      </c>
      <c r="X136" s="188">
        <f>X109*Inputs!$H55</f>
        <v>0.54683125785116959</v>
      </c>
      <c r="Y136" s="159">
        <f>Y109*Inputs!$H55</f>
        <v>0.56156283130749296</v>
      </c>
      <c r="Z136" s="159">
        <f>Z109*Inputs!$H55</f>
        <v>0.58992666282598794</v>
      </c>
      <c r="AA136" s="159">
        <f>AA109*Inputs!$H55</f>
        <v>0.61477918766957396</v>
      </c>
      <c r="AB136" s="159">
        <f>AB109*Inputs!$H55</f>
        <v>0.63363456447513677</v>
      </c>
      <c r="AC136" s="159">
        <f>AC109*Inputs!$H55</f>
        <v>0.6620045758972718</v>
      </c>
      <c r="AD136" s="159">
        <f>AD109*Inputs!$H55</f>
        <v>0.68258924543020827</v>
      </c>
      <c r="AE136" s="159">
        <f>AE109*Inputs!$H55</f>
        <v>0.70740363357470482</v>
      </c>
      <c r="AF136" s="159">
        <f>AF109*Inputs!$H55</f>
        <v>0.72726436529508209</v>
      </c>
      <c r="AG136" s="159">
        <f>AG109*Inputs!$H55</f>
        <v>0.75374019754173782</v>
      </c>
      <c r="AH136" s="188">
        <f>AH109*Inputs!$H55</f>
        <v>0.7792110667967227</v>
      </c>
    </row>
    <row r="137" spans="1:35">
      <c r="A137" s="9" t="s">
        <v>350</v>
      </c>
      <c r="B137" s="35">
        <v>1</v>
      </c>
      <c r="C137" s="335">
        <f>C110*Inputs!$H56</f>
        <v>2.1600000000000003E-5</v>
      </c>
      <c r="D137" s="335">
        <f>D110*Inputs!$H56</f>
        <v>2.4621884679219256E-5</v>
      </c>
      <c r="E137" s="335">
        <f>E110*Inputs!$H56</f>
        <v>2.7792847778201371E-5</v>
      </c>
      <c r="F137" s="335">
        <f>F110*Inputs!$H56</f>
        <v>3.0464198982168858E-5</v>
      </c>
      <c r="G137" s="335">
        <f>G110*Inputs!$H56</f>
        <v>3.4690692097465494E-5</v>
      </c>
      <c r="H137" s="407">
        <f>H110*Inputs!$H56</f>
        <v>2.1600000000000003E-5</v>
      </c>
      <c r="I137" s="14">
        <f>I110*Inputs!$H56</f>
        <v>2.3947256622702817E-5</v>
      </c>
      <c r="J137" s="14">
        <f>J110*Inputs!$H56</f>
        <v>2.568202764482623E-5</v>
      </c>
      <c r="K137" s="14">
        <f>K110*Inputs!$H56</f>
        <v>2.7974238560787624E-5</v>
      </c>
      <c r="L137" s="14">
        <f>L110*Inputs!$H56</f>
        <v>3.1628166857172918E-5</v>
      </c>
      <c r="M137" s="14">
        <f>M110*Inputs!$H56</f>
        <v>3.485490290408539E-5</v>
      </c>
      <c r="N137" s="188">
        <f>N110*Inputs!$H56</f>
        <v>3.842165501767758E-5</v>
      </c>
      <c r="O137" s="14">
        <f>O110*Inputs!$H56</f>
        <v>3.9910990368656566E-5</v>
      </c>
      <c r="P137" s="14">
        <f>P110*Inputs!$H56</f>
        <v>4.1288582254438622E-5</v>
      </c>
      <c r="Q137" s="14">
        <f>Q110*Inputs!$H56</f>
        <v>4.3111766894541328E-5</v>
      </c>
      <c r="R137" s="14">
        <f>R110*Inputs!$H56</f>
        <v>4.5359885970931511E-5</v>
      </c>
      <c r="S137" s="14">
        <f>S110*Inputs!$H56</f>
        <v>4.7290805600667267E-5</v>
      </c>
      <c r="T137" s="14">
        <f>T110*Inputs!$H56</f>
        <v>4.9021833607958056E-5</v>
      </c>
      <c r="U137" s="14">
        <f>U110*Inputs!$H56</f>
        <v>5.0141521973609483E-5</v>
      </c>
      <c r="V137" s="14">
        <f>V110*Inputs!$H56</f>
        <v>5.2768514448001851E-5</v>
      </c>
      <c r="W137" s="14">
        <f>W110*Inputs!$H56</f>
        <v>5.4355442021370261E-5</v>
      </c>
      <c r="X137" s="188">
        <f>X110*Inputs!$H56</f>
        <v>5.7060652993165534E-5</v>
      </c>
      <c r="Y137" s="159">
        <f>Y110*Inputs!$H56</f>
        <v>5.8597860658173203E-5</v>
      </c>
      <c r="Z137" s="159">
        <f>Z110*Inputs!$H56</f>
        <v>6.1557564816624834E-5</v>
      </c>
      <c r="AA137" s="159">
        <f>AA110*Inputs!$H56</f>
        <v>6.4150871756825121E-5</v>
      </c>
      <c r="AB137" s="159">
        <f>AB110*Inputs!$H56</f>
        <v>6.6118389336536012E-5</v>
      </c>
      <c r="AC137" s="159">
        <f>AC110*Inputs!$H56</f>
        <v>6.9078738354497922E-5</v>
      </c>
      <c r="AD137" s="159">
        <f>AD110*Inputs!$H56</f>
        <v>7.1226703870978238E-5</v>
      </c>
      <c r="AE137" s="159">
        <f>AE110*Inputs!$H56</f>
        <v>7.3816031329534412E-5</v>
      </c>
      <c r="AF137" s="159">
        <f>AF110*Inputs!$H56</f>
        <v>7.588845550905203E-5</v>
      </c>
      <c r="AG137" s="159">
        <f>AG110*Inputs!$H56</f>
        <v>7.8651151047833519E-5</v>
      </c>
      <c r="AH137" s="188">
        <f>AH110*Inputs!$H56</f>
        <v>8.1308980883136313E-5</v>
      </c>
    </row>
    <row r="138" spans="1:35">
      <c r="A138" s="10" t="s">
        <v>126</v>
      </c>
      <c r="B138" s="35">
        <v>1</v>
      </c>
      <c r="C138" s="335">
        <f>C111*Inputs!$H56</f>
        <v>0</v>
      </c>
      <c r="D138" s="335">
        <f>D111*Inputs!$H56</f>
        <v>0</v>
      </c>
      <c r="E138" s="335">
        <f>E111*Inputs!$H56</f>
        <v>0</v>
      </c>
      <c r="F138" s="335">
        <f>F111*Inputs!$H56</f>
        <v>0</v>
      </c>
      <c r="G138" s="335">
        <f>G111*Inputs!$H56</f>
        <v>0</v>
      </c>
      <c r="H138" s="407">
        <f>H111*Inputs!$H56</f>
        <v>0</v>
      </c>
      <c r="I138" s="14">
        <f>I111*Inputs!$H56</f>
        <v>0</v>
      </c>
      <c r="J138" s="14">
        <f>J111*Inputs!$H56</f>
        <v>0</v>
      </c>
      <c r="K138" s="14">
        <f>K111*Inputs!$H56</f>
        <v>0</v>
      </c>
      <c r="L138" s="14">
        <f>L111*Inputs!$H56</f>
        <v>0</v>
      </c>
      <c r="M138" s="14">
        <f>M111*Inputs!$H56</f>
        <v>0</v>
      </c>
      <c r="N138" s="183">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8">
        <f>X111*Inputs!$H56</f>
        <v>0</v>
      </c>
      <c r="Y138" s="159">
        <f>Y111*Inputs!$H56</f>
        <v>0</v>
      </c>
      <c r="Z138" s="159">
        <f>Z111*Inputs!$H56</f>
        <v>0</v>
      </c>
      <c r="AA138" s="159">
        <f>AA111*Inputs!$H56</f>
        <v>0</v>
      </c>
      <c r="AB138" s="159">
        <f>AB111*Inputs!$H56</f>
        <v>0</v>
      </c>
      <c r="AC138" s="159">
        <f>AC111*Inputs!$H56</f>
        <v>0</v>
      </c>
      <c r="AD138" s="159">
        <f>AD111*Inputs!$H56</f>
        <v>0</v>
      </c>
      <c r="AE138" s="159">
        <f>AE111*Inputs!$H56</f>
        <v>0</v>
      </c>
      <c r="AF138" s="159">
        <f>AF111*Inputs!$H56</f>
        <v>0</v>
      </c>
      <c r="AG138" s="159">
        <f>AG111*Inputs!$H56</f>
        <v>0</v>
      </c>
      <c r="AH138" s="188">
        <f>AH111*Inputs!$H56</f>
        <v>0</v>
      </c>
    </row>
    <row r="139" spans="1:35">
      <c r="A139" s="10" t="s">
        <v>55</v>
      </c>
      <c r="B139" s="35">
        <v>1</v>
      </c>
      <c r="C139" s="335">
        <f>C112*Inputs!$H57</f>
        <v>82.00800000000001</v>
      </c>
      <c r="D139" s="335">
        <f>D112*Inputs!$H57</f>
        <v>94.147027792306531</v>
      </c>
      <c r="E139" s="335">
        <f>E112*Inputs!$H57</f>
        <v>433.54340099999996</v>
      </c>
      <c r="F139" s="335">
        <f>F112*Inputs!$H57</f>
        <v>461.35007999999993</v>
      </c>
      <c r="G139" s="335">
        <f>G112*Inputs!$H57</f>
        <v>534.49387200000001</v>
      </c>
      <c r="H139" s="407">
        <f>H112*Inputs!$H57</f>
        <v>571.30980299999999</v>
      </c>
      <c r="I139" s="14">
        <f>I112*Inputs!$H57</f>
        <v>637.90579115010007</v>
      </c>
      <c r="J139" s="14">
        <f>J112*Inputs!$H57</f>
        <v>688.99002997461753</v>
      </c>
      <c r="K139" s="14">
        <f>K112*Inputs!$H57</f>
        <v>755.83109389904735</v>
      </c>
      <c r="L139" s="14">
        <f>L112*Inputs!$H57</f>
        <v>860.64361887765392</v>
      </c>
      <c r="M139" s="14">
        <f>M112*Inputs!$H57</f>
        <v>955.20384234989922</v>
      </c>
      <c r="N139" s="183">
        <f>N112*Inputs!$H57</f>
        <v>1060.4522146807162</v>
      </c>
      <c r="O139" s="14">
        <f>O112*Inputs!$H57</f>
        <v>1101.5584338329445</v>
      </c>
      <c r="P139" s="14">
        <f>P112*Inputs!$H57</f>
        <v>1139.580491069459</v>
      </c>
      <c r="Q139" s="14">
        <f>Q112*Inputs!$H57</f>
        <v>1189.9010769078161</v>
      </c>
      <c r="R139" s="14">
        <f>R112*Inputs!$H57</f>
        <v>1251.9500139545689</v>
      </c>
      <c r="S139" s="14">
        <f>S112*Inputs!$H57</f>
        <v>1305.2441262665357</v>
      </c>
      <c r="T139" s="14">
        <f>T112*Inputs!$H57</f>
        <v>1353.0211541733574</v>
      </c>
      <c r="U139" s="14">
        <f>U112*Inputs!$H57</f>
        <v>1383.9249766807686</v>
      </c>
      <c r="V139" s="14">
        <f>V112*Inputs!$H57</f>
        <v>1456.4309628528176</v>
      </c>
      <c r="W139" s="14">
        <f>W112*Inputs!$H57</f>
        <v>1500.2307642653843</v>
      </c>
      <c r="X139" s="188">
        <f>X112*Inputs!$H57</f>
        <v>1574.8956105584177</v>
      </c>
      <c r="Y139" s="159">
        <f>Y112*Inputs!$H57</f>
        <v>1617.3231236895292</v>
      </c>
      <c r="Z139" s="159">
        <f>Z112*Inputs!$H57</f>
        <v>1699.0120782175343</v>
      </c>
      <c r="AA139" s="159">
        <f>AA112*Inputs!$H57</f>
        <v>1770.5883309015212</v>
      </c>
      <c r="AB139" s="159">
        <f>AB112*Inputs!$H57</f>
        <v>1824.8925604790259</v>
      </c>
      <c r="AC139" s="159">
        <f>AC112*Inputs!$H57</f>
        <v>1906.5993133734864</v>
      </c>
      <c r="AD139" s="159">
        <f>AD112*Inputs!$H57</f>
        <v>1965.8839742752973</v>
      </c>
      <c r="AE139" s="159">
        <f>AE112*Inputs!$H57</f>
        <v>2037.3503917603357</v>
      </c>
      <c r="AF139" s="159">
        <f>AF112*Inputs!$H57</f>
        <v>2094.5500831821701</v>
      </c>
      <c r="AG139" s="159">
        <f>AG112*Inputs!$H57</f>
        <v>2170.8015252723512</v>
      </c>
      <c r="AH139" s="188">
        <f>AH112*Inputs!$H57</f>
        <v>2244.1586342723285</v>
      </c>
      <c r="AI139" s="31">
        <f>SUM(C139:X139)</f>
        <v>20392.616385286408</v>
      </c>
    </row>
    <row r="140" spans="1:35">
      <c r="A140" s="10" t="s">
        <v>390</v>
      </c>
      <c r="C140" s="335">
        <f t="shared" ref="C140:AH140" si="87">SUM(C127:C139)</f>
        <v>9615.2445081000005</v>
      </c>
      <c r="D140" s="335">
        <f t="shared" si="87"/>
        <v>9906.2331631029374</v>
      </c>
      <c r="E140" s="335">
        <f t="shared" si="87"/>
        <v>10522.226586908258</v>
      </c>
      <c r="F140" s="335">
        <f t="shared" si="87"/>
        <v>10554.18898571417</v>
      </c>
      <c r="G140" s="335">
        <f t="shared" si="87"/>
        <v>10993.71095635846</v>
      </c>
      <c r="H140" s="407">
        <f t="shared" si="87"/>
        <v>10041.541118100002</v>
      </c>
      <c r="I140" s="14">
        <f t="shared" si="87"/>
        <v>10259.38194061638</v>
      </c>
      <c r="J140" s="14">
        <f t="shared" si="87"/>
        <v>10159.789579645565</v>
      </c>
      <c r="K140" s="14">
        <f t="shared" si="87"/>
        <v>10241.974470147699</v>
      </c>
      <c r="L140" s="14">
        <f t="shared" si="87"/>
        <v>10744.080924177428</v>
      </c>
      <c r="M140" s="14">
        <f t="shared" si="87"/>
        <v>11016.905467089065</v>
      </c>
      <c r="N140" s="183">
        <f t="shared" si="87"/>
        <v>11335.60344896873</v>
      </c>
      <c r="O140" s="14">
        <f t="shared" si="87"/>
        <v>11425.345940937159</v>
      </c>
      <c r="P140" s="14">
        <f t="shared" si="87"/>
        <v>11471.896184061374</v>
      </c>
      <c r="Q140" s="14">
        <f t="shared" si="87"/>
        <v>11629.259489214775</v>
      </c>
      <c r="R140" s="14">
        <f t="shared" si="87"/>
        <v>11882.403731744442</v>
      </c>
      <c r="S140" s="14">
        <f t="shared" si="87"/>
        <v>12034.076081332118</v>
      </c>
      <c r="T140" s="14">
        <f t="shared" si="87"/>
        <v>12121.581926893805</v>
      </c>
      <c r="U140" s="14">
        <f t="shared" si="87"/>
        <v>12051.286081056225</v>
      </c>
      <c r="V140" s="14">
        <f t="shared" si="87"/>
        <v>12331.379952463538</v>
      </c>
      <c r="W140" s="14">
        <f t="shared" si="87"/>
        <v>12354.292740429486</v>
      </c>
      <c r="X140" s="188">
        <f t="shared" si="87"/>
        <v>12617.956643377291</v>
      </c>
      <c r="Y140" s="159">
        <f t="shared" si="87"/>
        <v>12646.336302608988</v>
      </c>
      <c r="Z140" s="159">
        <f t="shared" si="87"/>
        <v>12968.761071724839</v>
      </c>
      <c r="AA140" s="159">
        <f t="shared" si="87"/>
        <v>13196.504172722945</v>
      </c>
      <c r="AB140" s="159">
        <f t="shared" si="87"/>
        <v>13283.875789718377</v>
      </c>
      <c r="AC140" s="159">
        <f t="shared" si="87"/>
        <v>13558.191741272574</v>
      </c>
      <c r="AD140" s="159">
        <f t="shared" si="87"/>
        <v>13660.460977176637</v>
      </c>
      <c r="AE140" s="159">
        <f t="shared" si="87"/>
        <v>13837.265170090439</v>
      </c>
      <c r="AF140" s="159">
        <f t="shared" si="87"/>
        <v>13908.037991673375</v>
      </c>
      <c r="AG140" s="159">
        <f t="shared" si="87"/>
        <v>14096.161976972156</v>
      </c>
      <c r="AH140" s="188">
        <f t="shared" si="87"/>
        <v>14254.64865180675</v>
      </c>
      <c r="AI140" s="48" t="s">
        <v>0</v>
      </c>
    </row>
    <row r="141" spans="1:35">
      <c r="A141" s="10" t="s">
        <v>393</v>
      </c>
      <c r="C141" s="335">
        <f>SUM(C128:C130)</f>
        <v>9207.1349865000011</v>
      </c>
      <c r="D141" s="335">
        <f t="shared" ref="D141:AH141" si="88">SUM(D128:D130)</f>
        <v>9426.6877967142282</v>
      </c>
      <c r="E141" s="335">
        <f t="shared" si="88"/>
        <v>9557.1278988377417</v>
      </c>
      <c r="F141" s="335">
        <f t="shared" si="88"/>
        <v>9408.7076132188777</v>
      </c>
      <c r="G141" s="335">
        <f t="shared" si="88"/>
        <v>9622.5077306924322</v>
      </c>
      <c r="H141" s="407">
        <f t="shared" si="88"/>
        <v>8832.5155125000001</v>
      </c>
      <c r="I141" s="14">
        <f t="shared" si="88"/>
        <v>8881.3832404319237</v>
      </c>
      <c r="J141" s="14">
        <f t="shared" si="88"/>
        <v>8638.4994945008148</v>
      </c>
      <c r="K141" s="14">
        <f t="shared" si="88"/>
        <v>8533.781307373536</v>
      </c>
      <c r="L141" s="14">
        <f t="shared" si="88"/>
        <v>8750.274027825868</v>
      </c>
      <c r="M141" s="14">
        <f t="shared" si="88"/>
        <v>8745.1279073424812</v>
      </c>
      <c r="N141" s="188">
        <f t="shared" si="88"/>
        <v>8742.2528474999999</v>
      </c>
      <c r="O141" s="14">
        <f t="shared" si="88"/>
        <v>8731.4695103110716</v>
      </c>
      <c r="P141" s="14">
        <f t="shared" si="88"/>
        <v>8685.0362850259335</v>
      </c>
      <c r="Q141" s="14">
        <f t="shared" si="88"/>
        <v>8719.3398994704494</v>
      </c>
      <c r="R141" s="14">
        <f t="shared" si="88"/>
        <v>8820.7426057168032</v>
      </c>
      <c r="S141" s="14">
        <f t="shared" si="88"/>
        <v>8842.0834643559756</v>
      </c>
      <c r="T141" s="14">
        <f t="shared" si="88"/>
        <v>8812.7499254142804</v>
      </c>
      <c r="U141" s="14">
        <f t="shared" si="88"/>
        <v>8666.8783529406774</v>
      </c>
      <c r="V141" s="14">
        <f t="shared" si="88"/>
        <v>8769.657829369824</v>
      </c>
      <c r="W141" s="14">
        <f t="shared" si="88"/>
        <v>8685.457595395701</v>
      </c>
      <c r="X141" s="188">
        <f t="shared" si="88"/>
        <v>8766.5275809920186</v>
      </c>
      <c r="Y141" s="159">
        <f t="shared" si="88"/>
        <v>8691.1501683121642</v>
      </c>
      <c r="Z141" s="159">
        <f t="shared" si="88"/>
        <v>8813.8034659503155</v>
      </c>
      <c r="AA141" s="159">
        <f t="shared" si="88"/>
        <v>8866.5058481124634</v>
      </c>
      <c r="AB141" s="159">
        <f t="shared" si="88"/>
        <v>8821.0757183742935</v>
      </c>
      <c r="AC141" s="159">
        <f t="shared" si="88"/>
        <v>8895.5766722987264</v>
      </c>
      <c r="AD141" s="159">
        <f t="shared" si="88"/>
        <v>8852.8644475776418</v>
      </c>
      <c r="AE141" s="159">
        <f t="shared" si="88"/>
        <v>8854.8965251581358</v>
      </c>
      <c r="AF141" s="159">
        <f t="shared" si="88"/>
        <v>8785.786707901656</v>
      </c>
      <c r="AG141" s="159">
        <f t="shared" si="88"/>
        <v>8787.43673381796</v>
      </c>
      <c r="AH141" s="188">
        <f t="shared" si="88"/>
        <v>8766.5275809920186</v>
      </c>
      <c r="AI141" s="48"/>
    </row>
    <row r="142" spans="1:35">
      <c r="A142" s="10" t="s">
        <v>392</v>
      </c>
      <c r="C142" s="334">
        <f t="shared" ref="C142:AH142" si="89">SUMPRODUCT($B131:$B139,C131:C139)</f>
        <v>408.10952159999999</v>
      </c>
      <c r="D142" s="334">
        <f t="shared" si="89"/>
        <v>479.54536638870894</v>
      </c>
      <c r="E142" s="334">
        <f t="shared" si="89"/>
        <v>965.09868807051271</v>
      </c>
      <c r="F142" s="334">
        <f t="shared" si="89"/>
        <v>1145.4813724952894</v>
      </c>
      <c r="G142" s="334">
        <f t="shared" si="89"/>
        <v>1371.2032256660282</v>
      </c>
      <c r="H142" s="287">
        <f t="shared" si="89"/>
        <v>1209.0256055999998</v>
      </c>
      <c r="I142" s="40">
        <f t="shared" si="89"/>
        <v>1377.9987001844552</v>
      </c>
      <c r="J142" s="40">
        <f t="shared" si="89"/>
        <v>1521.2900851447496</v>
      </c>
      <c r="K142" s="40">
        <f t="shared" si="89"/>
        <v>1708.1931627741646</v>
      </c>
      <c r="L142" s="40">
        <f t="shared" si="89"/>
        <v>1993.8068963515593</v>
      </c>
      <c r="M142" s="40">
        <f t="shared" si="89"/>
        <v>2271.7775597465861</v>
      </c>
      <c r="N142" s="178">
        <f t="shared" si="89"/>
        <v>2593.3506014687296</v>
      </c>
      <c r="O142" s="40">
        <f t="shared" si="89"/>
        <v>2693.8764306260873</v>
      </c>
      <c r="P142" s="40">
        <f t="shared" si="89"/>
        <v>2786.8598990354403</v>
      </c>
      <c r="Q142" s="40">
        <f t="shared" si="89"/>
        <v>2909.919589744326</v>
      </c>
      <c r="R142" s="40">
        <f t="shared" si="89"/>
        <v>3061.6611260276377</v>
      </c>
      <c r="S142" s="40">
        <f t="shared" si="89"/>
        <v>3191.992616976142</v>
      </c>
      <c r="T142" s="40">
        <f t="shared" si="89"/>
        <v>3308.8320014795254</v>
      </c>
      <c r="U142" s="40">
        <f t="shared" si="89"/>
        <v>3384.4077281155505</v>
      </c>
      <c r="V142" s="40">
        <f t="shared" si="89"/>
        <v>3561.7221230937157</v>
      </c>
      <c r="W142" s="40">
        <f t="shared" si="89"/>
        <v>3668.8351450337859</v>
      </c>
      <c r="X142" s="185">
        <f t="shared" si="89"/>
        <v>3851.4290623852703</v>
      </c>
      <c r="Y142" s="272">
        <f t="shared" si="89"/>
        <v>3955.1861342968214</v>
      </c>
      <c r="Z142" s="272">
        <f t="shared" si="89"/>
        <v>4154.9576057745235</v>
      </c>
      <c r="AA142" s="272">
        <f t="shared" si="89"/>
        <v>4329.9983246104803</v>
      </c>
      <c r="AB142" s="272">
        <f t="shared" si="89"/>
        <v>4462.8000713440842</v>
      </c>
      <c r="AC142" s="272">
        <f t="shared" si="89"/>
        <v>4662.6150689738488</v>
      </c>
      <c r="AD142" s="272">
        <f t="shared" si="89"/>
        <v>4807.5965295989945</v>
      </c>
      <c r="AE142" s="272">
        <f t="shared" si="89"/>
        <v>4982.3686449323031</v>
      </c>
      <c r="AF142" s="272">
        <f t="shared" si="89"/>
        <v>5122.2512837717168</v>
      </c>
      <c r="AG142" s="272">
        <f t="shared" si="89"/>
        <v>5308.7252431541929</v>
      </c>
      <c r="AH142" s="185">
        <f t="shared" si="89"/>
        <v>5488.1210708147319</v>
      </c>
    </row>
    <row r="143" spans="1:35">
      <c r="A143" s="10" t="s">
        <v>148</v>
      </c>
      <c r="C143" s="335">
        <f>C116*Inputs!$H$60</f>
        <v>3899.4347699999998</v>
      </c>
      <c r="D143" s="335">
        <f>D116*Inputs!$H$60</f>
        <v>1262.5718897533632</v>
      </c>
      <c r="E143" s="335">
        <f>E116*Inputs!$H$60</f>
        <v>827.26928508155629</v>
      </c>
      <c r="F143" s="335">
        <f>F116*Inputs!$H$60</f>
        <v>360.92037765465005</v>
      </c>
      <c r="G143" s="335">
        <f>G116*Inputs!$H$60</f>
        <v>602.42207448617728</v>
      </c>
      <c r="H143" s="407">
        <f>H116*Inputs!$H$60</f>
        <v>567.12603157583249</v>
      </c>
      <c r="I143" s="14">
        <f>I116*Inputs!$H$60</f>
        <v>673.12166328412525</v>
      </c>
      <c r="J143" s="14">
        <f>J116*Inputs!$H$60</f>
        <v>653.03789746103598</v>
      </c>
      <c r="K143" s="14">
        <f>K116*Inputs!$H$60</f>
        <v>652.59819970909484</v>
      </c>
      <c r="L143" s="14">
        <f>L116*Inputs!$H$60</f>
        <v>675.53550364042565</v>
      </c>
      <c r="M143" s="14">
        <f>M116*Inputs!$H$60</f>
        <v>708.46319031801647</v>
      </c>
      <c r="N143" s="183">
        <f>N116*Inputs!$H$60</f>
        <v>693.67905850072941</v>
      </c>
      <c r="O143" s="14">
        <f>O116*Inputs!$H$60</f>
        <v>910.02724421186838</v>
      </c>
      <c r="P143" s="14">
        <f>P116*Inputs!$H$60</f>
        <v>1015.0994456896651</v>
      </c>
      <c r="Q143" s="14">
        <f>Q116*Inputs!$H$60</f>
        <v>1006.1893184644607</v>
      </c>
      <c r="R143" s="14">
        <f>R116*Inputs!$H$60</f>
        <v>985.61199917230078</v>
      </c>
      <c r="S143" s="14">
        <f>S116*Inputs!$H$60</f>
        <v>990.53154540492824</v>
      </c>
      <c r="T143" s="14">
        <f>T116*Inputs!$H$60</f>
        <v>980.35146973000474</v>
      </c>
      <c r="U143" s="14">
        <f>U116*Inputs!$H$60</f>
        <v>985.60379652933409</v>
      </c>
      <c r="V143" s="14">
        <f>V116*Inputs!$H$60</f>
        <v>958.97587783135464</v>
      </c>
      <c r="W143" s="14">
        <f>W116*Inputs!$H$60</f>
        <v>961.52656323094016</v>
      </c>
      <c r="X143" s="188">
        <f>X116*Inputs!$H$60</f>
        <v>932.01264414596744</v>
      </c>
      <c r="Y143" s="159">
        <f>Y116*Inputs!$H$60</f>
        <v>931.50502280935814</v>
      </c>
      <c r="Z143" s="159">
        <f>Z116*Inputs!$H$60</f>
        <v>896.41815313861628</v>
      </c>
      <c r="AA143" s="159">
        <f>AA116*Inputs!$H$60</f>
        <v>878.47229419419386</v>
      </c>
      <c r="AB143" s="159">
        <f>AB116*Inputs!$H$60</f>
        <v>872.06053316905638</v>
      </c>
      <c r="AC143" s="159">
        <f>AC116*Inputs!$H$60</f>
        <v>851.95249316076456</v>
      </c>
      <c r="AD143" s="159">
        <f>AD116*Inputs!$H$60</f>
        <v>840.75549786170507</v>
      </c>
      <c r="AE143" s="159">
        <f>AE116*Inputs!$H$60</f>
        <v>832.83555947264199</v>
      </c>
      <c r="AF143" s="159">
        <f>AF116*Inputs!$H$60</f>
        <v>827.8536147758274</v>
      </c>
      <c r="AG143" s="159">
        <f>AG116*Inputs!$H$60</f>
        <v>818.01583988641016</v>
      </c>
      <c r="AH143" s="188">
        <f>AH116*Inputs!$H$60</f>
        <v>808.44477199163327</v>
      </c>
      <c r="AI143" s="48"/>
    </row>
    <row r="144" spans="1:35">
      <c r="A144" s="10" t="s">
        <v>228</v>
      </c>
      <c r="C144" s="335">
        <f>C117*Inputs!$H$61</f>
        <v>1671.18633</v>
      </c>
      <c r="D144" s="335">
        <f>D117*Inputs!$H$61</f>
        <v>4546.8575836836853</v>
      </c>
      <c r="E144" s="335">
        <f>E117*Inputs!$H$61</f>
        <v>4975.0189030738002</v>
      </c>
      <c r="F144" s="335">
        <f>F117*Inputs!$H$61</f>
        <v>5378.544784947193</v>
      </c>
      <c r="G144" s="335">
        <f>G117*Inputs!$H$61</f>
        <v>5169.6997119554208</v>
      </c>
      <c r="H144" s="407">
        <f>H117*Inputs!$H$61</f>
        <v>5632.4857274241649</v>
      </c>
      <c r="I144" s="14">
        <f>I117*Inputs!$H$61</f>
        <v>5415.2986461150176</v>
      </c>
      <c r="J144" s="14">
        <f>J117*Inputs!$H$61</f>
        <v>5126.212280839818</v>
      </c>
      <c r="K144" s="14">
        <f>K117*Inputs!$H$61</f>
        <v>4946.3012439365166</v>
      </c>
      <c r="L144" s="14">
        <f>L117*Inputs!$H$61</f>
        <v>4888.243328489516</v>
      </c>
      <c r="M144" s="14">
        <f>M117*Inputs!$H$61</f>
        <v>4679.4612862559952</v>
      </c>
      <c r="N144" s="183">
        <f>N117*Inputs!$H$61</f>
        <v>4478.0819215992724</v>
      </c>
      <c r="O144" s="14">
        <f>O117*Inputs!$H$61</f>
        <v>4183.1615276802122</v>
      </c>
      <c r="P144" s="14">
        <f>P117*Inputs!$H$61</f>
        <v>3978.0154432974414</v>
      </c>
      <c r="Q144" s="14">
        <f>Q117*Inputs!$H$61</f>
        <v>3932.6739848389848</v>
      </c>
      <c r="R144" s="14">
        <f>R117*Inputs!$H$61</f>
        <v>3934.2978059839425</v>
      </c>
      <c r="S144" s="14">
        <f>S117*Inputs!$H$61</f>
        <v>3861.8181398818865</v>
      </c>
      <c r="T144" s="14">
        <f>T117*Inputs!$H$61</f>
        <v>3776.9889048734003</v>
      </c>
      <c r="U144" s="14">
        <f>U117*Inputs!$H$61</f>
        <v>3608.3248247104689</v>
      </c>
      <c r="V144" s="14">
        <f>V117*Inputs!$H$61</f>
        <v>3602.3949835593876</v>
      </c>
      <c r="W144" s="14">
        <f>W117*Inputs!$H$61</f>
        <v>3465.4672460586867</v>
      </c>
      <c r="X144" s="188">
        <f>X117*Inputs!$H$61</f>
        <v>3444.3287076540341</v>
      </c>
      <c r="Y144" s="159">
        <f>Y117*Inputs!$H$61</f>
        <v>3440.7905724451221</v>
      </c>
      <c r="Z144" s="159">
        <f>Z117*Inputs!$H$61</f>
        <v>3552.2369756515864</v>
      </c>
      <c r="AA144" s="159">
        <f>AA117*Inputs!$H$61</f>
        <v>3608.5391346504821</v>
      </c>
      <c r="AB144" s="159">
        <f>AB117*Inputs!$H$61</f>
        <v>3599.3067141933079</v>
      </c>
      <c r="AC144" s="159">
        <f>AC117*Inputs!$H$61</f>
        <v>3665.7184837691052</v>
      </c>
      <c r="AD144" s="159">
        <f>AD117*Inputs!$H$61</f>
        <v>3660.6330381010266</v>
      </c>
      <c r="AE144" s="159">
        <f>AE117*Inputs!$H$61</f>
        <v>3673.5076394364369</v>
      </c>
      <c r="AF144" s="159">
        <f>AF117*Inputs!$H$61</f>
        <v>3644.4559292934168</v>
      </c>
      <c r="AG144" s="159">
        <f>AG117*Inputs!$H$61</f>
        <v>3655.096426556388</v>
      </c>
      <c r="AH144" s="188">
        <f>AH117*Inputs!$H$61</f>
        <v>3651.2561143083635</v>
      </c>
      <c r="AI144" s="48"/>
    </row>
    <row r="145" spans="1:35">
      <c r="A145" s="10" t="s">
        <v>60</v>
      </c>
      <c r="C145" s="335">
        <f>SUM(C140,C143,C144)</f>
        <v>15185.865608100001</v>
      </c>
      <c r="D145" s="335">
        <f>SUM(D140,D143,D144)</f>
        <v>15715.662636539986</v>
      </c>
      <c r="E145" s="335">
        <f t="shared" ref="E145:AH145" si="90">SUM(E140,E143,E144)</f>
        <v>16324.514775063615</v>
      </c>
      <c r="F145" s="335">
        <f t="shared" si="90"/>
        <v>16293.654148316013</v>
      </c>
      <c r="G145" s="335">
        <f t="shared" si="90"/>
        <v>16765.832742800059</v>
      </c>
      <c r="H145" s="407">
        <f t="shared" si="90"/>
        <v>16241.152877099998</v>
      </c>
      <c r="I145" s="14">
        <f t="shared" si="90"/>
        <v>16347.802250015524</v>
      </c>
      <c r="J145" s="14">
        <f t="shared" si="90"/>
        <v>15939.039757946419</v>
      </c>
      <c r="K145" s="14">
        <f t="shared" si="90"/>
        <v>15840.873913793312</v>
      </c>
      <c r="L145" s="14">
        <f t="shared" si="90"/>
        <v>16307.859756307369</v>
      </c>
      <c r="M145" s="14">
        <f t="shared" si="90"/>
        <v>16404.829943663077</v>
      </c>
      <c r="N145" s="188">
        <f t="shared" si="90"/>
        <v>16507.36442906873</v>
      </c>
      <c r="O145" s="14">
        <f t="shared" si="90"/>
        <v>16518.534712829238</v>
      </c>
      <c r="P145" s="14">
        <f t="shared" si="90"/>
        <v>16465.011073048481</v>
      </c>
      <c r="Q145" s="14">
        <f t="shared" si="90"/>
        <v>16568.122792518221</v>
      </c>
      <c r="R145" s="14">
        <f t="shared" si="90"/>
        <v>16802.313536900685</v>
      </c>
      <c r="S145" s="14">
        <f t="shared" si="90"/>
        <v>16886.425766618933</v>
      </c>
      <c r="T145" s="14">
        <f t="shared" si="90"/>
        <v>16878.922301497209</v>
      </c>
      <c r="U145" s="14">
        <f t="shared" si="90"/>
        <v>16645.214702296027</v>
      </c>
      <c r="V145" s="14">
        <f t="shared" si="90"/>
        <v>16892.75081385428</v>
      </c>
      <c r="W145" s="14">
        <f t="shared" si="90"/>
        <v>16781.286549719112</v>
      </c>
      <c r="X145" s="188">
        <f t="shared" si="90"/>
        <v>16994.29799517729</v>
      </c>
      <c r="Y145" s="159">
        <f t="shared" si="90"/>
        <v>17018.63189786347</v>
      </c>
      <c r="Z145" s="159">
        <f t="shared" si="90"/>
        <v>17417.416200515043</v>
      </c>
      <c r="AA145" s="159">
        <f t="shared" si="90"/>
        <v>17683.515601567622</v>
      </c>
      <c r="AB145" s="159">
        <f t="shared" si="90"/>
        <v>17755.243037080741</v>
      </c>
      <c r="AC145" s="159">
        <f t="shared" si="90"/>
        <v>18075.862718202443</v>
      </c>
      <c r="AD145" s="159">
        <f t="shared" si="90"/>
        <v>18161.849513139368</v>
      </c>
      <c r="AE145" s="159">
        <f t="shared" si="90"/>
        <v>18343.608368999518</v>
      </c>
      <c r="AF145" s="159">
        <f t="shared" si="90"/>
        <v>18380.347535742618</v>
      </c>
      <c r="AG145" s="159">
        <f t="shared" si="90"/>
        <v>18569.274243414955</v>
      </c>
      <c r="AH145" s="188">
        <f t="shared" si="90"/>
        <v>18714.349538106748</v>
      </c>
      <c r="AI145" s="48"/>
    </row>
    <row r="146" spans="1:35" s="1" customFormat="1">
      <c r="A146" s="1" t="s">
        <v>341</v>
      </c>
      <c r="B146" s="13"/>
      <c r="C146" s="345">
        <f>C145-'Output - Jobs vs Yr (BAU)'!C73</f>
        <v>171.26009730000078</v>
      </c>
      <c r="D146" s="345">
        <f>D145-'Output - Jobs vs Yr (BAU)'!D73</f>
        <v>401.24012573998698</v>
      </c>
      <c r="E146" s="345">
        <f>E145-'Output - Jobs vs Yr (BAU)'!E73</f>
        <v>105.71454726361662</v>
      </c>
      <c r="F146" s="345">
        <f>F145-'Output - Jobs vs Yr (BAU)'!F73</f>
        <v>237.40769951600851</v>
      </c>
      <c r="G146" s="345">
        <f>G145-'Output - Jobs vs Yr (BAU)'!G73</f>
        <v>215.72462300006009</v>
      </c>
      <c r="H146" s="410">
        <f>H145-'Output - Jobs vs Yr (BAU)'!H73</f>
        <v>-98.638058700002148</v>
      </c>
      <c r="I146" s="15">
        <f>I145-'Output - Jobs vs Yr (BAU)'!I73</f>
        <v>-12.350150784473954</v>
      </c>
      <c r="J146" s="15">
        <f>J145-'Output - Jobs vs Yr (BAU)'!J73</f>
        <v>-75.750647853579721</v>
      </c>
      <c r="K146" s="15">
        <f>K145-'Output - Jobs vs Yr (BAU)'!K73</f>
        <v>-56.655933006684791</v>
      </c>
      <c r="L146" s="15">
        <f>L145-'Output - Jobs vs Yr (BAU)'!L73</f>
        <v>133.52831250737108</v>
      </c>
      <c r="M146" s="15">
        <f>M145-'Output - Jobs vs Yr (BAU)'!M73</f>
        <v>264.17253986307696</v>
      </c>
      <c r="N146" s="183">
        <f>N145-'Output - Jobs vs Yr (BAU)'!N73</f>
        <v>417.58019126873296</v>
      </c>
      <c r="O146" s="15">
        <f>O145-'Output - Jobs vs Yr (BAU)'!O73</f>
        <v>435.43352402923847</v>
      </c>
      <c r="P146" s="15">
        <f>P145-'Output - Jobs vs Yr (BAU)'!P73</f>
        <v>432.36345224848264</v>
      </c>
      <c r="Q146" s="15">
        <f>Q145-'Output - Jobs vs Yr (BAU)'!Q73</f>
        <v>473.35786471822212</v>
      </c>
      <c r="R146" s="15">
        <f>R145-'Output - Jobs vs Yr (BAU)'!R73</f>
        <v>551.63281610068589</v>
      </c>
      <c r="S146" s="15">
        <f>S145-'Output - Jobs vs Yr (BAU)'!S73</f>
        <v>618.30060681893156</v>
      </c>
      <c r="T146" s="15">
        <f>T145-'Output - Jobs vs Yr (BAU)'!T73</f>
        <v>646.19462769721031</v>
      </c>
      <c r="U146" s="15">
        <f>U145-'Output - Jobs vs Yr (BAU)'!U73</f>
        <v>624.62138449602935</v>
      </c>
      <c r="V146" s="15">
        <f>V145-'Output - Jobs vs Yr (BAU)'!V73</f>
        <v>717.49841805427968</v>
      </c>
      <c r="W146" s="15">
        <f>W145-'Output - Jobs vs Yr (BAU)'!W73</f>
        <v>721.1116009191137</v>
      </c>
      <c r="X146" s="191">
        <f>X145-'Output - Jobs vs Yr (BAU)'!X73</f>
        <v>801.26957337729255</v>
      </c>
      <c r="Y146" s="131">
        <f>Y145-'Output - Jobs vs Yr (BAU)'!Y73</f>
        <v>805.27955006347111</v>
      </c>
      <c r="Z146" s="131">
        <f>Z145-'Output - Jobs vs Yr (BAU)'!Z73</f>
        <v>906.6073007150444</v>
      </c>
      <c r="AA146" s="131">
        <f>AA145-'Output - Jobs vs Yr (BAU)'!AA73</f>
        <v>976.34996676762603</v>
      </c>
      <c r="AB146" s="131">
        <f>AB145-'Output - Jobs vs Yr (BAU)'!AB73</f>
        <v>1001.3018012807406</v>
      </c>
      <c r="AC146" s="131">
        <f>AC145-'Output - Jobs vs Yr (BAU)'!AC73</f>
        <v>1087.3591264024435</v>
      </c>
      <c r="AD146" s="131">
        <f>AD145-'Output - Jobs vs Yr (BAU)'!AD73</f>
        <v>1112.0074923393659</v>
      </c>
      <c r="AE146" s="131">
        <f>AE145-'Output - Jobs vs Yr (BAU)'!AE73</f>
        <v>1171.5463841995188</v>
      </c>
      <c r="AF146" s="131">
        <f>AF145-'Output - Jobs vs Yr (BAU)'!AF73</f>
        <v>1193.0826339426203</v>
      </c>
      <c r="AG146" s="131">
        <f>AG145-'Output - Jobs vs Yr (BAU)'!AG73</f>
        <v>1253.1033046149569</v>
      </c>
      <c r="AH146" s="191">
        <f>AH145-'Output - Jobs vs Yr (BAU)'!AH73</f>
        <v>1180.6286913067488</v>
      </c>
    </row>
    <row r="147" spans="1:35" s="1" customFormat="1">
      <c r="A147" s="11"/>
      <c r="B147" s="13"/>
      <c r="C147" s="332"/>
      <c r="D147" s="345"/>
      <c r="E147" s="345"/>
      <c r="F147" s="345"/>
      <c r="G147" s="345"/>
      <c r="H147" s="410"/>
      <c r="I147" s="15"/>
      <c r="J147" s="15"/>
      <c r="K147" s="15"/>
      <c r="L147" s="15"/>
      <c r="M147" s="15"/>
      <c r="N147" s="188" t="s">
        <v>0</v>
      </c>
      <c r="O147" s="15"/>
      <c r="P147" s="15"/>
      <c r="Q147" s="15"/>
      <c r="R147" s="15"/>
      <c r="S147" s="15"/>
      <c r="T147" s="15"/>
      <c r="U147" s="15"/>
      <c r="V147" s="15"/>
      <c r="W147" s="15"/>
      <c r="X147" s="191"/>
      <c r="Y147"/>
      <c r="Z147"/>
      <c r="AA147"/>
      <c r="AB147"/>
      <c r="AC147"/>
      <c r="AD147"/>
      <c r="AE147"/>
      <c r="AF147"/>
      <c r="AG147"/>
      <c r="AH147" s="281"/>
    </row>
    <row r="148" spans="1:35" hidden="1">
      <c r="A148" s="1" t="s">
        <v>205</v>
      </c>
    </row>
    <row r="149" spans="1:35" hidden="1">
      <c r="A149" s="20" t="s">
        <v>203</v>
      </c>
      <c r="C149" s="337">
        <f>'backup - EIA liq_fuelS_aeo2014'!E44</f>
        <v>7088.7783050537164</v>
      </c>
      <c r="D149" s="337">
        <f>'backup - EIA liq_fuelS_aeo2014'!F44</f>
        <v>7149.5953941345133</v>
      </c>
      <c r="E149" s="337">
        <f>'backup - EIA liq_fuelS_aeo2014'!G44</f>
        <v>6912.5827950000003</v>
      </c>
      <c r="F149" s="337">
        <f>'backup - EIA liq_fuelS_aeo2014'!H44</f>
        <v>6786.185485</v>
      </c>
      <c r="G149" s="337">
        <f>'backup - EIA liq_fuelS_aeo2014'!I44</f>
        <v>6929.6414350000005</v>
      </c>
      <c r="H149" s="411">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9">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4">
        <f>'backup - EIA liq_fuelS_aeo2014'!Z44</f>
        <v>6908.05278</v>
      </c>
    </row>
    <row r="150" spans="1:35" hidden="1">
      <c r="A150" s="20" t="s">
        <v>204</v>
      </c>
      <c r="C150" s="337">
        <f>'backup - EIA liq_fuelS_aeo2014'!E44</f>
        <v>7088.7783050537164</v>
      </c>
      <c r="D150" s="337">
        <f>'backup - EIA liq_fuelS_aeo2014'!F44</f>
        <v>7149.5953941345133</v>
      </c>
      <c r="E150" s="337">
        <f>'backup - EIA liq_fuelS_aeo2014'!G44</f>
        <v>6912.5827950000003</v>
      </c>
      <c r="F150" s="337">
        <f>'backup - EIA liq_fuelS_aeo2014'!H44</f>
        <v>6786.185485</v>
      </c>
      <c r="G150" s="337">
        <f>'backup - EIA liq_fuelS_aeo2014'!I44</f>
        <v>6929.6414350000005</v>
      </c>
      <c r="H150" s="411">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9">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4">
        <f>'backup - EIA liq_fuelS_aeo2014'!Z44</f>
        <v>6908.05278</v>
      </c>
    </row>
    <row r="151" spans="1:35" hidden="1">
      <c r="A151" s="20" t="s">
        <v>206</v>
      </c>
      <c r="C151" s="346">
        <f>'backup - EIA liq_fuelS_aeo2014'!E46</f>
        <v>273.77869168296451</v>
      </c>
      <c r="D151" s="346">
        <f>'backup - EIA liq_fuelS_aeo2014'!F46</f>
        <v>330.59007454663532</v>
      </c>
      <c r="E151" s="346">
        <f>'backup - EIA liq_fuelS_aeo2014'!G46</f>
        <v>346.41273999999999</v>
      </c>
      <c r="F151" s="346">
        <f>'backup - EIA liq_fuelS_aeo2014'!H46</f>
        <v>332.23648773503913</v>
      </c>
      <c r="G151" s="346">
        <f>'backup - EIA liq_fuelS_aeo2014'!I46</f>
        <v>336.63400877733272</v>
      </c>
      <c r="H151" s="412">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90">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5">
        <f>'backup - EIA liq_fuelS_aeo2014'!Z46</f>
        <v>459.60339229062083</v>
      </c>
    </row>
    <row r="152" spans="1:35" hidden="1">
      <c r="A152" s="20" t="s">
        <v>209</v>
      </c>
      <c r="C152" s="336">
        <f>C151/C149</f>
        <v>3.8621421054708789E-2</v>
      </c>
      <c r="D152" s="336">
        <f t="shared" ref="D152:X152" si="91">D151/D149</f>
        <v>4.62389906452398E-2</v>
      </c>
      <c r="E152" s="336">
        <f t="shared" si="91"/>
        <v>5.0113358533740347E-2</v>
      </c>
      <c r="F152" s="336">
        <f t="shared" si="91"/>
        <v>4.8957766991398283E-2</v>
      </c>
      <c r="G152" s="336">
        <f t="shared" si="91"/>
        <v>4.8578849560248959E-2</v>
      </c>
      <c r="H152" s="285">
        <f t="shared" si="91"/>
        <v>5.1284361693822764E-2</v>
      </c>
      <c r="I152" s="91">
        <f t="shared" si="91"/>
        <v>4.7576032869045513E-2</v>
      </c>
      <c r="J152" s="91">
        <f t="shared" si="91"/>
        <v>4.7305096007127082E-2</v>
      </c>
      <c r="K152" s="91">
        <f t="shared" si="91"/>
        <v>4.7990408149769591E-2</v>
      </c>
      <c r="L152" s="91">
        <f t="shared" si="91"/>
        <v>4.8486149400757073E-2</v>
      </c>
      <c r="M152" s="91">
        <f t="shared" si="91"/>
        <v>4.9368514215783074E-2</v>
      </c>
      <c r="N152" s="181">
        <f t="shared" si="91"/>
        <v>5.0830360119830421E-2</v>
      </c>
      <c r="O152" s="91">
        <f t="shared" si="91"/>
        <v>5.2227082464624618E-2</v>
      </c>
      <c r="P152" s="91">
        <f t="shared" si="91"/>
        <v>5.4509371249060634E-2</v>
      </c>
      <c r="Q152" s="91">
        <f t="shared" si="91"/>
        <v>5.6685779692733994E-2</v>
      </c>
      <c r="R152" s="91">
        <f t="shared" si="91"/>
        <v>5.8757749486676496E-2</v>
      </c>
      <c r="S152" s="91">
        <f t="shared" si="91"/>
        <v>6.059303768673973E-2</v>
      </c>
      <c r="T152" s="91">
        <f t="shared" si="91"/>
        <v>6.2328131729370434E-2</v>
      </c>
      <c r="U152" s="91">
        <f t="shared" si="91"/>
        <v>6.3760503080617439E-2</v>
      </c>
      <c r="V152" s="91">
        <f t="shared" si="91"/>
        <v>6.4904735244002754E-2</v>
      </c>
      <c r="W152" s="91">
        <f t="shared" si="91"/>
        <v>6.5845504400378327E-2</v>
      </c>
      <c r="X152" s="186">
        <f t="shared" si="91"/>
        <v>6.6531540352623195E-2</v>
      </c>
    </row>
    <row r="153" spans="1:35" hidden="1">
      <c r="A153" t="s">
        <v>207</v>
      </c>
      <c r="C153" s="346">
        <f>'backup - EIA liq_fuelS_aeo2014'!E46</f>
        <v>273.77869168296451</v>
      </c>
      <c r="D153" s="346">
        <f>'backup - EIA liq_fuelS_aeo2014'!F46</f>
        <v>330.59007454663532</v>
      </c>
      <c r="E153" s="346">
        <f>'backup - EIA liq_fuelS_aeo2014'!G46</f>
        <v>346.41273999999999</v>
      </c>
      <c r="F153" s="346">
        <f>'backup - EIA liq_fuelS_aeo2014'!H46</f>
        <v>332.23648773503913</v>
      </c>
      <c r="G153" s="346">
        <f>'backup - EIA liq_fuelS_aeo2014'!I46</f>
        <v>336.63400877733272</v>
      </c>
      <c r="H153" s="412">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90">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5">
        <f>'backup - EIA liq_fuelS_aeo2014'!Z46</f>
        <v>459.60339229062083</v>
      </c>
    </row>
    <row r="154" spans="1:35" hidden="1">
      <c r="A154" t="s">
        <v>210</v>
      </c>
      <c r="C154" s="336">
        <f>C153/C149</f>
        <v>3.8621421054708789E-2</v>
      </c>
      <c r="D154" s="336">
        <f t="shared" ref="D154:X154" si="92">D153/D149</f>
        <v>4.62389906452398E-2</v>
      </c>
      <c r="E154" s="336">
        <f t="shared" si="92"/>
        <v>5.0113358533740347E-2</v>
      </c>
      <c r="F154" s="336">
        <f t="shared" si="92"/>
        <v>4.8957766991398283E-2</v>
      </c>
      <c r="G154" s="336">
        <f t="shared" si="92"/>
        <v>4.8578849560248959E-2</v>
      </c>
      <c r="H154" s="285">
        <f t="shared" si="92"/>
        <v>5.1284361693822764E-2</v>
      </c>
      <c r="I154" s="91">
        <f t="shared" si="92"/>
        <v>4.7576032869045513E-2</v>
      </c>
      <c r="J154" s="91">
        <f t="shared" si="92"/>
        <v>4.7305096007127082E-2</v>
      </c>
      <c r="K154" s="91">
        <f t="shared" si="92"/>
        <v>4.7990408149769591E-2</v>
      </c>
      <c r="L154" s="91">
        <f t="shared" si="92"/>
        <v>4.8486149400757073E-2</v>
      </c>
      <c r="M154" s="91">
        <f t="shared" si="92"/>
        <v>4.9368514215783074E-2</v>
      </c>
      <c r="N154" s="181">
        <f t="shared" si="92"/>
        <v>5.0830360119830421E-2</v>
      </c>
      <c r="O154" s="91">
        <f t="shared" si="92"/>
        <v>5.2227082464624618E-2</v>
      </c>
      <c r="P154" s="91">
        <f t="shared" si="92"/>
        <v>5.4509371249060634E-2</v>
      </c>
      <c r="Q154" s="91">
        <f t="shared" si="92"/>
        <v>5.6685779692733994E-2</v>
      </c>
      <c r="R154" s="91">
        <f t="shared" si="92"/>
        <v>5.8757749486676496E-2</v>
      </c>
      <c r="S154" s="91">
        <f t="shared" si="92"/>
        <v>6.059303768673973E-2</v>
      </c>
      <c r="T154" s="91">
        <f t="shared" si="92"/>
        <v>6.2328131729370434E-2</v>
      </c>
      <c r="U154" s="91">
        <f t="shared" si="92"/>
        <v>6.3760503080617439E-2</v>
      </c>
      <c r="V154" s="91">
        <f t="shared" si="92"/>
        <v>6.4904735244002754E-2</v>
      </c>
      <c r="W154" s="91">
        <f t="shared" si="92"/>
        <v>6.5845504400378327E-2</v>
      </c>
      <c r="X154" s="186">
        <f t="shared" si="92"/>
        <v>6.6531540352623195E-2</v>
      </c>
    </row>
    <row r="155" spans="1:35" hidden="1">
      <c r="A155" s="1" t="s">
        <v>208</v>
      </c>
      <c r="C155" s="346">
        <f>MAX(C151,C153)</f>
        <v>273.77869168296451</v>
      </c>
      <c r="D155" s="346">
        <f t="shared" ref="D155:X155" si="93">MAX(D151,D153)</f>
        <v>330.59007454663532</v>
      </c>
      <c r="E155" s="346">
        <f t="shared" si="93"/>
        <v>346.41273999999999</v>
      </c>
      <c r="F155" s="346">
        <f t="shared" si="93"/>
        <v>332.23648773503913</v>
      </c>
      <c r="G155" s="346">
        <f t="shared" si="93"/>
        <v>336.63400877733272</v>
      </c>
      <c r="H155" s="412">
        <f t="shared" si="93"/>
        <v>352.19858305216189</v>
      </c>
      <c r="I155" s="52">
        <f t="shared" si="93"/>
        <v>332.67387741278202</v>
      </c>
      <c r="J155" s="52">
        <f t="shared" si="93"/>
        <v>334.25860074671806</v>
      </c>
      <c r="K155" s="52">
        <f t="shared" si="93"/>
        <v>341.17813427402433</v>
      </c>
      <c r="L155" s="52">
        <f t="shared" si="93"/>
        <v>345.58877710595249</v>
      </c>
      <c r="M155" s="52">
        <f t="shared" si="93"/>
        <v>352.0193896929872</v>
      </c>
      <c r="N155" s="190">
        <f t="shared" si="93"/>
        <v>362.16295876265764</v>
      </c>
      <c r="O155" s="52">
        <f t="shared" si="93"/>
        <v>371.28950968144909</v>
      </c>
      <c r="P155" s="52">
        <f t="shared" si="93"/>
        <v>386.73310267300621</v>
      </c>
      <c r="Q155" s="52">
        <f t="shared" si="93"/>
        <v>401.15959175664915</v>
      </c>
      <c r="R155" s="52">
        <f t="shared" si="93"/>
        <v>414.56272820760728</v>
      </c>
      <c r="S155" s="52">
        <f t="shared" si="93"/>
        <v>426.01426158540727</v>
      </c>
      <c r="T155" s="52">
        <f t="shared" si="93"/>
        <v>436.3142303161336</v>
      </c>
      <c r="U155" s="52">
        <f t="shared" si="93"/>
        <v>444.95490300330164</v>
      </c>
      <c r="V155" s="52">
        <f t="shared" si="93"/>
        <v>451.53307562319765</v>
      </c>
      <c r="W155" s="52">
        <f t="shared" si="93"/>
        <v>456.17321024350161</v>
      </c>
      <c r="X155" s="375">
        <f t="shared" si="93"/>
        <v>459.60339229062083</v>
      </c>
    </row>
    <row r="156" spans="1:35" hidden="1">
      <c r="A156" t="s">
        <v>211</v>
      </c>
      <c r="I156" s="101"/>
      <c r="J156" s="101"/>
      <c r="K156" s="101"/>
      <c r="L156" s="101"/>
      <c r="M156" s="101"/>
      <c r="O156" s="101"/>
      <c r="P156" s="101"/>
      <c r="Q156" s="101"/>
      <c r="R156" s="101"/>
      <c r="S156" s="101"/>
      <c r="T156" s="101"/>
      <c r="U156" s="101"/>
      <c r="V156" s="101"/>
      <c r="W156" s="101"/>
    </row>
    <row r="157" spans="1:35" hidden="1">
      <c r="A157" t="s">
        <v>213</v>
      </c>
      <c r="C157" s="337">
        <f>C149-C150</f>
        <v>0</v>
      </c>
      <c r="D157" s="337">
        <f t="shared" ref="D157:X157" si="94">D149-D150</f>
        <v>0</v>
      </c>
      <c r="E157" s="337">
        <f t="shared" si="94"/>
        <v>0</v>
      </c>
      <c r="F157" s="337">
        <f t="shared" si="94"/>
        <v>0</v>
      </c>
      <c r="G157" s="337">
        <f t="shared" si="94"/>
        <v>0</v>
      </c>
      <c r="H157" s="411">
        <f t="shared" si="94"/>
        <v>0</v>
      </c>
      <c r="I157" s="16">
        <f t="shared" si="94"/>
        <v>0</v>
      </c>
      <c r="J157" s="16">
        <f t="shared" si="94"/>
        <v>0</v>
      </c>
      <c r="K157" s="16">
        <f t="shared" si="94"/>
        <v>0</v>
      </c>
      <c r="L157" s="16">
        <f t="shared" si="94"/>
        <v>0</v>
      </c>
      <c r="M157" s="16">
        <f t="shared" si="94"/>
        <v>0</v>
      </c>
      <c r="N157" s="189">
        <f t="shared" si="94"/>
        <v>0</v>
      </c>
      <c r="O157" s="16">
        <f t="shared" si="94"/>
        <v>0</v>
      </c>
      <c r="P157" s="16">
        <f t="shared" si="94"/>
        <v>0</v>
      </c>
      <c r="Q157" s="16">
        <f t="shared" si="94"/>
        <v>0</v>
      </c>
      <c r="R157" s="16">
        <f t="shared" si="94"/>
        <v>0</v>
      </c>
      <c r="S157" s="16">
        <f t="shared" si="94"/>
        <v>0</v>
      </c>
      <c r="T157" s="16">
        <f t="shared" si="94"/>
        <v>0</v>
      </c>
      <c r="U157" s="16">
        <f t="shared" si="94"/>
        <v>0</v>
      </c>
      <c r="V157" s="16">
        <f t="shared" si="94"/>
        <v>0</v>
      </c>
      <c r="W157" s="16">
        <f t="shared" si="94"/>
        <v>0</v>
      </c>
      <c r="X157" s="374">
        <f t="shared" si="94"/>
        <v>0</v>
      </c>
    </row>
    <row r="158" spans="1:35" hidden="1"/>
    <row r="159" spans="1:35" hidden="1">
      <c r="A159" s="1" t="s">
        <v>258</v>
      </c>
    </row>
    <row r="160" spans="1:35" hidden="1">
      <c r="A160" t="s">
        <v>291</v>
      </c>
      <c r="C160" s="334">
        <v>0</v>
      </c>
      <c r="D160" s="334">
        <v>0</v>
      </c>
      <c r="E160" s="334">
        <v>0</v>
      </c>
      <c r="F160" s="334">
        <v>0</v>
      </c>
      <c r="G160" s="334">
        <v>0</v>
      </c>
      <c r="H160" s="287">
        <v>0</v>
      </c>
      <c r="I160" s="83">
        <v>0</v>
      </c>
      <c r="J160" s="83">
        <v>0</v>
      </c>
      <c r="K160" s="83">
        <v>0</v>
      </c>
      <c r="L160" s="83">
        <v>0</v>
      </c>
      <c r="M160" s="83">
        <v>0</v>
      </c>
      <c r="N160" s="178">
        <v>0</v>
      </c>
      <c r="O160" s="83">
        <v>0</v>
      </c>
      <c r="P160" s="83">
        <v>0</v>
      </c>
      <c r="Q160" s="83">
        <v>0</v>
      </c>
      <c r="R160" s="83">
        <v>0</v>
      </c>
      <c r="S160" s="83">
        <v>0</v>
      </c>
      <c r="T160" s="83">
        <v>0</v>
      </c>
      <c r="U160" s="83">
        <v>0</v>
      </c>
      <c r="V160" s="83">
        <v>0</v>
      </c>
      <c r="W160" s="83">
        <v>0</v>
      </c>
      <c r="X160" s="185">
        <v>0</v>
      </c>
    </row>
    <row r="161" spans="1:35" hidden="1">
      <c r="A161" t="s">
        <v>292</v>
      </c>
      <c r="C161" s="334">
        <v>0</v>
      </c>
      <c r="D161" s="334">
        <v>0</v>
      </c>
      <c r="E161" s="334">
        <v>0</v>
      </c>
      <c r="F161" s="334">
        <v>0</v>
      </c>
      <c r="G161" s="334">
        <v>0</v>
      </c>
      <c r="H161" s="287">
        <v>0</v>
      </c>
      <c r="I161" s="83">
        <v>0</v>
      </c>
      <c r="J161" s="83">
        <v>0</v>
      </c>
      <c r="K161" s="83">
        <v>0</v>
      </c>
      <c r="L161" s="83">
        <v>0</v>
      </c>
      <c r="M161" s="83">
        <v>0</v>
      </c>
      <c r="N161" s="178">
        <v>0</v>
      </c>
      <c r="O161" s="83">
        <v>0</v>
      </c>
      <c r="P161" s="83">
        <v>0</v>
      </c>
      <c r="Q161" s="83">
        <v>0</v>
      </c>
      <c r="R161" s="83">
        <v>0</v>
      </c>
      <c r="S161" s="83">
        <v>0</v>
      </c>
      <c r="T161" s="83">
        <v>0</v>
      </c>
      <c r="U161" s="83">
        <v>0</v>
      </c>
      <c r="V161" s="83">
        <v>0</v>
      </c>
      <c r="W161" s="83">
        <v>0</v>
      </c>
      <c r="X161" s="185">
        <v>0</v>
      </c>
    </row>
    <row r="162" spans="1:35" hidden="1">
      <c r="A162" t="s">
        <v>293</v>
      </c>
      <c r="C162" s="334">
        <v>0</v>
      </c>
      <c r="D162" s="334">
        <v>0</v>
      </c>
      <c r="E162" s="334">
        <v>0</v>
      </c>
      <c r="F162" s="334">
        <v>0</v>
      </c>
      <c r="G162" s="334">
        <v>0</v>
      </c>
      <c r="H162" s="287">
        <v>0</v>
      </c>
      <c r="I162" s="83">
        <v>0</v>
      </c>
      <c r="J162" s="83">
        <v>0</v>
      </c>
      <c r="K162" s="83">
        <v>0</v>
      </c>
      <c r="L162" s="83">
        <v>0</v>
      </c>
      <c r="M162" s="83">
        <v>0</v>
      </c>
      <c r="N162" s="178">
        <v>0</v>
      </c>
      <c r="O162" s="83">
        <v>0</v>
      </c>
      <c r="P162" s="83">
        <v>0</v>
      </c>
      <c r="Q162" s="83">
        <v>0</v>
      </c>
      <c r="R162" s="83">
        <v>0</v>
      </c>
      <c r="S162" s="83">
        <v>0</v>
      </c>
      <c r="T162" s="83">
        <v>0</v>
      </c>
      <c r="U162" s="83">
        <v>0</v>
      </c>
      <c r="V162" s="83">
        <v>0</v>
      </c>
      <c r="W162" s="83">
        <v>0</v>
      </c>
      <c r="X162" s="185">
        <v>0</v>
      </c>
    </row>
    <row r="163" spans="1:35" hidden="1">
      <c r="A163" t="s">
        <v>294</v>
      </c>
      <c r="C163" s="334">
        <v>0</v>
      </c>
      <c r="D163" s="334">
        <v>0</v>
      </c>
      <c r="E163" s="334">
        <v>0</v>
      </c>
      <c r="F163" s="334">
        <v>0</v>
      </c>
      <c r="G163" s="334">
        <v>0</v>
      </c>
      <c r="H163" s="287">
        <v>0</v>
      </c>
      <c r="I163" s="83">
        <v>0</v>
      </c>
      <c r="J163" s="83">
        <v>0</v>
      </c>
      <c r="K163" s="83">
        <v>0</v>
      </c>
      <c r="L163" s="83">
        <v>0</v>
      </c>
      <c r="M163" s="83">
        <v>0</v>
      </c>
      <c r="N163" s="178">
        <v>0</v>
      </c>
      <c r="O163" s="83">
        <v>0</v>
      </c>
      <c r="P163" s="83">
        <v>0</v>
      </c>
      <c r="Q163" s="83">
        <v>0</v>
      </c>
      <c r="R163" s="83">
        <v>0</v>
      </c>
      <c r="S163" s="83">
        <v>0</v>
      </c>
      <c r="T163" s="83">
        <v>0</v>
      </c>
      <c r="U163" s="83">
        <v>0</v>
      </c>
      <c r="V163" s="83">
        <v>0</v>
      </c>
      <c r="W163" s="83">
        <v>0</v>
      </c>
      <c r="X163" s="185">
        <v>0</v>
      </c>
      <c r="AI163" s="79" t="s">
        <v>0</v>
      </c>
    </row>
    <row r="164" spans="1:35" hidden="1">
      <c r="A164" t="s">
        <v>295</v>
      </c>
      <c r="C164" s="334" t="e">
        <f>C157*#REF!</f>
        <v>#REF!</v>
      </c>
      <c r="D164" s="334" t="e">
        <f>D157*#REF!</f>
        <v>#REF!</v>
      </c>
      <c r="E164" s="334" t="e">
        <f>E157*#REF!</f>
        <v>#REF!</v>
      </c>
      <c r="F164" s="334" t="e">
        <f>F157*#REF!</f>
        <v>#REF!</v>
      </c>
      <c r="G164" s="334" t="e">
        <f>G157*#REF!</f>
        <v>#REF!</v>
      </c>
      <c r="H164" s="287" t="e">
        <f>H157*#REF!</f>
        <v>#REF!</v>
      </c>
      <c r="I164" s="83" t="e">
        <f>I157*#REF!</f>
        <v>#REF!</v>
      </c>
      <c r="J164" s="83" t="e">
        <f>J157*#REF!</f>
        <v>#REF!</v>
      </c>
      <c r="K164" s="83" t="e">
        <f>K157*#REF!</f>
        <v>#REF!</v>
      </c>
      <c r="L164" s="83" t="e">
        <f>L157*#REF!</f>
        <v>#REF!</v>
      </c>
      <c r="M164" s="83" t="e">
        <f>M157*#REF!</f>
        <v>#REF!</v>
      </c>
      <c r="N164" s="178"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5" t="e">
        <f>X157*#REF!</f>
        <v>#REF!</v>
      </c>
    </row>
    <row r="165" spans="1:35" hidden="1">
      <c r="A165" t="s">
        <v>296</v>
      </c>
      <c r="C165" s="334">
        <v>0</v>
      </c>
      <c r="D165" s="334">
        <v>0</v>
      </c>
      <c r="E165" s="334">
        <v>0</v>
      </c>
      <c r="F165" s="334">
        <v>0</v>
      </c>
      <c r="G165" s="334">
        <v>0</v>
      </c>
      <c r="H165" s="287">
        <v>0</v>
      </c>
      <c r="I165" s="83">
        <v>0</v>
      </c>
      <c r="J165" s="83">
        <v>0</v>
      </c>
      <c r="K165" s="83">
        <v>0</v>
      </c>
      <c r="L165" s="83">
        <v>0</v>
      </c>
      <c r="M165" s="83">
        <v>0</v>
      </c>
      <c r="N165" s="178">
        <v>0</v>
      </c>
      <c r="O165" s="83">
        <v>0</v>
      </c>
      <c r="P165" s="83">
        <v>0</v>
      </c>
      <c r="Q165" s="83">
        <v>0</v>
      </c>
      <c r="R165" s="83">
        <v>0</v>
      </c>
      <c r="S165" s="83">
        <v>0</v>
      </c>
      <c r="T165" s="83">
        <v>0</v>
      </c>
      <c r="U165" s="83">
        <v>0</v>
      </c>
      <c r="V165" s="83">
        <v>0</v>
      </c>
      <c r="W165" s="83">
        <v>0</v>
      </c>
      <c r="X165" s="185">
        <v>0</v>
      </c>
    </row>
    <row r="166" spans="1:35" hidden="1">
      <c r="A166" t="s">
        <v>260</v>
      </c>
      <c r="C166" s="334" t="e">
        <f>C162-C160+C164+C165</f>
        <v>#REF!</v>
      </c>
      <c r="D166" s="334">
        <v>0</v>
      </c>
      <c r="E166" s="334">
        <v>0</v>
      </c>
      <c r="F166" s="334">
        <v>0</v>
      </c>
      <c r="G166" s="334">
        <v>0</v>
      </c>
      <c r="H166" s="287">
        <v>0</v>
      </c>
      <c r="I166" s="83">
        <v>0</v>
      </c>
      <c r="J166" s="83">
        <v>0</v>
      </c>
      <c r="K166" s="83">
        <v>0</v>
      </c>
      <c r="L166" s="83">
        <v>0</v>
      </c>
      <c r="M166" s="83">
        <v>0</v>
      </c>
      <c r="N166" s="178">
        <v>0</v>
      </c>
      <c r="O166" s="83">
        <v>0</v>
      </c>
      <c r="P166" s="83">
        <v>0</v>
      </c>
      <c r="Q166" s="83">
        <v>0</v>
      </c>
      <c r="R166" s="83">
        <v>0</v>
      </c>
      <c r="S166" s="83">
        <v>0</v>
      </c>
      <c r="T166" s="83">
        <v>0</v>
      </c>
      <c r="U166" s="83">
        <v>0</v>
      </c>
      <c r="V166" s="83">
        <v>0</v>
      </c>
      <c r="W166" s="83">
        <v>0</v>
      </c>
      <c r="X166" s="185">
        <v>0</v>
      </c>
    </row>
    <row r="167" spans="1:35" hidden="1">
      <c r="I167" s="100"/>
      <c r="J167" s="100"/>
      <c r="K167" s="100"/>
      <c r="L167" s="100"/>
      <c r="M167" s="100"/>
      <c r="O167" s="100"/>
      <c r="P167" s="100"/>
      <c r="Q167" s="100"/>
      <c r="R167" s="100"/>
      <c r="S167" s="100"/>
      <c r="T167" s="100"/>
      <c r="U167" s="100"/>
      <c r="V167" s="100"/>
      <c r="W167" s="100"/>
    </row>
    <row r="168" spans="1:35" hidden="1">
      <c r="A168" s="1" t="s">
        <v>259</v>
      </c>
      <c r="I168" s="100"/>
      <c r="J168" s="100"/>
      <c r="K168" s="100"/>
      <c r="L168" s="100"/>
      <c r="M168" s="100"/>
      <c r="O168" s="100"/>
      <c r="P168" s="100"/>
      <c r="Q168" s="100"/>
      <c r="R168" s="100"/>
      <c r="S168" s="100"/>
      <c r="T168" s="100"/>
      <c r="U168" s="100"/>
      <c r="V168" s="100"/>
      <c r="W168" s="100"/>
    </row>
    <row r="169" spans="1:35" hidden="1">
      <c r="A169" s="55" t="s">
        <v>300</v>
      </c>
      <c r="C169" s="334">
        <v>0</v>
      </c>
      <c r="D169" s="334">
        <v>0</v>
      </c>
      <c r="E169" s="334">
        <v>0</v>
      </c>
      <c r="F169" s="334">
        <v>0</v>
      </c>
      <c r="G169" s="334">
        <v>0</v>
      </c>
      <c r="H169" s="287">
        <v>0</v>
      </c>
      <c r="I169" s="83">
        <v>0</v>
      </c>
      <c r="J169" s="83">
        <v>0</v>
      </c>
      <c r="K169" s="83">
        <v>0</v>
      </c>
      <c r="L169" s="83">
        <v>0</v>
      </c>
      <c r="M169" s="83">
        <v>0</v>
      </c>
      <c r="N169" s="178">
        <v>0</v>
      </c>
      <c r="O169" s="83">
        <v>0</v>
      </c>
      <c r="P169" s="83">
        <v>0</v>
      </c>
      <c r="Q169" s="83">
        <v>0</v>
      </c>
      <c r="R169" s="83">
        <v>0</v>
      </c>
      <c r="S169" s="83">
        <v>0</v>
      </c>
      <c r="T169" s="83">
        <v>0</v>
      </c>
      <c r="U169" s="83">
        <v>0</v>
      </c>
      <c r="V169" s="83">
        <v>0</v>
      </c>
      <c r="W169" s="83">
        <v>0</v>
      </c>
      <c r="X169" s="185">
        <v>0</v>
      </c>
    </row>
    <row r="170" spans="1:35" hidden="1">
      <c r="A170" s="55" t="s">
        <v>301</v>
      </c>
      <c r="C170" s="334">
        <v>0</v>
      </c>
      <c r="D170" s="334">
        <v>0</v>
      </c>
      <c r="E170" s="334">
        <v>0</v>
      </c>
      <c r="F170" s="334">
        <v>0</v>
      </c>
      <c r="G170" s="334">
        <v>0</v>
      </c>
      <c r="H170" s="287">
        <v>0</v>
      </c>
      <c r="I170" s="83">
        <v>0</v>
      </c>
      <c r="J170" s="83">
        <v>0</v>
      </c>
      <c r="K170" s="83">
        <v>0</v>
      </c>
      <c r="L170" s="83">
        <v>0</v>
      </c>
      <c r="M170" s="83">
        <v>0</v>
      </c>
      <c r="N170" s="178">
        <v>0</v>
      </c>
      <c r="O170" s="83">
        <v>0</v>
      </c>
      <c r="P170" s="83">
        <v>0</v>
      </c>
      <c r="Q170" s="83">
        <v>0</v>
      </c>
      <c r="R170" s="83">
        <v>0</v>
      </c>
      <c r="S170" s="83">
        <v>0</v>
      </c>
      <c r="T170" s="83">
        <v>0</v>
      </c>
      <c r="U170" s="83">
        <v>0</v>
      </c>
      <c r="V170" s="83">
        <v>0</v>
      </c>
      <c r="W170" s="83">
        <v>0</v>
      </c>
      <c r="X170" s="185">
        <v>0</v>
      </c>
    </row>
    <row r="171" spans="1:35" hidden="1">
      <c r="A171" s="55" t="s">
        <v>302</v>
      </c>
      <c r="C171" s="334">
        <v>0</v>
      </c>
      <c r="D171" s="334">
        <v>0</v>
      </c>
      <c r="E171" s="334">
        <v>0</v>
      </c>
      <c r="F171" s="334">
        <v>0</v>
      </c>
      <c r="G171" s="334">
        <v>0</v>
      </c>
      <c r="H171" s="287">
        <v>0</v>
      </c>
      <c r="I171" s="83">
        <v>0</v>
      </c>
      <c r="J171" s="83">
        <v>0</v>
      </c>
      <c r="K171" s="83">
        <v>0</v>
      </c>
      <c r="L171" s="83">
        <v>0</v>
      </c>
      <c r="M171" s="83">
        <v>0</v>
      </c>
      <c r="N171" s="178">
        <v>0</v>
      </c>
      <c r="O171" s="83">
        <v>0</v>
      </c>
      <c r="P171" s="83">
        <v>0</v>
      </c>
      <c r="Q171" s="83">
        <v>0</v>
      </c>
      <c r="R171" s="83">
        <v>0</v>
      </c>
      <c r="S171" s="83">
        <v>0</v>
      </c>
      <c r="T171" s="83">
        <v>0</v>
      </c>
      <c r="U171" s="83">
        <v>0</v>
      </c>
      <c r="V171" s="83">
        <v>0</v>
      </c>
      <c r="W171" s="83">
        <v>0</v>
      </c>
      <c r="X171" s="185">
        <v>0</v>
      </c>
    </row>
    <row r="172" spans="1:35" hidden="1">
      <c r="A172" s="55" t="s">
        <v>303</v>
      </c>
      <c r="C172" s="334">
        <v>0</v>
      </c>
      <c r="D172" s="334">
        <v>0</v>
      </c>
      <c r="E172" s="334">
        <v>0</v>
      </c>
      <c r="F172" s="334">
        <v>0</v>
      </c>
      <c r="G172" s="334">
        <v>0</v>
      </c>
      <c r="H172" s="287">
        <v>0</v>
      </c>
      <c r="I172" s="83">
        <v>0</v>
      </c>
      <c r="J172" s="83">
        <v>0</v>
      </c>
      <c r="K172" s="83">
        <v>0</v>
      </c>
      <c r="L172" s="83">
        <v>0</v>
      </c>
      <c r="M172" s="83">
        <v>0</v>
      </c>
      <c r="N172" s="178">
        <v>0</v>
      </c>
      <c r="O172" s="83">
        <v>0</v>
      </c>
      <c r="P172" s="83">
        <v>0</v>
      </c>
      <c r="Q172" s="83">
        <v>0</v>
      </c>
      <c r="R172" s="83">
        <v>0</v>
      </c>
      <c r="S172" s="83">
        <v>0</v>
      </c>
      <c r="T172" s="83">
        <v>0</v>
      </c>
      <c r="U172" s="83">
        <v>0</v>
      </c>
      <c r="V172" s="83">
        <v>0</v>
      </c>
      <c r="W172" s="83">
        <v>0</v>
      </c>
      <c r="X172" s="185">
        <v>0</v>
      </c>
    </row>
    <row r="173" spans="1:35" hidden="1">
      <c r="A173" s="55" t="s">
        <v>261</v>
      </c>
      <c r="C173" s="334" t="e">
        <f>'backup - Mass Transit'!BC34</f>
        <v>#REF!</v>
      </c>
      <c r="D173" s="334" t="e">
        <f>'backup - Mass Transit'!BD34</f>
        <v>#REF!</v>
      </c>
      <c r="E173" s="334" t="e">
        <f>'backup - Mass Transit'!BE34</f>
        <v>#REF!</v>
      </c>
      <c r="F173" s="334" t="e">
        <f>'backup - Mass Transit'!BF34</f>
        <v>#REF!</v>
      </c>
      <c r="G173" s="334" t="e">
        <f>'backup - Mass Transit'!BG34</f>
        <v>#REF!</v>
      </c>
      <c r="H173" s="287"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8"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5" t="e">
        <f>'backup - Mass Transit'!BX34</f>
        <v>#REF!</v>
      </c>
    </row>
    <row r="175" spans="1:35">
      <c r="A175" s="75" t="s">
        <v>262</v>
      </c>
      <c r="C175" s="332">
        <v>2009</v>
      </c>
      <c r="D175" s="332">
        <v>2010</v>
      </c>
      <c r="E175" s="332">
        <v>2011</v>
      </c>
      <c r="F175" s="332">
        <v>2012</v>
      </c>
      <c r="G175" s="332">
        <v>2013</v>
      </c>
      <c r="H175" s="405">
        <v>2014</v>
      </c>
      <c r="I175" s="13">
        <v>2015</v>
      </c>
      <c r="J175" s="13">
        <v>2016</v>
      </c>
      <c r="K175" s="13">
        <v>2017</v>
      </c>
      <c r="L175" s="13">
        <v>2018</v>
      </c>
      <c r="M175" s="13">
        <v>2019</v>
      </c>
      <c r="N175" s="177">
        <v>2020</v>
      </c>
      <c r="O175" s="13">
        <v>2021</v>
      </c>
      <c r="P175" s="13">
        <v>2022</v>
      </c>
      <c r="Q175" s="13">
        <v>2023</v>
      </c>
      <c r="R175" s="13">
        <v>2024</v>
      </c>
      <c r="S175" s="13">
        <v>2025</v>
      </c>
      <c r="T175" s="13">
        <v>2026</v>
      </c>
      <c r="U175" s="13">
        <v>2027</v>
      </c>
      <c r="V175" s="13">
        <v>2028</v>
      </c>
      <c r="W175" s="13">
        <v>2029</v>
      </c>
      <c r="X175" s="177">
        <v>2030</v>
      </c>
      <c r="Y175" s="13">
        <v>2031</v>
      </c>
      <c r="Z175" s="13">
        <v>2032</v>
      </c>
      <c r="AA175" s="13">
        <v>2033</v>
      </c>
      <c r="AB175" s="13">
        <v>2034</v>
      </c>
      <c r="AC175" s="13">
        <v>2035</v>
      </c>
      <c r="AD175" s="13">
        <v>2036</v>
      </c>
      <c r="AE175" s="13">
        <v>2037</v>
      </c>
      <c r="AF175" s="13">
        <v>2038</v>
      </c>
      <c r="AG175" s="13">
        <v>2039</v>
      </c>
      <c r="AH175" s="177">
        <v>2040</v>
      </c>
      <c r="AI175" s="1" t="s">
        <v>0</v>
      </c>
    </row>
    <row r="176" spans="1:35">
      <c r="A176" s="75" t="s">
        <v>305</v>
      </c>
      <c r="C176" s="338">
        <f>'Output - Jobs vs Yr (BAU)'!C55+'Output - Jobs vs Yr (BAU)'!C73</f>
        <v>31697.500522800001</v>
      </c>
      <c r="D176" s="338">
        <f>'Output - Jobs vs Yr (BAU)'!D55+'Output - Jobs vs Yr (BAU)'!D73</f>
        <v>32330.447522799997</v>
      </c>
      <c r="E176" s="338">
        <f>'Output - Jobs vs Yr (BAU)'!E55+'Output - Jobs vs Yr (BAU)'!E73</f>
        <v>34239.689369799991</v>
      </c>
      <c r="F176" s="338">
        <f>'Output - Jobs vs Yr (BAU)'!F55+'Output - Jobs vs Yr (BAU)'!F73</f>
        <v>33896.520280800003</v>
      </c>
      <c r="G176" s="338">
        <f>'Output - Jobs vs Yr (BAU)'!G55+'Output - Jobs vs Yr (BAU)'!G73</f>
        <v>34939.117141800001</v>
      </c>
      <c r="H176" s="409">
        <f>'Output - Jobs vs Yr (BAU)'!H55+'Output - Jobs vs Yr (BAU)'!H73</f>
        <v>34495.114197800001</v>
      </c>
      <c r="I176" s="19">
        <f>'Output - Jobs vs Yr (BAU)'!I55+'Output - Jobs vs Yr (BAU)'!I73</f>
        <v>34538.0995128</v>
      </c>
      <c r="J176" s="19">
        <f>'Output - Jobs vs Yr (BAU)'!J55+'Output - Jobs vs Yr (BAU)'!J73</f>
        <v>33809.001967799995</v>
      </c>
      <c r="K176" s="19">
        <f>'Output - Jobs vs Yr (BAU)'!K55+'Output - Jobs vs Yr (BAU)'!K73</f>
        <v>33561.451898799991</v>
      </c>
      <c r="L176" s="19">
        <f>'Output - Jobs vs Yr (BAU)'!L55+'Output - Jobs vs Yr (BAU)'!L73</f>
        <v>34145.810825799999</v>
      </c>
      <c r="M176" s="19">
        <f>'Output - Jobs vs Yr (BAU)'!M55+'Output - Jobs vs Yr (BAU)'!M73</f>
        <v>34074.721185799994</v>
      </c>
      <c r="N176" s="183">
        <f>'Output - Jobs vs Yr (BAU)'!N55+'Output - Jobs vs Yr (BAU)'!N73</f>
        <v>33967.322279799999</v>
      </c>
      <c r="O176" s="19">
        <f>'Output - Jobs vs Yr (BAU)'!O55+'Output - Jobs vs Yr (BAU)'!O73</f>
        <v>33953.213620800001</v>
      </c>
      <c r="P176" s="19">
        <f>'Output - Jobs vs Yr (BAU)'!P55+'Output - Jobs vs Yr (BAU)'!P73</f>
        <v>33846.700532800001</v>
      </c>
      <c r="Q176" s="19">
        <f>'Output - Jobs vs Yr (BAU)'!Q55+'Output - Jobs vs Yr (BAU)'!Q73</f>
        <v>33977.837069799993</v>
      </c>
      <c r="R176" s="19">
        <f>'Output - Jobs vs Yr (BAU)'!R55+'Output - Jobs vs Yr (BAU)'!R73</f>
        <v>34306.9926328</v>
      </c>
      <c r="S176" s="19">
        <f>'Output - Jobs vs Yr (BAU)'!S55+'Output - Jobs vs Yr (BAU)'!S73</f>
        <v>34343.819781800004</v>
      </c>
      <c r="T176" s="19">
        <f>'Output - Jobs vs Yr (BAU)'!T55+'Output - Jobs vs Yr (BAU)'!T73</f>
        <v>34269.0917558</v>
      </c>
      <c r="U176" s="19">
        <f>'Output - Jobs vs Yr (BAU)'!U55+'Output - Jobs vs Yr (BAU)'!U73</f>
        <v>33821.252559799999</v>
      </c>
      <c r="V176" s="19">
        <f>'Output - Jobs vs Yr (BAU)'!V55+'Output - Jobs vs Yr (BAU)'!V73</f>
        <v>34147.755057800001</v>
      </c>
      <c r="W176" s="19">
        <f>'Output - Jobs vs Yr (BAU)'!W55+'Output - Jobs vs Yr (BAU)'!W73</f>
        <v>33904.813780800003</v>
      </c>
      <c r="X176" s="183">
        <f>'Output - Jobs vs Yr (BAU)'!X55+'Output - Jobs vs Yr (BAU)'!X73</f>
        <v>34185.282223800001</v>
      </c>
      <c r="Y176" s="207">
        <f>'Output - Jobs vs Yr (BAU)'!Y55+'Output - Jobs vs Yr (BAU)'!Y73</f>
        <v>34228.188289799997</v>
      </c>
      <c r="Z176" s="207">
        <f>'Output - Jobs vs Yr (BAU)'!Z55+'Output - Jobs vs Yr (BAU)'!Z73</f>
        <v>34856.152121799998</v>
      </c>
      <c r="AA176" s="207">
        <f>'Output - Jobs vs Yr (BAU)'!AA55+'Output - Jobs vs Yr (BAU)'!AA73</f>
        <v>35270.683006799998</v>
      </c>
      <c r="AB176" s="207">
        <f>'Output - Jobs vs Yr (BAU)'!AB55+'Output - Jobs vs Yr (BAU)'!AB73</f>
        <v>35369.431497800004</v>
      </c>
      <c r="AC176" s="207">
        <f>'Output - Jobs vs Yr (BAU)'!AC55+'Output - Jobs vs Yr (BAU)'!AC73</f>
        <v>35864.618693800003</v>
      </c>
      <c r="AD176" s="207">
        <f>'Output - Jobs vs Yr (BAU)'!AD55+'Output - Jobs vs Yr (BAU)'!AD73</f>
        <v>35994.110932800002</v>
      </c>
      <c r="AE176" s="207">
        <f>'Output - Jobs vs Yr (BAU)'!AE55+'Output - Jobs vs Yr (BAU)'!AE73</f>
        <v>36252.130856799995</v>
      </c>
      <c r="AF176" s="207">
        <f>'Output - Jobs vs Yr (BAU)'!AF55+'Output - Jobs vs Yr (BAU)'!AF73</f>
        <v>36284.225903799997</v>
      </c>
      <c r="AG176" s="207">
        <f>'Output - Jobs vs Yr (BAU)'!AG55+'Output - Jobs vs Yr (BAU)'!AG73</f>
        <v>36556.360870799996</v>
      </c>
      <c r="AH176" s="183">
        <f>'Output - Jobs vs Yr (BAU)'!AH55+'Output - Jobs vs Yr (BAU)'!AH73</f>
        <v>37015.632898800002</v>
      </c>
      <c r="AI176" s="1"/>
    </row>
    <row r="177" spans="1:35">
      <c r="A177" s="76" t="s">
        <v>306</v>
      </c>
      <c r="C177" s="338">
        <f>'Output - Jobs vs Yr (BAU)'!C55</f>
        <v>16682.895012000001</v>
      </c>
      <c r="D177" s="338">
        <f>'Output - Jobs vs Yr (BAU)'!D55</f>
        <v>17016.025011999998</v>
      </c>
      <c r="E177" s="338">
        <f>'Output - Jobs vs Yr (BAU)'!E55</f>
        <v>18020.889141999996</v>
      </c>
      <c r="F177" s="338">
        <f>'Output - Jobs vs Yr (BAU)'!F55</f>
        <v>17840.273831999999</v>
      </c>
      <c r="G177" s="338">
        <f>'Output - Jobs vs Yr (BAU)'!G55</f>
        <v>18389.009021999998</v>
      </c>
      <c r="H177" s="409">
        <f>'Output - Jobs vs Yr (BAU)'!H55</f>
        <v>18155.323262000002</v>
      </c>
      <c r="I177" s="19">
        <f>'Output - Jobs vs Yr (BAU)'!I55</f>
        <v>18177.947112000002</v>
      </c>
      <c r="J177" s="19">
        <f>'Output - Jobs vs Yr (BAU)'!J55</f>
        <v>17794.211561999997</v>
      </c>
      <c r="K177" s="19">
        <f>'Output - Jobs vs Yr (BAU)'!K55</f>
        <v>17663.922051999998</v>
      </c>
      <c r="L177" s="19">
        <f>'Output - Jobs vs Yr (BAU)'!L55</f>
        <v>17971.479381999998</v>
      </c>
      <c r="M177" s="19">
        <f>'Output - Jobs vs Yr (BAU)'!M55</f>
        <v>17934.063781999997</v>
      </c>
      <c r="N177" s="183">
        <f>'Output - Jobs vs Yr (BAU)'!N55</f>
        <v>17877.538042</v>
      </c>
      <c r="O177" s="19">
        <f>'Output - Jobs vs Yr (BAU)'!O55</f>
        <v>17870.112431999998</v>
      </c>
      <c r="P177" s="19">
        <f>'Output - Jobs vs Yr (BAU)'!P55</f>
        <v>17814.052912000003</v>
      </c>
      <c r="Q177" s="19">
        <f>'Output - Jobs vs Yr (BAU)'!Q55</f>
        <v>17883.072141999997</v>
      </c>
      <c r="R177" s="19">
        <f>'Output - Jobs vs Yr (BAU)'!R55</f>
        <v>18056.311912000001</v>
      </c>
      <c r="S177" s="19">
        <f>'Output - Jobs vs Yr (BAU)'!S55</f>
        <v>18075.694622000003</v>
      </c>
      <c r="T177" s="19">
        <f>'Output - Jobs vs Yr (BAU)'!T55</f>
        <v>18036.364082</v>
      </c>
      <c r="U177" s="19">
        <f>'Output - Jobs vs Yr (BAU)'!U55</f>
        <v>17800.659242000002</v>
      </c>
      <c r="V177" s="19">
        <f>'Output - Jobs vs Yr (BAU)'!V55</f>
        <v>17972.502661999999</v>
      </c>
      <c r="W177" s="19">
        <f>'Output - Jobs vs Yr (BAU)'!W55</f>
        <v>17844.638832000001</v>
      </c>
      <c r="X177" s="183">
        <f>'Output - Jobs vs Yr (BAU)'!X55</f>
        <v>17992.253802000003</v>
      </c>
      <c r="Y177" s="207">
        <f>'Output - Jobs vs Yr (BAU)'!Y55</f>
        <v>18014.835941999998</v>
      </c>
      <c r="Z177" s="207">
        <f>'Output - Jobs vs Yr (BAU)'!Z55</f>
        <v>18345.343222</v>
      </c>
      <c r="AA177" s="207">
        <f>'Output - Jobs vs Yr (BAU)'!AA55</f>
        <v>18563.517372000002</v>
      </c>
      <c r="AB177" s="207">
        <f>'Output - Jobs vs Yr (BAU)'!AB55</f>
        <v>18615.490261999999</v>
      </c>
      <c r="AC177" s="207">
        <f>'Output - Jobs vs Yr (BAU)'!AC55</f>
        <v>18876.115102</v>
      </c>
      <c r="AD177" s="207">
        <f>'Output - Jobs vs Yr (BAU)'!AD55</f>
        <v>18944.268912</v>
      </c>
      <c r="AE177" s="207">
        <f>'Output - Jobs vs Yr (BAU)'!AE55</f>
        <v>19080.068872</v>
      </c>
      <c r="AF177" s="207">
        <f>'Output - Jobs vs Yr (BAU)'!AF55</f>
        <v>19096.961002</v>
      </c>
      <c r="AG177" s="207">
        <f>'Output - Jobs vs Yr (BAU)'!AG55</f>
        <v>19240.189932000001</v>
      </c>
      <c r="AH177" s="183">
        <f>'Output - Jobs vs Yr (BAU)'!AH55</f>
        <v>19481.912052</v>
      </c>
      <c r="AI177" s="1"/>
    </row>
    <row r="178" spans="1:35">
      <c r="A178" s="76" t="s">
        <v>307</v>
      </c>
      <c r="C178" s="338">
        <f>'Output - Jobs vs Yr (BAU)'!C73</f>
        <v>15014.6055108</v>
      </c>
      <c r="D178" s="338">
        <f>'Output - Jobs vs Yr (BAU)'!D73</f>
        <v>15314.422510799999</v>
      </c>
      <c r="E178" s="338">
        <f>'Output - Jobs vs Yr (BAU)'!E73</f>
        <v>16218.800227799999</v>
      </c>
      <c r="F178" s="338">
        <f>'Output - Jobs vs Yr (BAU)'!F73</f>
        <v>16056.246448800004</v>
      </c>
      <c r="G178" s="338">
        <f>'Output - Jobs vs Yr (BAU)'!G73</f>
        <v>16550.108119799999</v>
      </c>
      <c r="H178" s="409">
        <f>'Output - Jobs vs Yr (BAU)'!H73</f>
        <v>16339.7909358</v>
      </c>
      <c r="I178" s="19">
        <f>'Output - Jobs vs Yr (BAU)'!I73</f>
        <v>16360.152400799998</v>
      </c>
      <c r="J178" s="19">
        <f>'Output - Jobs vs Yr (BAU)'!J73</f>
        <v>16014.790405799999</v>
      </c>
      <c r="K178" s="19">
        <f>'Output - Jobs vs Yr (BAU)'!K73</f>
        <v>15897.529846799996</v>
      </c>
      <c r="L178" s="19">
        <f>'Output - Jobs vs Yr (BAU)'!L73</f>
        <v>16174.331443799998</v>
      </c>
      <c r="M178" s="19">
        <f>'Output - Jobs vs Yr (BAU)'!M73</f>
        <v>16140.6574038</v>
      </c>
      <c r="N178" s="183">
        <f>'Output - Jobs vs Yr (BAU)'!N73</f>
        <v>16089.784237799997</v>
      </c>
      <c r="O178" s="19">
        <f>'Output - Jobs vs Yr (BAU)'!O73</f>
        <v>16083.101188799999</v>
      </c>
      <c r="P178" s="19">
        <f>'Output - Jobs vs Yr (BAU)'!P73</f>
        <v>16032.647620799999</v>
      </c>
      <c r="Q178" s="19">
        <f>'Output - Jobs vs Yr (BAU)'!Q73</f>
        <v>16094.764927799999</v>
      </c>
      <c r="R178" s="19">
        <f>'Output - Jobs vs Yr (BAU)'!R73</f>
        <v>16250.680720799999</v>
      </c>
      <c r="S178" s="19">
        <f>'Output - Jobs vs Yr (BAU)'!S73</f>
        <v>16268.125159800002</v>
      </c>
      <c r="T178" s="19">
        <f>'Output - Jobs vs Yr (BAU)'!T73</f>
        <v>16232.727673799998</v>
      </c>
      <c r="U178" s="19">
        <f>'Output - Jobs vs Yr (BAU)'!U73</f>
        <v>16020.593317799998</v>
      </c>
      <c r="V178" s="19">
        <f>'Output - Jobs vs Yr (BAU)'!V73</f>
        <v>16175.2523958</v>
      </c>
      <c r="W178" s="19">
        <f>'Output - Jobs vs Yr (BAU)'!W73</f>
        <v>16060.174948799999</v>
      </c>
      <c r="X178" s="183">
        <f>'Output - Jobs vs Yr (BAU)'!X73</f>
        <v>16193.028421799998</v>
      </c>
      <c r="Y178" s="207">
        <f>'Output - Jobs vs Yr (BAU)'!Y73</f>
        <v>16213.352347799999</v>
      </c>
      <c r="Z178" s="207">
        <f>'Output - Jobs vs Yr (BAU)'!Z73</f>
        <v>16510.808899799998</v>
      </c>
      <c r="AA178" s="207">
        <f>'Output - Jobs vs Yr (BAU)'!AA73</f>
        <v>16707.165634799996</v>
      </c>
      <c r="AB178" s="207">
        <f>'Output - Jobs vs Yr (BAU)'!AB73</f>
        <v>16753.941235800001</v>
      </c>
      <c r="AC178" s="207">
        <f>'Output - Jobs vs Yr (BAU)'!AC73</f>
        <v>16988.503591799999</v>
      </c>
      <c r="AD178" s="207">
        <f>'Output - Jobs vs Yr (BAU)'!AD73</f>
        <v>17049.842020800003</v>
      </c>
      <c r="AE178" s="207">
        <f>'Output - Jobs vs Yr (BAU)'!AE73</f>
        <v>17172.061984799999</v>
      </c>
      <c r="AF178" s="207">
        <f>'Output - Jobs vs Yr (BAU)'!AF73</f>
        <v>17187.264901799997</v>
      </c>
      <c r="AG178" s="207">
        <f>'Output - Jobs vs Yr (BAU)'!AG73</f>
        <v>17316.170938799998</v>
      </c>
      <c r="AH178" s="183">
        <f>'Output - Jobs vs Yr (BAU)'!AH73</f>
        <v>17533.720846799999</v>
      </c>
      <c r="AI178" s="80" t="s">
        <v>0</v>
      </c>
    </row>
    <row r="179" spans="1:35">
      <c r="A179" s="75" t="s">
        <v>304</v>
      </c>
      <c r="C179" s="335">
        <f>SUM(C118,C145)</f>
        <v>32059.049620099999</v>
      </c>
      <c r="D179" s="335">
        <f t="shared" ref="D179:AH179" si="95">SUM(D118,D145)+D249+D252</f>
        <v>33177.510013893007</v>
      </c>
      <c r="E179" s="335">
        <f t="shared" si="95"/>
        <v>34462.864528994411</v>
      </c>
      <c r="F179" s="335">
        <f t="shared" si="95"/>
        <v>34397.714317342718</v>
      </c>
      <c r="G179" s="335">
        <f t="shared" si="95"/>
        <v>35394.535795173826</v>
      </c>
      <c r="H179" s="407">
        <f>SUM(H118,H145)+H249+H252</f>
        <v>34286.87829909999</v>
      </c>
      <c r="I179" s="14">
        <f t="shared" si="95"/>
        <v>34512.026975581</v>
      </c>
      <c r="J179" s="14">
        <f t="shared" si="95"/>
        <v>33649.083937009389</v>
      </c>
      <c r="K179" s="14">
        <f t="shared" si="95"/>
        <v>33441.844933004526</v>
      </c>
      <c r="L179" s="14">
        <f t="shared" si="95"/>
        <v>34427.703934375022</v>
      </c>
      <c r="M179" s="14">
        <f t="shared" si="95"/>
        <v>34632.418774796344</v>
      </c>
      <c r="N179" s="188">
        <f t="shared" si="95"/>
        <v>34848.88046670366</v>
      </c>
      <c r="O179" s="14">
        <f t="shared" si="95"/>
        <v>34872.462177071589</v>
      </c>
      <c r="P179" s="14">
        <f t="shared" si="95"/>
        <v>34759.467826614651</v>
      </c>
      <c r="Q179" s="14">
        <f t="shared" si="95"/>
        <v>34977.148123526218</v>
      </c>
      <c r="R179" s="14">
        <f t="shared" si="95"/>
        <v>35471.550806423649</v>
      </c>
      <c r="S179" s="14">
        <f t="shared" si="95"/>
        <v>35649.121069430359</v>
      </c>
      <c r="T179" s="14">
        <f t="shared" si="95"/>
        <v>35633.280421080475</v>
      </c>
      <c r="U179" s="14">
        <f t="shared" si="95"/>
        <v>35139.897711811274</v>
      </c>
      <c r="V179" s="14">
        <f t="shared" si="95"/>
        <v>35662.473947687991</v>
      </c>
      <c r="W179" s="14">
        <f t="shared" si="95"/>
        <v>35427.160501400824</v>
      </c>
      <c r="X179" s="188">
        <f t="shared" si="95"/>
        <v>35876.851331077152</v>
      </c>
      <c r="Y179" s="159">
        <f t="shared" si="95"/>
        <v>35928.222903628135</v>
      </c>
      <c r="Z179" s="159">
        <f t="shared" si="95"/>
        <v>36770.100876303637</v>
      </c>
      <c r="AA179" s="159">
        <f t="shared" si="95"/>
        <v>37331.866278885929</v>
      </c>
      <c r="AB179" s="159">
        <f t="shared" si="95"/>
        <v>37483.290865242452</v>
      </c>
      <c r="AC179" s="159">
        <f t="shared" si="95"/>
        <v>38160.154636910542</v>
      </c>
      <c r="AD179" s="159">
        <f t="shared" si="95"/>
        <v>38341.682315409038</v>
      </c>
      <c r="AE179" s="159">
        <f t="shared" si="95"/>
        <v>38725.395455917875</v>
      </c>
      <c r="AF179" s="159">
        <f t="shared" si="95"/>
        <v>38802.955919330037</v>
      </c>
      <c r="AG179" s="159">
        <f t="shared" si="95"/>
        <v>39201.801191466446</v>
      </c>
      <c r="AH179" s="188">
        <f t="shared" si="95"/>
        <v>39508.071258407159</v>
      </c>
    </row>
    <row r="180" spans="1:35">
      <c r="A180" s="76" t="s">
        <v>308</v>
      </c>
      <c r="C180" s="335">
        <f>C118</f>
        <v>16873.184011999998</v>
      </c>
      <c r="D180" s="335">
        <f t="shared" ref="D180:AH180" si="96">D118+D250+D253</f>
        <v>17461.84737735302</v>
      </c>
      <c r="E180" s="335">
        <f t="shared" si="96"/>
        <v>18138.349753930794</v>
      </c>
      <c r="F180" s="335">
        <f t="shared" si="96"/>
        <v>18104.060169026707</v>
      </c>
      <c r="G180" s="335">
        <f t="shared" si="96"/>
        <v>18628.70305237377</v>
      </c>
      <c r="H180" s="407">
        <f t="shared" si="96"/>
        <v>18045.725421999996</v>
      </c>
      <c r="I180" s="14">
        <f t="shared" si="96"/>
        <v>18164.224725565477</v>
      </c>
      <c r="J180" s="14">
        <f t="shared" si="96"/>
        <v>17710.044179062967</v>
      </c>
      <c r="K180" s="14">
        <f t="shared" si="96"/>
        <v>17600.971019211211</v>
      </c>
      <c r="L180" s="14">
        <f t="shared" si="96"/>
        <v>18119.844178067655</v>
      </c>
      <c r="M180" s="14">
        <f t="shared" si="96"/>
        <v>18227.588831133267</v>
      </c>
      <c r="N180" s="188">
        <f t="shared" si="96"/>
        <v>18341.51603763493</v>
      </c>
      <c r="O180" s="14">
        <f t="shared" si="96"/>
        <v>18353.927464242348</v>
      </c>
      <c r="P180" s="14">
        <f t="shared" si="96"/>
        <v>18294.456753566174</v>
      </c>
      <c r="Q180" s="14">
        <f t="shared" si="96"/>
        <v>18409.025331007993</v>
      </c>
      <c r="R180" s="14">
        <f t="shared" si="96"/>
        <v>18669.237269522964</v>
      </c>
      <c r="S180" s="14">
        <f t="shared" si="96"/>
        <v>18762.695302811426</v>
      </c>
      <c r="T180" s="14">
        <f t="shared" si="96"/>
        <v>18754.358119583267</v>
      </c>
      <c r="U180" s="14">
        <f t="shared" si="96"/>
        <v>18494.683009515247</v>
      </c>
      <c r="V180" s="14">
        <f t="shared" si="96"/>
        <v>18769.723133833715</v>
      </c>
      <c r="W180" s="14">
        <f t="shared" si="96"/>
        <v>18645.873951681715</v>
      </c>
      <c r="X180" s="188">
        <f t="shared" si="96"/>
        <v>18882.553335899862</v>
      </c>
      <c r="Y180" s="159">
        <f t="shared" si="96"/>
        <v>18909.591005764665</v>
      </c>
      <c r="Z180" s="159">
        <f t="shared" si="96"/>
        <v>19352.684675788591</v>
      </c>
      <c r="AA180" s="159">
        <f t="shared" si="96"/>
        <v>19648.350677318307</v>
      </c>
      <c r="AB180" s="159">
        <f t="shared" si="96"/>
        <v>19728.047828161714</v>
      </c>
      <c r="AC180" s="159">
        <f t="shared" si="96"/>
        <v>20084.291918708099</v>
      </c>
      <c r="AD180" s="159">
        <f t="shared" si="96"/>
        <v>20179.83280226967</v>
      </c>
      <c r="AE180" s="159">
        <f t="shared" si="96"/>
        <v>20381.787086918357</v>
      </c>
      <c r="AF180" s="159">
        <f t="shared" si="96"/>
        <v>20422.608383587416</v>
      </c>
      <c r="AG180" s="159">
        <f t="shared" si="96"/>
        <v>20632.526948051491</v>
      </c>
      <c r="AH180" s="188">
        <f t="shared" si="96"/>
        <v>20793.721720300415</v>
      </c>
    </row>
    <row r="181" spans="1:35">
      <c r="A181" s="76" t="s">
        <v>309</v>
      </c>
      <c r="C181" s="335">
        <f>C145</f>
        <v>15185.865608100001</v>
      </c>
      <c r="D181" s="335">
        <f t="shared" ref="D181:AH181" si="97">D145+D251+D254</f>
        <v>15715.662636539986</v>
      </c>
      <c r="E181" s="335">
        <f t="shared" si="97"/>
        <v>16324.514775063615</v>
      </c>
      <c r="F181" s="335">
        <f t="shared" si="97"/>
        <v>16293.654148316013</v>
      </c>
      <c r="G181" s="335">
        <f t="shared" si="97"/>
        <v>16765.832742800059</v>
      </c>
      <c r="H181" s="407">
        <f>H145+H251+H254</f>
        <v>16241.152877099998</v>
      </c>
      <c r="I181" s="14">
        <f t="shared" si="97"/>
        <v>16347.802250015524</v>
      </c>
      <c r="J181" s="14">
        <f t="shared" si="97"/>
        <v>15939.039757946419</v>
      </c>
      <c r="K181" s="14">
        <f t="shared" si="97"/>
        <v>15840.873913793312</v>
      </c>
      <c r="L181" s="14">
        <f t="shared" si="97"/>
        <v>16307.859756307369</v>
      </c>
      <c r="M181" s="14">
        <f t="shared" si="97"/>
        <v>16404.829943663077</v>
      </c>
      <c r="N181" s="188">
        <f t="shared" si="97"/>
        <v>16507.36442906873</v>
      </c>
      <c r="O181" s="14">
        <f t="shared" si="97"/>
        <v>16518.534712829238</v>
      </c>
      <c r="P181" s="14">
        <f t="shared" si="97"/>
        <v>16465.011073048481</v>
      </c>
      <c r="Q181" s="14">
        <f t="shared" si="97"/>
        <v>16568.122792518221</v>
      </c>
      <c r="R181" s="14">
        <f t="shared" si="97"/>
        <v>16802.313536900685</v>
      </c>
      <c r="S181" s="14">
        <f t="shared" si="97"/>
        <v>16886.425766618933</v>
      </c>
      <c r="T181" s="14">
        <f t="shared" si="97"/>
        <v>16878.922301497209</v>
      </c>
      <c r="U181" s="14">
        <f t="shared" si="97"/>
        <v>16645.214702296027</v>
      </c>
      <c r="V181" s="14">
        <f t="shared" si="97"/>
        <v>16892.75081385428</v>
      </c>
      <c r="W181" s="14">
        <f t="shared" si="97"/>
        <v>16781.286549719112</v>
      </c>
      <c r="X181" s="188">
        <f t="shared" si="97"/>
        <v>16994.29799517729</v>
      </c>
      <c r="Y181" s="159">
        <f t="shared" si="97"/>
        <v>17018.63189786347</v>
      </c>
      <c r="Z181" s="159">
        <f t="shared" si="97"/>
        <v>17417.416200515043</v>
      </c>
      <c r="AA181" s="159">
        <f t="shared" si="97"/>
        <v>17683.515601567622</v>
      </c>
      <c r="AB181" s="159">
        <f t="shared" si="97"/>
        <v>17755.243037080741</v>
      </c>
      <c r="AC181" s="159">
        <f t="shared" si="97"/>
        <v>18075.862718202443</v>
      </c>
      <c r="AD181" s="159">
        <f t="shared" si="97"/>
        <v>18161.849513139368</v>
      </c>
      <c r="AE181" s="159">
        <f t="shared" si="97"/>
        <v>18343.608368999518</v>
      </c>
      <c r="AF181" s="159">
        <f t="shared" si="97"/>
        <v>18380.347535742618</v>
      </c>
      <c r="AG181" s="159">
        <f t="shared" si="97"/>
        <v>18569.274243414955</v>
      </c>
      <c r="AH181" s="188">
        <f t="shared" si="97"/>
        <v>18714.349538106748</v>
      </c>
      <c r="AI181" s="31" t="s">
        <v>0</v>
      </c>
    </row>
    <row r="182" spans="1:35" s="1" customFormat="1">
      <c r="A182" s="75" t="s">
        <v>310</v>
      </c>
      <c r="B182" s="13"/>
      <c r="C182" s="345" t="s">
        <v>0</v>
      </c>
      <c r="D182" s="345">
        <f t="shared" ref="D182:AH182" si="98">D179-D176</f>
        <v>847.06249109300916</v>
      </c>
      <c r="E182" s="345">
        <f t="shared" si="98"/>
        <v>223.17515919441939</v>
      </c>
      <c r="F182" s="345">
        <f t="shared" si="98"/>
        <v>501.19403654271446</v>
      </c>
      <c r="G182" s="345">
        <f t="shared" si="98"/>
        <v>455.41865337382478</v>
      </c>
      <c r="H182" s="410">
        <f>H179-H176</f>
        <v>-208.2358987000116</v>
      </c>
      <c r="I182" s="15">
        <f t="shared" si="98"/>
        <v>-26.072537218999059</v>
      </c>
      <c r="J182" s="15">
        <f t="shared" si="98"/>
        <v>-159.91803079060628</v>
      </c>
      <c r="K182" s="15">
        <f t="shared" si="98"/>
        <v>-119.60696579546493</v>
      </c>
      <c r="L182" s="15">
        <f t="shared" si="98"/>
        <v>281.89310857502278</v>
      </c>
      <c r="M182" s="15">
        <f t="shared" si="98"/>
        <v>557.69758899635053</v>
      </c>
      <c r="N182" s="191">
        <f t="shared" si="98"/>
        <v>881.55818690366141</v>
      </c>
      <c r="O182" s="15">
        <f t="shared" si="98"/>
        <v>919.24855627158831</v>
      </c>
      <c r="P182" s="15">
        <f t="shared" si="98"/>
        <v>912.76729381464975</v>
      </c>
      <c r="Q182" s="15">
        <f t="shared" si="98"/>
        <v>999.31105372622551</v>
      </c>
      <c r="R182" s="15">
        <f t="shared" si="98"/>
        <v>1164.5581736236491</v>
      </c>
      <c r="S182" s="15">
        <f t="shared" si="98"/>
        <v>1305.3012876303546</v>
      </c>
      <c r="T182" s="15">
        <f t="shared" si="98"/>
        <v>1364.1886652804751</v>
      </c>
      <c r="U182" s="15">
        <f t="shared" si="98"/>
        <v>1318.6451520112751</v>
      </c>
      <c r="V182" s="15">
        <f t="shared" si="98"/>
        <v>1514.7188898879904</v>
      </c>
      <c r="W182" s="15">
        <f t="shared" si="98"/>
        <v>1522.3467206008208</v>
      </c>
      <c r="X182" s="191">
        <f t="shared" si="98"/>
        <v>1691.5691072771515</v>
      </c>
      <c r="Y182" s="131">
        <f t="shared" si="98"/>
        <v>1700.0346138281384</v>
      </c>
      <c r="Z182" s="131">
        <f t="shared" si="98"/>
        <v>1913.9487545036391</v>
      </c>
      <c r="AA182" s="131">
        <f t="shared" si="98"/>
        <v>2061.1832720859311</v>
      </c>
      <c r="AB182" s="131">
        <f t="shared" si="98"/>
        <v>2113.8593674424483</v>
      </c>
      <c r="AC182" s="131">
        <f t="shared" si="98"/>
        <v>2295.5359431105389</v>
      </c>
      <c r="AD182" s="131">
        <f t="shared" si="98"/>
        <v>2347.5713826090359</v>
      </c>
      <c r="AE182" s="131">
        <f t="shared" si="98"/>
        <v>2473.2645991178797</v>
      </c>
      <c r="AF182" s="131">
        <f t="shared" si="98"/>
        <v>2518.73001553004</v>
      </c>
      <c r="AG182" s="131">
        <f t="shared" si="98"/>
        <v>2645.4403206664501</v>
      </c>
      <c r="AH182" s="191">
        <f t="shared" si="98"/>
        <v>2492.4383596071566</v>
      </c>
    </row>
    <row r="183" spans="1:35" s="20" customFormat="1">
      <c r="A183" s="20" t="s">
        <v>311</v>
      </c>
      <c r="B183" s="33"/>
      <c r="C183" s="338" t="s">
        <v>0</v>
      </c>
      <c r="D183" s="338">
        <f t="shared" ref="D183:AH183" si="99">D180-D177</f>
        <v>445.82236535302218</v>
      </c>
      <c r="E183" s="338">
        <f t="shared" si="99"/>
        <v>117.46061193079731</v>
      </c>
      <c r="F183" s="338">
        <f t="shared" si="99"/>
        <v>263.78633702670777</v>
      </c>
      <c r="G183" s="338">
        <f t="shared" si="99"/>
        <v>239.69403037377197</v>
      </c>
      <c r="H183" s="409">
        <f>H180-H177</f>
        <v>-109.59784000000582</v>
      </c>
      <c r="I183" s="19">
        <f t="shared" si="99"/>
        <v>-13.722386434525106</v>
      </c>
      <c r="J183" s="19">
        <f t="shared" si="99"/>
        <v>-84.167382937030197</v>
      </c>
      <c r="K183" s="19">
        <f t="shared" si="99"/>
        <v>-62.951032788787415</v>
      </c>
      <c r="L183" s="19">
        <f t="shared" si="99"/>
        <v>148.36479606765715</v>
      </c>
      <c r="M183" s="19">
        <f t="shared" si="99"/>
        <v>293.52504913326993</v>
      </c>
      <c r="N183" s="183">
        <f t="shared" si="99"/>
        <v>463.97799563493027</v>
      </c>
      <c r="O183" s="19">
        <f t="shared" si="99"/>
        <v>483.81503224234984</v>
      </c>
      <c r="P183" s="19">
        <f t="shared" si="99"/>
        <v>480.40384156617074</v>
      </c>
      <c r="Q183" s="19">
        <f t="shared" si="99"/>
        <v>525.95318900799612</v>
      </c>
      <c r="R183" s="19">
        <f t="shared" si="99"/>
        <v>612.92535752296317</v>
      </c>
      <c r="S183" s="19">
        <f t="shared" si="99"/>
        <v>687.00068081142308</v>
      </c>
      <c r="T183" s="19">
        <f t="shared" si="99"/>
        <v>717.99403758326662</v>
      </c>
      <c r="U183" s="19">
        <f t="shared" si="99"/>
        <v>694.02376751524571</v>
      </c>
      <c r="V183" s="19">
        <f t="shared" si="99"/>
        <v>797.22047183371615</v>
      </c>
      <c r="W183" s="19">
        <f t="shared" si="99"/>
        <v>801.23511968171442</v>
      </c>
      <c r="X183" s="183">
        <f t="shared" si="99"/>
        <v>890.29953389985894</v>
      </c>
      <c r="Y183" s="207">
        <f t="shared" si="99"/>
        <v>894.75506376466728</v>
      </c>
      <c r="Z183" s="207">
        <f t="shared" si="99"/>
        <v>1007.341453788591</v>
      </c>
      <c r="AA183" s="207">
        <f t="shared" si="99"/>
        <v>1084.8333053183051</v>
      </c>
      <c r="AB183" s="207">
        <f t="shared" si="99"/>
        <v>1112.5575661617149</v>
      </c>
      <c r="AC183" s="207">
        <f t="shared" si="99"/>
        <v>1208.1768167080991</v>
      </c>
      <c r="AD183" s="207">
        <f t="shared" si="99"/>
        <v>1235.5638902696701</v>
      </c>
      <c r="AE183" s="207">
        <f t="shared" si="99"/>
        <v>1301.7182149183573</v>
      </c>
      <c r="AF183" s="207">
        <f t="shared" si="99"/>
        <v>1325.647381587416</v>
      </c>
      <c r="AG183" s="207">
        <f t="shared" si="99"/>
        <v>1392.3370160514896</v>
      </c>
      <c r="AH183" s="183">
        <f t="shared" si="99"/>
        <v>1311.8096683004151</v>
      </c>
    </row>
    <row r="184" spans="1:35" s="20" customFormat="1">
      <c r="A184" s="20" t="s">
        <v>312</v>
      </c>
      <c r="B184" s="33"/>
      <c r="C184" s="338" t="s">
        <v>0</v>
      </c>
      <c r="D184" s="338">
        <f t="shared" ref="D184:AH184" si="100">D181-D178</f>
        <v>401.24012573998698</v>
      </c>
      <c r="E184" s="338">
        <f t="shared" si="100"/>
        <v>105.71454726361662</v>
      </c>
      <c r="F184" s="338">
        <f t="shared" si="100"/>
        <v>237.40769951600851</v>
      </c>
      <c r="G184" s="338">
        <f t="shared" si="100"/>
        <v>215.72462300006009</v>
      </c>
      <c r="H184" s="409">
        <f t="shared" si="100"/>
        <v>-98.638058700002148</v>
      </c>
      <c r="I184" s="19">
        <f t="shared" si="100"/>
        <v>-12.350150784473954</v>
      </c>
      <c r="J184" s="19">
        <f t="shared" si="100"/>
        <v>-75.750647853579721</v>
      </c>
      <c r="K184" s="19">
        <f t="shared" si="100"/>
        <v>-56.655933006684791</v>
      </c>
      <c r="L184" s="19">
        <f t="shared" si="100"/>
        <v>133.52831250737108</v>
      </c>
      <c r="M184" s="19">
        <f t="shared" si="100"/>
        <v>264.17253986307696</v>
      </c>
      <c r="N184" s="183">
        <f t="shared" si="100"/>
        <v>417.58019126873296</v>
      </c>
      <c r="O184" s="19">
        <f t="shared" si="100"/>
        <v>435.43352402923847</v>
      </c>
      <c r="P184" s="19">
        <f t="shared" si="100"/>
        <v>432.36345224848264</v>
      </c>
      <c r="Q184" s="19">
        <f t="shared" si="100"/>
        <v>473.35786471822212</v>
      </c>
      <c r="R184" s="19">
        <f t="shared" si="100"/>
        <v>551.63281610068589</v>
      </c>
      <c r="S184" s="19">
        <f t="shared" si="100"/>
        <v>618.30060681893156</v>
      </c>
      <c r="T184" s="19">
        <f t="shared" si="100"/>
        <v>646.19462769721031</v>
      </c>
      <c r="U184" s="19">
        <f t="shared" si="100"/>
        <v>624.62138449602935</v>
      </c>
      <c r="V184" s="19">
        <f t="shared" si="100"/>
        <v>717.49841805427968</v>
      </c>
      <c r="W184" s="19">
        <f t="shared" si="100"/>
        <v>721.1116009191137</v>
      </c>
      <c r="X184" s="183">
        <f t="shared" si="100"/>
        <v>801.26957337729255</v>
      </c>
      <c r="Y184" s="207">
        <f t="shared" si="100"/>
        <v>805.27955006347111</v>
      </c>
      <c r="Z184" s="207">
        <f t="shared" si="100"/>
        <v>906.6073007150444</v>
      </c>
      <c r="AA184" s="207">
        <f t="shared" si="100"/>
        <v>976.34996676762603</v>
      </c>
      <c r="AB184" s="207">
        <f t="shared" si="100"/>
        <v>1001.3018012807406</v>
      </c>
      <c r="AC184" s="207">
        <f t="shared" si="100"/>
        <v>1087.3591264024435</v>
      </c>
      <c r="AD184" s="207">
        <f t="shared" si="100"/>
        <v>1112.0074923393659</v>
      </c>
      <c r="AE184" s="207">
        <f t="shared" si="100"/>
        <v>1171.5463841995188</v>
      </c>
      <c r="AF184" s="207">
        <f t="shared" si="100"/>
        <v>1193.0826339426203</v>
      </c>
      <c r="AG184" s="207">
        <f t="shared" si="100"/>
        <v>1253.1033046149569</v>
      </c>
      <c r="AH184" s="183">
        <f t="shared" si="100"/>
        <v>1180.6286913067488</v>
      </c>
    </row>
    <row r="185" spans="1:35" s="1" customFormat="1">
      <c r="A185" s="1" t="s">
        <v>456</v>
      </c>
      <c r="B185" s="13"/>
      <c r="C185" s="345"/>
      <c r="D185" s="345">
        <f>D182</f>
        <v>847.06249109300916</v>
      </c>
      <c r="E185" s="345">
        <f>D185+E182</f>
        <v>1070.2376502874286</v>
      </c>
      <c r="F185" s="345">
        <f t="shared" ref="E185:N187" si="101">E185+F182</f>
        <v>1571.431686830143</v>
      </c>
      <c r="G185" s="345">
        <f t="shared" si="101"/>
        <v>2026.8503402039678</v>
      </c>
      <c r="H185" s="410">
        <f>H182</f>
        <v>-208.2358987000116</v>
      </c>
      <c r="I185" s="15">
        <f t="shared" si="101"/>
        <v>-234.30843591901066</v>
      </c>
      <c r="J185" s="15">
        <f t="shared" si="101"/>
        <v>-394.22646670961694</v>
      </c>
      <c r="K185" s="15">
        <f t="shared" si="101"/>
        <v>-513.83343250508187</v>
      </c>
      <c r="L185" s="15">
        <f t="shared" si="101"/>
        <v>-231.94032393005909</v>
      </c>
      <c r="M185" s="15">
        <f t="shared" si="101"/>
        <v>325.75726506629144</v>
      </c>
      <c r="N185" s="15">
        <f t="shared" si="101"/>
        <v>1207.3154519699528</v>
      </c>
      <c r="O185" s="15">
        <f t="shared" ref="O185:X185" si="102">N185+O182</f>
        <v>2126.5640082415412</v>
      </c>
      <c r="P185" s="15">
        <f t="shared" si="102"/>
        <v>3039.3313020561909</v>
      </c>
      <c r="Q185" s="15">
        <f t="shared" si="102"/>
        <v>4038.6423557824164</v>
      </c>
      <c r="R185" s="15">
        <f t="shared" si="102"/>
        <v>5203.2005294060655</v>
      </c>
      <c r="S185" s="131">
        <f t="shared" si="102"/>
        <v>6508.5018170364201</v>
      </c>
      <c r="T185" s="15">
        <f t="shared" si="102"/>
        <v>7872.6904823168952</v>
      </c>
      <c r="U185" s="15">
        <f t="shared" si="102"/>
        <v>9191.3356343281703</v>
      </c>
      <c r="V185" s="15">
        <f t="shared" si="102"/>
        <v>10706.054524216161</v>
      </c>
      <c r="W185" s="15">
        <f t="shared" si="102"/>
        <v>12228.401244816981</v>
      </c>
      <c r="X185" s="191">
        <f t="shared" si="102"/>
        <v>13919.970352094133</v>
      </c>
      <c r="Y185" s="131">
        <f t="shared" ref="Y185:AH185" si="103">X185+Y182</f>
        <v>15620.004965922271</v>
      </c>
      <c r="Z185" s="131">
        <f t="shared" si="103"/>
        <v>17533.95372042591</v>
      </c>
      <c r="AA185" s="131">
        <f t="shared" si="103"/>
        <v>19595.136992511842</v>
      </c>
      <c r="AB185" s="131">
        <f t="shared" si="103"/>
        <v>21708.99635995429</v>
      </c>
      <c r="AC185" s="131">
        <f t="shared" si="103"/>
        <v>24004.532303064829</v>
      </c>
      <c r="AD185" s="131">
        <f t="shared" si="103"/>
        <v>26352.103685673865</v>
      </c>
      <c r="AE185" s="131">
        <f t="shared" si="103"/>
        <v>28825.368284791744</v>
      </c>
      <c r="AF185" s="131">
        <f t="shared" si="103"/>
        <v>31344.098300321784</v>
      </c>
      <c r="AG185" s="131">
        <f t="shared" si="103"/>
        <v>33989.538620988234</v>
      </c>
      <c r="AH185" s="191">
        <f t="shared" si="103"/>
        <v>36481.976980595391</v>
      </c>
    </row>
    <row r="186" spans="1:35" s="20" customFormat="1">
      <c r="A186" s="20" t="s">
        <v>457</v>
      </c>
      <c r="B186" s="33"/>
      <c r="C186" s="338"/>
      <c r="D186" s="338">
        <f>D183</f>
        <v>445.82236535302218</v>
      </c>
      <c r="E186" s="338">
        <f t="shared" si="101"/>
        <v>563.28297728381949</v>
      </c>
      <c r="F186" s="338">
        <f t="shared" si="101"/>
        <v>827.06931431052726</v>
      </c>
      <c r="G186" s="338">
        <f t="shared" si="101"/>
        <v>1066.7633446842992</v>
      </c>
      <c r="H186" s="409">
        <f t="shared" si="101"/>
        <v>957.16550468429341</v>
      </c>
      <c r="I186" s="19">
        <f t="shared" ref="I186:X186" si="104">H186+I183</f>
        <v>943.4431182497683</v>
      </c>
      <c r="J186" s="19">
        <f t="shared" si="104"/>
        <v>859.27573531273811</v>
      </c>
      <c r="K186" s="19">
        <f t="shared" si="104"/>
        <v>796.32470252395069</v>
      </c>
      <c r="L186" s="19">
        <f t="shared" si="104"/>
        <v>944.68949859160784</v>
      </c>
      <c r="M186" s="19">
        <f t="shared" si="104"/>
        <v>1238.2145477248778</v>
      </c>
      <c r="N186" s="183">
        <f t="shared" si="104"/>
        <v>1702.192543359808</v>
      </c>
      <c r="O186" s="19">
        <f t="shared" si="104"/>
        <v>2186.0075756021579</v>
      </c>
      <c r="P186" s="19">
        <f t="shared" si="104"/>
        <v>2666.4114171683286</v>
      </c>
      <c r="Q186" s="19">
        <f t="shared" si="104"/>
        <v>3192.3646061763247</v>
      </c>
      <c r="R186" s="19">
        <f t="shared" si="104"/>
        <v>3805.2899636992879</v>
      </c>
      <c r="S186" s="207">
        <f t="shared" si="104"/>
        <v>4492.290644510711</v>
      </c>
      <c r="T186" s="19">
        <f t="shared" si="104"/>
        <v>5210.2846820939776</v>
      </c>
      <c r="U186" s="19">
        <f t="shared" si="104"/>
        <v>5904.3084496092233</v>
      </c>
      <c r="V186" s="19">
        <f t="shared" si="104"/>
        <v>6701.5289214429395</v>
      </c>
      <c r="W186" s="19">
        <f t="shared" si="104"/>
        <v>7502.7640411246539</v>
      </c>
      <c r="X186" s="183">
        <f t="shared" si="104"/>
        <v>8393.0635750245128</v>
      </c>
      <c r="Y186" s="207">
        <f t="shared" ref="Y186:AH186" si="105">X186+Y183</f>
        <v>9287.8186387891801</v>
      </c>
      <c r="Z186" s="207">
        <f t="shared" si="105"/>
        <v>10295.160092577771</v>
      </c>
      <c r="AA186" s="207">
        <f t="shared" si="105"/>
        <v>11379.993397896076</v>
      </c>
      <c r="AB186" s="207">
        <f t="shared" si="105"/>
        <v>12492.550964057791</v>
      </c>
      <c r="AC186" s="207">
        <f t="shared" si="105"/>
        <v>13700.72778076589</v>
      </c>
      <c r="AD186" s="207">
        <f t="shared" si="105"/>
        <v>14936.29167103556</v>
      </c>
      <c r="AE186" s="207">
        <f t="shared" si="105"/>
        <v>16238.009885953918</v>
      </c>
      <c r="AF186" s="207">
        <f t="shared" si="105"/>
        <v>17563.657267541334</v>
      </c>
      <c r="AG186" s="207">
        <f t="shared" si="105"/>
        <v>18955.994283592823</v>
      </c>
      <c r="AH186" s="183">
        <f t="shared" si="105"/>
        <v>20267.803951893238</v>
      </c>
    </row>
    <row r="187" spans="1:35" s="20" customFormat="1">
      <c r="A187" s="20" t="s">
        <v>458</v>
      </c>
      <c r="B187" s="33"/>
      <c r="C187" s="338"/>
      <c r="D187" s="338">
        <f>D184</f>
        <v>401.24012573998698</v>
      </c>
      <c r="E187" s="338">
        <f t="shared" si="101"/>
        <v>506.9546730036036</v>
      </c>
      <c r="F187" s="338">
        <f t="shared" si="101"/>
        <v>744.36237251961211</v>
      </c>
      <c r="G187" s="338">
        <f t="shared" si="101"/>
        <v>960.0869955196722</v>
      </c>
      <c r="H187" s="409">
        <f t="shared" si="101"/>
        <v>861.44893681967005</v>
      </c>
      <c r="I187" s="19">
        <f t="shared" ref="I187:X187" si="106">H187+I184</f>
        <v>849.0987860351961</v>
      </c>
      <c r="J187" s="19">
        <f t="shared" si="106"/>
        <v>773.34813818161638</v>
      </c>
      <c r="K187" s="19">
        <f t="shared" si="106"/>
        <v>716.69220517493159</v>
      </c>
      <c r="L187" s="19">
        <f t="shared" si="106"/>
        <v>850.22051768230267</v>
      </c>
      <c r="M187" s="19">
        <f t="shared" si="106"/>
        <v>1114.3930575453796</v>
      </c>
      <c r="N187" s="183">
        <f t="shared" si="106"/>
        <v>1531.9732488141126</v>
      </c>
      <c r="O187" s="19">
        <f t="shared" si="106"/>
        <v>1967.4067728433511</v>
      </c>
      <c r="P187" s="19">
        <f t="shared" si="106"/>
        <v>2399.7702250918337</v>
      </c>
      <c r="Q187" s="19">
        <f t="shared" si="106"/>
        <v>2873.1280898100558</v>
      </c>
      <c r="R187" s="19">
        <f t="shared" si="106"/>
        <v>3424.7609059107417</v>
      </c>
      <c r="S187" s="207">
        <f t="shared" si="106"/>
        <v>4043.0615127296733</v>
      </c>
      <c r="T187" s="19">
        <f t="shared" si="106"/>
        <v>4689.2561404268836</v>
      </c>
      <c r="U187" s="19">
        <f t="shared" si="106"/>
        <v>5313.8775249229129</v>
      </c>
      <c r="V187" s="19">
        <f t="shared" si="106"/>
        <v>6031.3759429771926</v>
      </c>
      <c r="W187" s="19">
        <f t="shared" si="106"/>
        <v>6752.4875438963063</v>
      </c>
      <c r="X187" s="183">
        <f t="shared" si="106"/>
        <v>7553.7571172735989</v>
      </c>
      <c r="Y187" s="207">
        <f t="shared" ref="Y187:AH187" si="107">X187+Y184</f>
        <v>8359.03666733707</v>
      </c>
      <c r="Z187" s="207">
        <f t="shared" si="107"/>
        <v>9265.6439680521144</v>
      </c>
      <c r="AA187" s="207">
        <f t="shared" si="107"/>
        <v>10241.99393481974</v>
      </c>
      <c r="AB187" s="207">
        <f t="shared" si="107"/>
        <v>11243.295736100481</v>
      </c>
      <c r="AC187" s="207">
        <f t="shared" si="107"/>
        <v>12330.654862502925</v>
      </c>
      <c r="AD187" s="207">
        <f t="shared" si="107"/>
        <v>13442.66235484229</v>
      </c>
      <c r="AE187" s="207">
        <f t="shared" si="107"/>
        <v>14614.208739041809</v>
      </c>
      <c r="AF187" s="207">
        <f t="shared" si="107"/>
        <v>15807.291372984429</v>
      </c>
      <c r="AG187" s="207">
        <f t="shared" si="107"/>
        <v>17060.394677599386</v>
      </c>
      <c r="AH187" s="183">
        <f t="shared" si="107"/>
        <v>18241.023368906135</v>
      </c>
    </row>
    <row r="188" spans="1:35" s="292" customFormat="1">
      <c r="A188" s="292" t="s">
        <v>556</v>
      </c>
      <c r="B188" s="293"/>
      <c r="C188" s="345"/>
      <c r="D188"/>
      <c r="E188"/>
      <c r="F188"/>
      <c r="G188"/>
      <c r="H188"/>
      <c r="I188"/>
      <c r="J188"/>
      <c r="K188"/>
      <c r="L188"/>
      <c r="M188"/>
      <c r="N188"/>
      <c r="O188"/>
      <c r="P188"/>
      <c r="Q188"/>
      <c r="R188"/>
      <c r="S188"/>
      <c r="T188"/>
      <c r="U188"/>
      <c r="V188"/>
      <c r="W188"/>
      <c r="X188"/>
      <c r="Y188" s="294"/>
      <c r="Z188" s="294"/>
      <c r="AA188" s="294"/>
      <c r="AB188" s="294"/>
      <c r="AC188" s="294"/>
      <c r="AD188" s="294"/>
      <c r="AE188" s="294"/>
      <c r="AF188" s="294"/>
      <c r="AG188" s="294"/>
      <c r="AH188" s="376"/>
    </row>
    <row r="189" spans="1:35" s="1" customFormat="1">
      <c r="B189" s="13"/>
      <c r="C189" s="345"/>
      <c r="D189" s="345"/>
      <c r="E189" s="345"/>
      <c r="F189" s="345"/>
      <c r="G189" s="345"/>
      <c r="H189" s="410"/>
      <c r="I189" s="15" t="s">
        <v>0</v>
      </c>
      <c r="J189" s="15" t="s">
        <v>0</v>
      </c>
      <c r="K189" s="15" t="s">
        <v>0</v>
      </c>
      <c r="L189" s="15" t="s">
        <v>0</v>
      </c>
      <c r="M189" s="15" t="s">
        <v>0</v>
      </c>
      <c r="N189" s="15" t="s">
        <v>0</v>
      </c>
      <c r="O189" s="131"/>
      <c r="P189" s="131"/>
      <c r="Q189" s="131"/>
      <c r="R189" s="131"/>
      <c r="S189" s="159"/>
      <c r="T189" s="131"/>
      <c r="U189" s="15"/>
      <c r="V189" s="15"/>
      <c r="W189" s="15"/>
      <c r="X189" s="191"/>
      <c r="Y189"/>
      <c r="Z189"/>
      <c r="AA189"/>
      <c r="AB189"/>
      <c r="AC189"/>
      <c r="AD189"/>
      <c r="AE189"/>
      <c r="AF189"/>
      <c r="AG189"/>
      <c r="AH189" s="281"/>
    </row>
    <row r="190" spans="1:35" s="1" customFormat="1">
      <c r="A190" s="1" t="s">
        <v>418</v>
      </c>
      <c r="B190" s="13"/>
      <c r="C190" s="332"/>
      <c r="D190" s="332"/>
      <c r="E190" s="332"/>
      <c r="F190" s="332"/>
      <c r="G190" s="332"/>
      <c r="H190" s="405"/>
      <c r="I190" s="15" t="s">
        <v>0</v>
      </c>
      <c r="J190" s="13"/>
      <c r="K190" s="13"/>
      <c r="L190" s="13"/>
      <c r="M190" s="13"/>
      <c r="N190" s="192"/>
      <c r="O190" s="13"/>
      <c r="P190" s="13"/>
      <c r="Q190" s="13"/>
      <c r="R190" s="13"/>
      <c r="T190" s="13"/>
      <c r="U190" s="13"/>
      <c r="V190" s="13"/>
      <c r="W190" s="13"/>
      <c r="X190" s="177"/>
      <c r="Y190"/>
      <c r="Z190"/>
      <c r="AA190"/>
      <c r="AB190"/>
      <c r="AC190"/>
      <c r="AD190"/>
      <c r="AE190"/>
      <c r="AF190"/>
      <c r="AG190"/>
      <c r="AH190" s="281"/>
    </row>
    <row r="191" spans="1:35">
      <c r="A191" t="s">
        <v>412</v>
      </c>
      <c r="I191" s="112"/>
      <c r="J191" s="112"/>
      <c r="K191" s="112"/>
      <c r="L191" s="112"/>
      <c r="M191" s="132"/>
      <c r="N191" s="193"/>
      <c r="O191" s="132"/>
      <c r="P191" s="112"/>
      <c r="Q191" s="112"/>
      <c r="R191" s="132"/>
      <c r="S191" s="132"/>
      <c r="T191" s="132"/>
      <c r="U191" s="132"/>
      <c r="V191" s="112"/>
      <c r="W191" s="112"/>
    </row>
    <row r="192" spans="1:35">
      <c r="A192" t="s">
        <v>413</v>
      </c>
      <c r="I192" s="112"/>
      <c r="J192" s="112"/>
      <c r="K192" s="112"/>
      <c r="L192" s="112"/>
      <c r="M192" s="132"/>
      <c r="N192" s="193"/>
      <c r="O192" s="132"/>
      <c r="P192" s="112"/>
      <c r="Q192" s="112"/>
      <c r="R192" s="132"/>
      <c r="S192" s="132"/>
      <c r="T192" s="132"/>
      <c r="U192" s="132"/>
      <c r="V192" s="112"/>
      <c r="W192" s="112"/>
    </row>
    <row r="193" spans="1:34">
      <c r="A193" t="s">
        <v>414</v>
      </c>
      <c r="I193" s="112"/>
      <c r="J193" s="112"/>
      <c r="K193" s="112"/>
      <c r="L193" s="112"/>
      <c r="M193" s="132"/>
      <c r="N193" s="193"/>
      <c r="O193" s="132"/>
      <c r="P193" s="112"/>
      <c r="Q193" s="112"/>
      <c r="R193" s="132"/>
      <c r="S193" s="132"/>
      <c r="T193" s="132"/>
      <c r="U193" s="132"/>
      <c r="V193" s="112"/>
      <c r="W193" s="112"/>
    </row>
    <row r="194" spans="1:34">
      <c r="A194" t="s">
        <v>394</v>
      </c>
      <c r="C194" s="335">
        <f>SUM(C195:C196)</f>
        <v>861.56455129999995</v>
      </c>
      <c r="D194" s="335">
        <f t="shared" ref="D194:AH194" si="108">SUM(D195:D196)</f>
        <v>871.21655129999999</v>
      </c>
      <c r="E194" s="335">
        <f t="shared" si="108"/>
        <v>1623.5253702999998</v>
      </c>
      <c r="F194" s="335">
        <f t="shared" si="108"/>
        <v>1949.0621172999997</v>
      </c>
      <c r="G194" s="335">
        <f t="shared" si="108"/>
        <v>2359.7477252999997</v>
      </c>
      <c r="H194" s="407">
        <f t="shared" si="108"/>
        <v>2552.3873953000002</v>
      </c>
      <c r="I194" s="14">
        <f t="shared" si="108"/>
        <v>2711.4636412999998</v>
      </c>
      <c r="J194" s="14">
        <f t="shared" si="108"/>
        <v>2816.8560523000001</v>
      </c>
      <c r="K194" s="14">
        <f t="shared" si="108"/>
        <v>2990.7148113000003</v>
      </c>
      <c r="L194" s="14">
        <f t="shared" si="108"/>
        <v>3008.8317102999999</v>
      </c>
      <c r="M194" s="14">
        <f t="shared" si="108"/>
        <v>3045.1601283</v>
      </c>
      <c r="N194" s="188">
        <f t="shared" si="108"/>
        <v>3077.8681343000003</v>
      </c>
      <c r="O194" s="14">
        <f t="shared" si="108"/>
        <v>3167.4602593</v>
      </c>
      <c r="P194" s="14">
        <f t="shared" si="108"/>
        <v>3295.5619073000003</v>
      </c>
      <c r="Q194" s="14">
        <f t="shared" si="108"/>
        <v>3346.4728633000004</v>
      </c>
      <c r="R194" s="14">
        <f t="shared" si="108"/>
        <v>3390.7577593000001</v>
      </c>
      <c r="S194" s="15">
        <f t="shared" si="108"/>
        <v>3349.6047283000003</v>
      </c>
      <c r="T194" s="14">
        <f t="shared" si="108"/>
        <v>3392.9392443000002</v>
      </c>
      <c r="U194" s="14">
        <f t="shared" si="108"/>
        <v>3441.4765113000003</v>
      </c>
      <c r="V194" s="14">
        <f t="shared" si="108"/>
        <v>3463.1242753000006</v>
      </c>
      <c r="W194" s="14">
        <f t="shared" si="108"/>
        <v>3529.0791653000006</v>
      </c>
      <c r="X194" s="188">
        <f t="shared" si="108"/>
        <v>3588.8557302999998</v>
      </c>
      <c r="Y194" s="159">
        <f t="shared" si="108"/>
        <v>3649.3524903000002</v>
      </c>
      <c r="Z194" s="159">
        <f t="shared" si="108"/>
        <v>3696.5853692999999</v>
      </c>
      <c r="AA194" s="159">
        <f t="shared" si="108"/>
        <v>3755.5700523000005</v>
      </c>
      <c r="AB194" s="159">
        <f t="shared" si="108"/>
        <v>3816.5781593000002</v>
      </c>
      <c r="AC194" s="159">
        <f t="shared" si="108"/>
        <v>3877.9528333000003</v>
      </c>
      <c r="AD194" s="159">
        <f t="shared" si="108"/>
        <v>3968.5760883000003</v>
      </c>
      <c r="AE194" s="159">
        <f t="shared" si="108"/>
        <v>4014.8411833</v>
      </c>
      <c r="AF194" s="159">
        <f t="shared" si="108"/>
        <v>4078.5729783000006</v>
      </c>
      <c r="AG194" s="159">
        <f t="shared" si="108"/>
        <v>4145.3002372999999</v>
      </c>
      <c r="AH194" s="188">
        <f t="shared" si="108"/>
        <v>4491.9371492999999</v>
      </c>
    </row>
    <row r="195" spans="1:34">
      <c r="A195" t="s">
        <v>395</v>
      </c>
      <c r="C195" s="334">
        <f>'Output - Jobs vs Yr (BAU)'!C51</f>
        <v>453.45502700000003</v>
      </c>
      <c r="D195" s="334">
        <f>'Output - Jobs vs Yr (BAU)'!D51</f>
        <v>458.53502699999996</v>
      </c>
      <c r="E195" s="334">
        <f>'Output - Jobs vs Yr (BAU)'!E51</f>
        <v>854.48703699999987</v>
      </c>
      <c r="F195" s="334">
        <f>'Output - Jobs vs Yr (BAU)'!F51</f>
        <v>1025.8221669999998</v>
      </c>
      <c r="G195" s="334">
        <f>'Output - Jobs vs Yr (BAU)'!G51</f>
        <v>1241.972487</v>
      </c>
      <c r="H195" s="287">
        <f>'Output - Jobs vs Yr (BAU)'!H51</f>
        <v>1343.3617870000003</v>
      </c>
      <c r="I195" s="118">
        <f>'Output - Jobs vs Yr (BAU)'!I51</f>
        <v>1427.086127</v>
      </c>
      <c r="J195" s="118">
        <f>'Output - Jobs vs Yr (BAU)'!J51</f>
        <v>1482.5558169999999</v>
      </c>
      <c r="K195" s="118">
        <f>'Output - Jobs vs Yr (BAU)'!K51</f>
        <v>1574.0604270000001</v>
      </c>
      <c r="L195" s="118">
        <f>'Output - Jobs vs Yr (BAU)'!L51</f>
        <v>1583.5956369999999</v>
      </c>
      <c r="M195" s="118">
        <f>'Output - Jobs vs Yr (BAU)'!M51</f>
        <v>1602.7158569999999</v>
      </c>
      <c r="N195" s="178">
        <f>'Output - Jobs vs Yr (BAU)'!N51</f>
        <v>1619.930597</v>
      </c>
      <c r="O195" s="118">
        <f>'Output - Jobs vs Yr (BAU)'!O51</f>
        <v>1667.0843470000002</v>
      </c>
      <c r="P195" s="118">
        <f>'Output - Jobs vs Yr (BAU)'!P51</f>
        <v>1734.5062670000002</v>
      </c>
      <c r="Q195" s="118">
        <f>'Output - Jobs vs Yr (BAU)'!Q51</f>
        <v>1761.3015070000001</v>
      </c>
      <c r="R195" s="118">
        <f>'Output - Jobs vs Yr (BAU)'!R51</f>
        <v>1784.6093470000001</v>
      </c>
      <c r="S195" s="118">
        <f>'Output - Jobs vs Yr (BAU)'!S51</f>
        <v>1762.9498570000001</v>
      </c>
      <c r="T195" s="118">
        <f>'Output - Jobs vs Yr (BAU)'!T51</f>
        <v>1785.7574970000001</v>
      </c>
      <c r="U195" s="118">
        <f>'Output - Jobs vs Yr (BAU)'!U51</f>
        <v>1811.3034270000003</v>
      </c>
      <c r="V195" s="118">
        <f>'Output - Jobs vs Yr (BAU)'!V51</f>
        <v>1822.6969870000003</v>
      </c>
      <c r="W195" s="118">
        <f>'Output - Jobs vs Yr (BAU)'!W51</f>
        <v>1857.4100870000002</v>
      </c>
      <c r="X195" s="185">
        <f>'Output - Jobs vs Yr (BAU)'!X51</f>
        <v>1888.871437</v>
      </c>
      <c r="Y195" s="272">
        <f>'Output - Jobs vs Yr (BAU)'!Y51</f>
        <v>1920.7118370000001</v>
      </c>
      <c r="Z195" s="272">
        <f>'Output - Jobs vs Yr (BAU)'!Z51</f>
        <v>1945.5712469999999</v>
      </c>
      <c r="AA195" s="272">
        <f>'Output - Jobs vs Yr (BAU)'!AA51</f>
        <v>1976.6158170000001</v>
      </c>
      <c r="AB195" s="272">
        <f>'Output - Jobs vs Yr (BAU)'!AB51</f>
        <v>2008.7253470000001</v>
      </c>
      <c r="AC195" s="272">
        <f>'Output - Jobs vs Yr (BAU)'!AC51</f>
        <v>2041.0278069999999</v>
      </c>
      <c r="AD195" s="272">
        <f>'Output - Jobs vs Yr (BAU)'!AD51</f>
        <v>2088.7242570000003</v>
      </c>
      <c r="AE195" s="272">
        <f>'Output - Jobs vs Yr (BAU)'!AE51</f>
        <v>2113.0743069999999</v>
      </c>
      <c r="AF195" s="272">
        <f>'Output - Jobs vs Yr (BAU)'!AF51</f>
        <v>2146.6173570000001</v>
      </c>
      <c r="AG195" s="272">
        <f>'Output - Jobs vs Yr (BAU)'!AG51</f>
        <v>2181.7369669999998</v>
      </c>
      <c r="AH195" s="185">
        <f>'Output - Jobs vs Yr (BAU)'!AH51</f>
        <v>2364.177447</v>
      </c>
    </row>
    <row r="196" spans="1:34">
      <c r="A196" t="s">
        <v>396</v>
      </c>
      <c r="C196" s="334">
        <f>'Output - Jobs vs Yr (BAU)'!C69</f>
        <v>408.10952429999998</v>
      </c>
      <c r="D196" s="334">
        <f>'Output - Jobs vs Yr (BAU)'!D69</f>
        <v>412.68152430000004</v>
      </c>
      <c r="E196" s="334">
        <f>'Output - Jobs vs Yr (BAU)'!E69</f>
        <v>769.03833329999998</v>
      </c>
      <c r="F196" s="334">
        <f>'Output - Jobs vs Yr (BAU)'!F69</f>
        <v>923.23995029999992</v>
      </c>
      <c r="G196" s="334">
        <f>'Output - Jobs vs Yr (BAU)'!G69</f>
        <v>1117.7752383</v>
      </c>
      <c r="H196" s="287">
        <f>'Output - Jobs vs Yr (BAU)'!H69</f>
        <v>1209.0256082999999</v>
      </c>
      <c r="I196" s="118">
        <f>'Output - Jobs vs Yr (BAU)'!I69</f>
        <v>1284.3775143</v>
      </c>
      <c r="J196" s="118">
        <f>'Output - Jobs vs Yr (BAU)'!J69</f>
        <v>1334.3002353000002</v>
      </c>
      <c r="K196" s="118">
        <f>'Output - Jobs vs Yr (BAU)'!K69</f>
        <v>1416.6543842999999</v>
      </c>
      <c r="L196" s="118">
        <f>'Output - Jobs vs Yr (BAU)'!L69</f>
        <v>1425.2360733</v>
      </c>
      <c r="M196" s="118">
        <f>'Output - Jobs vs Yr (BAU)'!M69</f>
        <v>1442.4442712999999</v>
      </c>
      <c r="N196" s="178">
        <f>'Output - Jobs vs Yr (BAU)'!N69</f>
        <v>1457.9375373000003</v>
      </c>
      <c r="O196" s="118">
        <f>'Output - Jobs vs Yr (BAU)'!O69</f>
        <v>1500.3759123</v>
      </c>
      <c r="P196" s="118">
        <f>'Output - Jobs vs Yr (BAU)'!P69</f>
        <v>1561.0556403000001</v>
      </c>
      <c r="Q196" s="118">
        <f>'Output - Jobs vs Yr (BAU)'!Q69</f>
        <v>1585.1713563000003</v>
      </c>
      <c r="R196" s="118">
        <f>'Output - Jobs vs Yr (BAU)'!R69</f>
        <v>1606.1484123</v>
      </c>
      <c r="S196" s="118">
        <f>'Output - Jobs vs Yr (BAU)'!S69</f>
        <v>1586.6548713000002</v>
      </c>
      <c r="T196" s="118">
        <f>'Output - Jobs vs Yr (BAU)'!T69</f>
        <v>1607.1817473000001</v>
      </c>
      <c r="U196" s="118">
        <f>'Output - Jobs vs Yr (BAU)'!U69</f>
        <v>1630.1730843</v>
      </c>
      <c r="V196" s="118">
        <f>'Output - Jobs vs Yr (BAU)'!V69</f>
        <v>1640.4272883000003</v>
      </c>
      <c r="W196" s="118">
        <f>'Output - Jobs vs Yr (BAU)'!W69</f>
        <v>1671.6690783000004</v>
      </c>
      <c r="X196" s="185">
        <f>'Output - Jobs vs Yr (BAU)'!X69</f>
        <v>1699.9842933</v>
      </c>
      <c r="Y196" s="272">
        <f>'Output - Jobs vs Yr (BAU)'!Y69</f>
        <v>1728.6406533000002</v>
      </c>
      <c r="Z196" s="272">
        <f>'Output - Jobs vs Yr (BAU)'!Z69</f>
        <v>1751.0141223000001</v>
      </c>
      <c r="AA196" s="272">
        <f>'Output - Jobs vs Yr (BAU)'!AA69</f>
        <v>1778.9542353000002</v>
      </c>
      <c r="AB196" s="272">
        <f>'Output - Jobs vs Yr (BAU)'!AB69</f>
        <v>1807.8528123000001</v>
      </c>
      <c r="AC196" s="272">
        <f>'Output - Jobs vs Yr (BAU)'!AC69</f>
        <v>1836.9250263000004</v>
      </c>
      <c r="AD196" s="272">
        <f>'Output - Jobs vs Yr (BAU)'!AD69</f>
        <v>1879.8518313000002</v>
      </c>
      <c r="AE196" s="272">
        <f>'Output - Jobs vs Yr (BAU)'!AE69</f>
        <v>1901.7668763000001</v>
      </c>
      <c r="AF196" s="272">
        <f>'Output - Jobs vs Yr (BAU)'!AF69</f>
        <v>1931.9556213000003</v>
      </c>
      <c r="AG196" s="272">
        <f>'Output - Jobs vs Yr (BAU)'!AG69</f>
        <v>1963.5632703000001</v>
      </c>
      <c r="AH196" s="185">
        <f>'Output - Jobs vs Yr (BAU)'!AH69</f>
        <v>2127.7597023000003</v>
      </c>
    </row>
    <row r="197" spans="1:34">
      <c r="A197" t="s">
        <v>397</v>
      </c>
      <c r="C197" s="335">
        <f>SUM(C198:C199)</f>
        <v>19437.284971500001</v>
      </c>
      <c r="D197" s="335">
        <f t="shared" ref="D197:AH197" si="109">SUM(D198:D199)</f>
        <v>18396.9399715</v>
      </c>
      <c r="E197" s="335">
        <f t="shared" si="109"/>
        <v>19333.1855105</v>
      </c>
      <c r="F197" s="335">
        <f t="shared" si="109"/>
        <v>17869.5155705</v>
      </c>
      <c r="G197" s="335">
        <f t="shared" si="109"/>
        <v>18478.1214425</v>
      </c>
      <c r="H197" s="407">
        <f t="shared" si="109"/>
        <v>18646.421637500003</v>
      </c>
      <c r="I197" s="14">
        <f t="shared" si="109"/>
        <v>18095.420934499998</v>
      </c>
      <c r="J197" s="14">
        <f t="shared" si="109"/>
        <v>18366.747052499999</v>
      </c>
      <c r="K197" s="14">
        <f t="shared" si="109"/>
        <v>18455.8671225</v>
      </c>
      <c r="L197" s="14">
        <f t="shared" si="109"/>
        <v>18455.8671225</v>
      </c>
      <c r="M197" s="14">
        <f t="shared" si="109"/>
        <v>18455.8671225</v>
      </c>
      <c r="N197" s="188">
        <f t="shared" si="109"/>
        <v>18455.8671225</v>
      </c>
      <c r="O197" s="14">
        <f t="shared" si="109"/>
        <v>18455.8671225</v>
      </c>
      <c r="P197" s="14">
        <f t="shared" si="109"/>
        <v>18455.865127500001</v>
      </c>
      <c r="Q197" s="14">
        <f t="shared" si="109"/>
        <v>18509.1361875</v>
      </c>
      <c r="R197" s="14">
        <f t="shared" si="109"/>
        <v>18509.1350475</v>
      </c>
      <c r="S197" s="15">
        <f t="shared" si="109"/>
        <v>18509.137327500001</v>
      </c>
      <c r="T197" s="14">
        <f t="shared" si="109"/>
        <v>18509.138467500001</v>
      </c>
      <c r="U197" s="14">
        <f t="shared" si="109"/>
        <v>18509.138467500001</v>
      </c>
      <c r="V197" s="14">
        <f t="shared" si="109"/>
        <v>18509.1361875</v>
      </c>
      <c r="W197" s="14">
        <f t="shared" si="109"/>
        <v>18509.138467500001</v>
      </c>
      <c r="X197" s="188">
        <f t="shared" si="109"/>
        <v>18509.138467500001</v>
      </c>
      <c r="Y197" s="159">
        <f t="shared" si="109"/>
        <v>18509.138467500001</v>
      </c>
      <c r="Z197" s="159">
        <f t="shared" si="109"/>
        <v>18509.138467500001</v>
      </c>
      <c r="AA197" s="159">
        <f t="shared" si="109"/>
        <v>18509.138467500001</v>
      </c>
      <c r="AB197" s="159">
        <f t="shared" si="109"/>
        <v>18509.138467500001</v>
      </c>
      <c r="AC197" s="159">
        <f t="shared" si="109"/>
        <v>18509.138467500001</v>
      </c>
      <c r="AD197" s="159">
        <f t="shared" si="109"/>
        <v>18509.138467500001</v>
      </c>
      <c r="AE197" s="159">
        <f t="shared" si="109"/>
        <v>18509.138467500001</v>
      </c>
      <c r="AF197" s="159">
        <f t="shared" si="109"/>
        <v>18509.138467500001</v>
      </c>
      <c r="AG197" s="159">
        <f t="shared" si="109"/>
        <v>18509.138467500001</v>
      </c>
      <c r="AH197" s="188">
        <f t="shared" si="109"/>
        <v>18509.138467500001</v>
      </c>
    </row>
    <row r="198" spans="1:34">
      <c r="A198" t="s">
        <v>399</v>
      </c>
      <c r="C198" s="334">
        <f>SUM('Output - Jobs vs Yr (BAU)'!C40:C43)</f>
        <v>10230.149985</v>
      </c>
      <c r="D198" s="334">
        <f>SUM('Output - Jobs vs Yr (BAU)'!D40:D43)</f>
        <v>9682.5999850000007</v>
      </c>
      <c r="E198" s="334">
        <f>SUM('Output - Jobs vs Yr (BAU)'!E40:E43)</f>
        <v>10175.360795000001</v>
      </c>
      <c r="F198" s="334">
        <f>SUM('Output - Jobs vs Yr (BAU)'!F40:F43)</f>
        <v>9405.0081950000003</v>
      </c>
      <c r="G198" s="334">
        <f>SUM('Output - Jobs vs Yr (BAU)'!G40:G43)</f>
        <v>9725.3270750000011</v>
      </c>
      <c r="H198" s="287">
        <f>SUM('Output - Jobs vs Yr (BAU)'!H40:H43)</f>
        <v>9813.9061250000013</v>
      </c>
      <c r="I198" s="118">
        <f>SUM('Output - Jobs vs Yr (BAU)'!I40:I43)</f>
        <v>9523.9057549999998</v>
      </c>
      <c r="J198" s="118">
        <f>SUM('Output - Jobs vs Yr (BAU)'!J40:J43)</f>
        <v>9666.7089749999996</v>
      </c>
      <c r="K198" s="118">
        <f>SUM('Output - Jobs vs Yr (BAU)'!K40:K43)</f>
        <v>9713.6142749999999</v>
      </c>
      <c r="L198" s="118">
        <f>SUM('Output - Jobs vs Yr (BAU)'!L40:L43)</f>
        <v>9713.6142749999999</v>
      </c>
      <c r="M198" s="118">
        <f>SUM('Output - Jobs vs Yr (BAU)'!M40:M43)</f>
        <v>9713.6142749999999</v>
      </c>
      <c r="N198" s="178">
        <f>SUM('Output - Jobs vs Yr (BAU)'!N40:N43)</f>
        <v>9713.6142749999999</v>
      </c>
      <c r="O198" s="118">
        <f>SUM('Output - Jobs vs Yr (BAU)'!O40:O43)</f>
        <v>9713.6142749999999</v>
      </c>
      <c r="P198" s="118">
        <f>SUM('Output - Jobs vs Yr (BAU)'!P40:P43)</f>
        <v>9713.613225000001</v>
      </c>
      <c r="Q198" s="118">
        <f>SUM('Output - Jobs vs Yr (BAU)'!Q40:Q43)</f>
        <v>9741.6506250000002</v>
      </c>
      <c r="R198" s="118">
        <f>SUM('Output - Jobs vs Yr (BAU)'!R40:R43)</f>
        <v>9741.6500250000008</v>
      </c>
      <c r="S198" s="118">
        <f>SUM('Output - Jobs vs Yr (BAU)'!S40:S43)</f>
        <v>9741.6512250000014</v>
      </c>
      <c r="T198" s="118">
        <f>SUM('Output - Jobs vs Yr (BAU)'!T40:T43)</f>
        <v>9741.6518250000008</v>
      </c>
      <c r="U198" s="118">
        <f>SUM('Output - Jobs vs Yr (BAU)'!U40:U43)</f>
        <v>9741.6518250000008</v>
      </c>
      <c r="V198" s="118">
        <f>SUM('Output - Jobs vs Yr (BAU)'!V40:V43)</f>
        <v>9741.6506250000002</v>
      </c>
      <c r="W198" s="118">
        <f>SUM('Output - Jobs vs Yr (BAU)'!W40:W43)</f>
        <v>9741.6518250000008</v>
      </c>
      <c r="X198" s="185">
        <f>SUM('Output - Jobs vs Yr (BAU)'!X40:X43)</f>
        <v>9741.6518250000008</v>
      </c>
      <c r="Y198" s="272">
        <f>SUM('Output - Jobs vs Yr (BAU)'!Y40:Y43)</f>
        <v>9741.6518250000008</v>
      </c>
      <c r="Z198" s="272">
        <f>SUM('Output - Jobs vs Yr (BAU)'!Z40:Z43)</f>
        <v>9741.6518250000008</v>
      </c>
      <c r="AA198" s="272">
        <f>SUM('Output - Jobs vs Yr (BAU)'!AA40:AA43)</f>
        <v>9741.6518250000008</v>
      </c>
      <c r="AB198" s="272">
        <f>SUM('Output - Jobs vs Yr (BAU)'!AB40:AB43)</f>
        <v>9741.6518250000008</v>
      </c>
      <c r="AC198" s="272">
        <f>SUM('Output - Jobs vs Yr (BAU)'!AC40:AC43)</f>
        <v>9741.6518250000008</v>
      </c>
      <c r="AD198" s="272">
        <f>SUM('Output - Jobs vs Yr (BAU)'!AD40:AD43)</f>
        <v>9741.6518250000008</v>
      </c>
      <c r="AE198" s="272">
        <f>SUM('Output - Jobs vs Yr (BAU)'!AE40:AE43)</f>
        <v>9741.6518250000008</v>
      </c>
      <c r="AF198" s="272">
        <f>SUM('Output - Jobs vs Yr (BAU)'!AF40:AF43)</f>
        <v>9741.6518250000008</v>
      </c>
      <c r="AG198" s="272">
        <f>SUM('Output - Jobs vs Yr (BAU)'!AG40:AG43)</f>
        <v>9741.6518250000008</v>
      </c>
      <c r="AH198" s="185">
        <f>SUM('Output - Jobs vs Yr (BAU)'!AH40:AH43)</f>
        <v>9741.6518250000008</v>
      </c>
    </row>
    <row r="199" spans="1:34">
      <c r="A199" t="s">
        <v>398</v>
      </c>
      <c r="C199" s="334">
        <f>SUM('Output - Jobs vs Yr (BAU)'!C58:C61)</f>
        <v>9207.1349865000011</v>
      </c>
      <c r="D199" s="334">
        <f>SUM('Output - Jobs vs Yr (BAU)'!D58:D61)</f>
        <v>8714.3399864999992</v>
      </c>
      <c r="E199" s="334">
        <f>SUM('Output - Jobs vs Yr (BAU)'!E58:E61)</f>
        <v>9157.8247155000008</v>
      </c>
      <c r="F199" s="334">
        <f>SUM('Output - Jobs vs Yr (BAU)'!F58:F61)</f>
        <v>8464.5073755000012</v>
      </c>
      <c r="G199" s="334">
        <f>SUM('Output - Jobs vs Yr (BAU)'!G58:G61)</f>
        <v>8752.7943675000006</v>
      </c>
      <c r="H199" s="287">
        <f>SUM('Output - Jobs vs Yr (BAU)'!H58:H61)</f>
        <v>8832.5155125000001</v>
      </c>
      <c r="I199" s="118">
        <f>SUM('Output - Jobs vs Yr (BAU)'!I58:I61)</f>
        <v>8571.5151794999983</v>
      </c>
      <c r="J199" s="118">
        <f>SUM('Output - Jobs vs Yr (BAU)'!J58:J61)</f>
        <v>8700.0380774999994</v>
      </c>
      <c r="K199" s="118">
        <f>SUM('Output - Jobs vs Yr (BAU)'!K58:K61)</f>
        <v>8742.2528474999999</v>
      </c>
      <c r="L199" s="118">
        <f>SUM('Output - Jobs vs Yr (BAU)'!L58:L61)</f>
        <v>8742.2528474999999</v>
      </c>
      <c r="M199" s="118">
        <f>SUM('Output - Jobs vs Yr (BAU)'!M58:M61)</f>
        <v>8742.2528474999999</v>
      </c>
      <c r="N199" s="178">
        <f>SUM('Output - Jobs vs Yr (BAU)'!N58:N61)</f>
        <v>8742.2528474999999</v>
      </c>
      <c r="O199" s="118">
        <f>SUM('Output - Jobs vs Yr (BAU)'!O58:O61)</f>
        <v>8742.2528474999999</v>
      </c>
      <c r="P199" s="118">
        <f>SUM('Output - Jobs vs Yr (BAU)'!P58:P61)</f>
        <v>8742.2519025000001</v>
      </c>
      <c r="Q199" s="118">
        <f>SUM('Output - Jobs vs Yr (BAU)'!Q58:Q61)</f>
        <v>8767.4855625</v>
      </c>
      <c r="R199" s="118">
        <f>SUM('Output - Jobs vs Yr (BAU)'!R58:R61)</f>
        <v>8767.4850225000009</v>
      </c>
      <c r="S199" s="118">
        <f>SUM('Output - Jobs vs Yr (BAU)'!S58:S61)</f>
        <v>8767.4861025000009</v>
      </c>
      <c r="T199" s="118">
        <f>SUM('Output - Jobs vs Yr (BAU)'!T58:T61)</f>
        <v>8767.4866425</v>
      </c>
      <c r="U199" s="118">
        <f>SUM('Output - Jobs vs Yr (BAU)'!U58:U61)</f>
        <v>8767.4866425</v>
      </c>
      <c r="V199" s="118">
        <f>SUM('Output - Jobs vs Yr (BAU)'!V58:V61)</f>
        <v>8767.4855625</v>
      </c>
      <c r="W199" s="118">
        <f>SUM('Output - Jobs vs Yr (BAU)'!W58:W61)</f>
        <v>8767.4866425</v>
      </c>
      <c r="X199" s="185">
        <f>SUM('Output - Jobs vs Yr (BAU)'!X58:X61)</f>
        <v>8767.4866425</v>
      </c>
      <c r="Y199" s="272">
        <f>SUM('Output - Jobs vs Yr (BAU)'!Y58:Y61)</f>
        <v>8767.4866425</v>
      </c>
      <c r="Z199" s="272">
        <f>SUM('Output - Jobs vs Yr (BAU)'!Z58:Z61)</f>
        <v>8767.4866425</v>
      </c>
      <c r="AA199" s="272">
        <f>SUM('Output - Jobs vs Yr (BAU)'!AA58:AA61)</f>
        <v>8767.4866425</v>
      </c>
      <c r="AB199" s="272">
        <f>SUM('Output - Jobs vs Yr (BAU)'!AB58:AB61)</f>
        <v>8767.4866425</v>
      </c>
      <c r="AC199" s="272">
        <f>SUM('Output - Jobs vs Yr (BAU)'!AC58:AC61)</f>
        <v>8767.4866425</v>
      </c>
      <c r="AD199" s="272">
        <f>SUM('Output - Jobs vs Yr (BAU)'!AD58:AD61)</f>
        <v>8767.4866425</v>
      </c>
      <c r="AE199" s="272">
        <f>SUM('Output - Jobs vs Yr (BAU)'!AE58:AE61)</f>
        <v>8767.4866425</v>
      </c>
      <c r="AF199" s="272">
        <f>SUM('Output - Jobs vs Yr (BAU)'!AF58:AF61)</f>
        <v>8767.4866425</v>
      </c>
      <c r="AG199" s="272">
        <f>SUM('Output - Jobs vs Yr (BAU)'!AG58:AG61)</f>
        <v>8767.4866425</v>
      </c>
      <c r="AH199" s="185">
        <f>SUM('Output - Jobs vs Yr (BAU)'!AH58:AH61)</f>
        <v>8767.4866425</v>
      </c>
    </row>
    <row r="200" spans="1:34">
      <c r="A200" t="s">
        <v>400</v>
      </c>
      <c r="C200" s="335">
        <f>SUM(C201:C202)</f>
        <v>11398.651000000002</v>
      </c>
      <c r="D200" s="335">
        <f t="shared" ref="D200:AH200" si="110">SUM(D201:D202)</f>
        <v>13062.291000000001</v>
      </c>
      <c r="E200" s="335">
        <f t="shared" si="110"/>
        <v>13282.978488999999</v>
      </c>
      <c r="F200" s="335">
        <f t="shared" si="110"/>
        <v>14077.942593000002</v>
      </c>
      <c r="G200" s="335">
        <f t="shared" si="110"/>
        <v>14101.247974000002</v>
      </c>
      <c r="H200" s="407">
        <f t="shared" si="110"/>
        <v>13296.305164999998</v>
      </c>
      <c r="I200" s="14">
        <f t="shared" si="110"/>
        <v>13731.214937000002</v>
      </c>
      <c r="J200" s="14">
        <f t="shared" si="110"/>
        <v>12625.398863</v>
      </c>
      <c r="K200" s="14">
        <f t="shared" si="110"/>
        <v>12114.869965</v>
      </c>
      <c r="L200" s="14">
        <f t="shared" si="110"/>
        <v>12681.111993</v>
      </c>
      <c r="M200" s="14">
        <f t="shared" si="110"/>
        <v>12573.693934999999</v>
      </c>
      <c r="N200" s="188">
        <f t="shared" si="110"/>
        <v>12433.587023</v>
      </c>
      <c r="O200" s="14">
        <f t="shared" si="110"/>
        <v>12329.886238999999</v>
      </c>
      <c r="P200" s="14">
        <f t="shared" si="110"/>
        <v>12095.273497999999</v>
      </c>
      <c r="Q200" s="14">
        <f t="shared" si="110"/>
        <v>12122.228019</v>
      </c>
      <c r="R200" s="14">
        <f t="shared" si="110"/>
        <v>12407.099825999998</v>
      </c>
      <c r="S200" s="15">
        <f t="shared" si="110"/>
        <v>12485.077726000001</v>
      </c>
      <c r="T200" s="14">
        <f t="shared" si="110"/>
        <v>12367.014044000001</v>
      </c>
      <c r="U200" s="14">
        <f t="shared" si="110"/>
        <v>11870.637580999999</v>
      </c>
      <c r="V200" s="14">
        <f t="shared" si="110"/>
        <v>12175.494595</v>
      </c>
      <c r="W200" s="14">
        <f t="shared" si="110"/>
        <v>11866.596148000001</v>
      </c>
      <c r="X200" s="188">
        <f t="shared" si="110"/>
        <v>12087.288025999998</v>
      </c>
      <c r="Y200" s="159">
        <f t="shared" si="110"/>
        <v>12069.697332</v>
      </c>
      <c r="Z200" s="159">
        <f t="shared" si="110"/>
        <v>12650.428285000002</v>
      </c>
      <c r="AA200" s="159">
        <f t="shared" si="110"/>
        <v>13005.974486999999</v>
      </c>
      <c r="AB200" s="159">
        <f t="shared" si="110"/>
        <v>13043.714871</v>
      </c>
      <c r="AC200" s="159">
        <f t="shared" si="110"/>
        <v>13477.527393</v>
      </c>
      <c r="AD200" s="159">
        <f t="shared" si="110"/>
        <v>13516.396377000001</v>
      </c>
      <c r="AE200" s="159">
        <f t="shared" si="110"/>
        <v>13728.151206</v>
      </c>
      <c r="AF200" s="159">
        <f t="shared" si="110"/>
        <v>13696.514458</v>
      </c>
      <c r="AG200" s="159">
        <f t="shared" si="110"/>
        <v>13901.922166</v>
      </c>
      <c r="AH200" s="188">
        <f t="shared" si="110"/>
        <v>14014.557282</v>
      </c>
    </row>
    <row r="201" spans="1:34">
      <c r="A201" t="s">
        <v>401</v>
      </c>
      <c r="C201" s="334">
        <f>SUM('Output - Jobs vs Yr (BAU)'!C53:C54)</f>
        <v>5999.29</v>
      </c>
      <c r="D201" s="334">
        <f>SUM('Output - Jobs vs Yr (BAU)'!D53:D54)</f>
        <v>6874.89</v>
      </c>
      <c r="E201" s="334">
        <f>SUM('Output - Jobs vs Yr (BAU)'!E53:E54)</f>
        <v>6991.0413099999996</v>
      </c>
      <c r="F201" s="334">
        <f>SUM('Output - Jobs vs Yr (BAU)'!F53:F54)</f>
        <v>7409.4434700000011</v>
      </c>
      <c r="G201" s="334">
        <f>SUM('Output - Jobs vs Yr (BAU)'!G53:G54)</f>
        <v>7421.70946</v>
      </c>
      <c r="H201" s="287">
        <f>SUM('Output - Jobs vs Yr (BAU)'!H53:H54)</f>
        <v>6998.0553499999987</v>
      </c>
      <c r="I201" s="118">
        <f>SUM('Output - Jobs vs Yr (BAU)'!I53:I54)</f>
        <v>7226.9552300000014</v>
      </c>
      <c r="J201" s="118">
        <f>SUM('Output - Jobs vs Yr (BAU)'!J53:J54)</f>
        <v>6644.9467700000005</v>
      </c>
      <c r="K201" s="118">
        <f>SUM('Output - Jobs vs Yr (BAU)'!K53:K54)</f>
        <v>6376.2473499999996</v>
      </c>
      <c r="L201" s="118">
        <f>SUM('Output - Jobs vs Yr (BAU)'!L53:L54)</f>
        <v>6674.2694700000002</v>
      </c>
      <c r="M201" s="118">
        <f>SUM('Output - Jobs vs Yr (BAU)'!M53:M54)</f>
        <v>6617.7336500000001</v>
      </c>
      <c r="N201" s="178">
        <f>SUM('Output - Jobs vs Yr (BAU)'!N53:N54)</f>
        <v>6543.9931699999997</v>
      </c>
      <c r="O201" s="118">
        <f>SUM('Output - Jobs vs Yr (BAU)'!O53:O54)</f>
        <v>6489.41381</v>
      </c>
      <c r="P201" s="118">
        <f>SUM('Output - Jobs vs Yr (BAU)'!P53:P54)</f>
        <v>6365.9334199999994</v>
      </c>
      <c r="Q201" s="118">
        <f>SUM('Output - Jobs vs Yr (BAU)'!Q53:Q54)</f>
        <v>6380.1200100000005</v>
      </c>
      <c r="R201" s="118">
        <f>SUM('Output - Jobs vs Yr (BAU)'!R53:R54)</f>
        <v>6530.0525399999988</v>
      </c>
      <c r="S201" s="118">
        <f>SUM('Output - Jobs vs Yr (BAU)'!S53:S54)</f>
        <v>6571.0935400000008</v>
      </c>
      <c r="T201" s="118">
        <f>SUM('Output - Jobs vs Yr (BAU)'!T53:T54)</f>
        <v>6508.9547600000005</v>
      </c>
      <c r="U201" s="118">
        <f>SUM('Output - Jobs vs Yr (BAU)'!U53:U54)</f>
        <v>6247.70399</v>
      </c>
      <c r="V201" s="118">
        <f>SUM('Output - Jobs vs Yr (BAU)'!V53:V54)</f>
        <v>6408.1550499999994</v>
      </c>
      <c r="W201" s="118">
        <f>SUM('Output - Jobs vs Yr (BAU)'!W53:W54)</f>
        <v>6245.5769199999995</v>
      </c>
      <c r="X201" s="185">
        <f>SUM('Output - Jobs vs Yr (BAU)'!X53:X54)</f>
        <v>6361.7305399999996</v>
      </c>
      <c r="Y201" s="272">
        <f>SUM('Output - Jobs vs Yr (BAU)'!Y53:Y54)</f>
        <v>6352.47228</v>
      </c>
      <c r="Z201" s="272">
        <f>SUM('Output - Jobs vs Yr (BAU)'!Z53:Z54)</f>
        <v>6658.1201500000006</v>
      </c>
      <c r="AA201" s="272">
        <f>SUM('Output - Jobs vs Yr (BAU)'!AA53:AA54)</f>
        <v>6845.2497299999995</v>
      </c>
      <c r="AB201" s="272">
        <f>SUM('Output - Jobs vs Yr (BAU)'!AB53:AB54)</f>
        <v>6865.1130899999998</v>
      </c>
      <c r="AC201" s="272">
        <f>SUM('Output - Jobs vs Yr (BAU)'!AC53:AC54)</f>
        <v>7093.4354700000004</v>
      </c>
      <c r="AD201" s="272">
        <f>SUM('Output - Jobs vs Yr (BAU)'!AD53:AD54)</f>
        <v>7113.8928299999998</v>
      </c>
      <c r="AE201" s="272">
        <f>SUM('Output - Jobs vs Yr (BAU)'!AE53:AE54)</f>
        <v>7225.34274</v>
      </c>
      <c r="AF201" s="272">
        <f>SUM('Output - Jobs vs Yr (BAU)'!AF53:AF54)</f>
        <v>7208.69182</v>
      </c>
      <c r="AG201" s="272">
        <f>SUM('Output - Jobs vs Yr (BAU)'!AG53:AG54)</f>
        <v>7316.8011399999996</v>
      </c>
      <c r="AH201" s="185">
        <f>SUM('Output - Jobs vs Yr (BAU)'!AH53:AH54)</f>
        <v>7376.0827799999997</v>
      </c>
    </row>
    <row r="202" spans="1:34">
      <c r="A202" t="s">
        <v>402</v>
      </c>
      <c r="C202" s="334">
        <f>SUM('Output - Jobs vs Yr (BAU)'!C71:C72)</f>
        <v>5399.3610000000008</v>
      </c>
      <c r="D202" s="334">
        <f>SUM('Output - Jobs vs Yr (BAU)'!D71:D72)</f>
        <v>6187.4009999999998</v>
      </c>
      <c r="E202" s="334">
        <f>SUM('Output - Jobs vs Yr (BAU)'!E71:E72)</f>
        <v>6291.9371789999996</v>
      </c>
      <c r="F202" s="334">
        <f>SUM('Output - Jobs vs Yr (BAU)'!F71:F72)</f>
        <v>6668.4991230000005</v>
      </c>
      <c r="G202" s="334">
        <f>SUM('Output - Jobs vs Yr (BAU)'!G71:G72)</f>
        <v>6679.5385140000008</v>
      </c>
      <c r="H202" s="287">
        <f>SUM('Output - Jobs vs Yr (BAU)'!H71:H72)</f>
        <v>6298.2498149999992</v>
      </c>
      <c r="I202" s="118">
        <f>SUM('Output - Jobs vs Yr (BAU)'!I71:I72)</f>
        <v>6504.2597070000011</v>
      </c>
      <c r="J202" s="118">
        <f>SUM('Output - Jobs vs Yr (BAU)'!J71:J72)</f>
        <v>5980.4520929999999</v>
      </c>
      <c r="K202" s="118">
        <f>SUM('Output - Jobs vs Yr (BAU)'!K71:K72)</f>
        <v>5738.6226150000002</v>
      </c>
      <c r="L202" s="118">
        <f>SUM('Output - Jobs vs Yr (BAU)'!L71:L72)</f>
        <v>6006.8425230000003</v>
      </c>
      <c r="M202" s="118">
        <f>SUM('Output - Jobs vs Yr (BAU)'!M71:M72)</f>
        <v>5955.9602850000001</v>
      </c>
      <c r="N202" s="178">
        <f>SUM('Output - Jobs vs Yr (BAU)'!N71:N72)</f>
        <v>5889.5938529999994</v>
      </c>
      <c r="O202" s="118">
        <f>SUM('Output - Jobs vs Yr (BAU)'!O71:O72)</f>
        <v>5840.4724290000004</v>
      </c>
      <c r="P202" s="118">
        <f>SUM('Output - Jobs vs Yr (BAU)'!P71:P72)</f>
        <v>5729.3400779999993</v>
      </c>
      <c r="Q202" s="118">
        <f>SUM('Output - Jobs vs Yr (BAU)'!Q71:Q72)</f>
        <v>5742.1080089999996</v>
      </c>
      <c r="R202" s="118">
        <f>SUM('Output - Jobs vs Yr (BAU)'!R71:R72)</f>
        <v>5877.0472859999991</v>
      </c>
      <c r="S202" s="118">
        <f>SUM('Output - Jobs vs Yr (BAU)'!S71:S72)</f>
        <v>5913.9841860000006</v>
      </c>
      <c r="T202" s="118">
        <f>SUM('Output - Jobs vs Yr (BAU)'!T71:T72)</f>
        <v>5858.0592840000008</v>
      </c>
      <c r="U202" s="118">
        <f>SUM('Output - Jobs vs Yr (BAU)'!U71:U72)</f>
        <v>5622.933591</v>
      </c>
      <c r="V202" s="118">
        <f>SUM('Output - Jobs vs Yr (BAU)'!V71:V72)</f>
        <v>5767.3395449999998</v>
      </c>
      <c r="W202" s="118">
        <f>SUM('Output - Jobs vs Yr (BAU)'!W71:W72)</f>
        <v>5621.0192280000001</v>
      </c>
      <c r="X202" s="185">
        <f>SUM('Output - Jobs vs Yr (BAU)'!X71:X72)</f>
        <v>5725.5574859999997</v>
      </c>
      <c r="Y202" s="272">
        <f>SUM('Output - Jobs vs Yr (BAU)'!Y71:Y72)</f>
        <v>5717.2250519999998</v>
      </c>
      <c r="Z202" s="272">
        <f>SUM('Output - Jobs vs Yr (BAU)'!Z71:Z72)</f>
        <v>5992.3081350000002</v>
      </c>
      <c r="AA202" s="272">
        <f>SUM('Output - Jobs vs Yr (BAU)'!AA71:AA72)</f>
        <v>6160.724757</v>
      </c>
      <c r="AB202" s="272">
        <f>SUM('Output - Jobs vs Yr (BAU)'!AB71:AB72)</f>
        <v>6178.6017810000003</v>
      </c>
      <c r="AC202" s="272">
        <f>SUM('Output - Jobs vs Yr (BAU)'!AC71:AC72)</f>
        <v>6384.091923</v>
      </c>
      <c r="AD202" s="272">
        <f>SUM('Output - Jobs vs Yr (BAU)'!AD71:AD72)</f>
        <v>6402.5035470000003</v>
      </c>
      <c r="AE202" s="272">
        <f>SUM('Output - Jobs vs Yr (BAU)'!AE71:AE72)</f>
        <v>6502.8084660000004</v>
      </c>
      <c r="AF202" s="272">
        <f>SUM('Output - Jobs vs Yr (BAU)'!AF71:AF72)</f>
        <v>6487.8226379999996</v>
      </c>
      <c r="AG202" s="272">
        <f>SUM('Output - Jobs vs Yr (BAU)'!AG71:AG72)</f>
        <v>6585.1210259999998</v>
      </c>
      <c r="AH202" s="185">
        <f>SUM('Output - Jobs vs Yr (BAU)'!AH71:AH72)</f>
        <v>6638.474502</v>
      </c>
    </row>
    <row r="203" spans="1:34">
      <c r="A203" s="1" t="s">
        <v>431</v>
      </c>
      <c r="C203" s="335">
        <f>SUM(C191,C194,C197,C200)</f>
        <v>31697.500522800005</v>
      </c>
      <c r="D203" s="335">
        <f t="shared" ref="D203:AH203" si="111">SUM(D191,D194,D197,D200)</f>
        <v>32330.447522800001</v>
      </c>
      <c r="E203" s="335">
        <f t="shared" si="111"/>
        <v>34239.689369799999</v>
      </c>
      <c r="F203" s="335">
        <f t="shared" si="111"/>
        <v>33896.520280800003</v>
      </c>
      <c r="G203" s="335">
        <f t="shared" si="111"/>
        <v>34939.117141800001</v>
      </c>
      <c r="H203" s="407">
        <f t="shared" si="111"/>
        <v>34495.114197800001</v>
      </c>
      <c r="I203" s="14">
        <f t="shared" si="111"/>
        <v>34538.0995128</v>
      </c>
      <c r="J203" s="14">
        <f t="shared" si="111"/>
        <v>33809.001967800003</v>
      </c>
      <c r="K203" s="14">
        <f t="shared" si="111"/>
        <v>33561.451898799998</v>
      </c>
      <c r="L203" s="14">
        <f t="shared" si="111"/>
        <v>34145.810825799999</v>
      </c>
      <c r="M203" s="133">
        <f t="shared" si="111"/>
        <v>34074.721185799994</v>
      </c>
      <c r="N203" s="194">
        <f t="shared" si="111"/>
        <v>33967.322279799999</v>
      </c>
      <c r="O203" s="14">
        <f t="shared" si="111"/>
        <v>33953.213620800001</v>
      </c>
      <c r="P203" s="14">
        <f t="shared" si="111"/>
        <v>33846.700532800001</v>
      </c>
      <c r="Q203" s="14">
        <f t="shared" si="111"/>
        <v>33977.8370698</v>
      </c>
      <c r="R203" s="14">
        <f t="shared" si="111"/>
        <v>34306.9926328</v>
      </c>
      <c r="S203" s="14">
        <f t="shared" si="111"/>
        <v>34343.819781800004</v>
      </c>
      <c r="T203" s="14">
        <f t="shared" si="111"/>
        <v>34269.0917558</v>
      </c>
      <c r="U203" s="14">
        <f t="shared" si="111"/>
        <v>33821.252559799999</v>
      </c>
      <c r="V203" s="14">
        <f t="shared" si="111"/>
        <v>34147.755057800001</v>
      </c>
      <c r="W203" s="14">
        <f t="shared" si="111"/>
        <v>33904.813780800003</v>
      </c>
      <c r="X203" s="188">
        <f t="shared" si="111"/>
        <v>34185.282223799994</v>
      </c>
      <c r="Y203" s="159">
        <f t="shared" si="111"/>
        <v>34228.188289800004</v>
      </c>
      <c r="Z203" s="159">
        <f t="shared" si="111"/>
        <v>34856.152121799998</v>
      </c>
      <c r="AA203" s="159">
        <f t="shared" si="111"/>
        <v>35270.683006799998</v>
      </c>
      <c r="AB203" s="159">
        <f t="shared" si="111"/>
        <v>35369.431497800004</v>
      </c>
      <c r="AC203" s="159">
        <f t="shared" si="111"/>
        <v>35864.618693800003</v>
      </c>
      <c r="AD203" s="159">
        <f t="shared" si="111"/>
        <v>35994.110932800002</v>
      </c>
      <c r="AE203" s="159">
        <f t="shared" si="111"/>
        <v>36252.130856800002</v>
      </c>
      <c r="AF203" s="159">
        <f t="shared" si="111"/>
        <v>36284.225903799997</v>
      </c>
      <c r="AG203" s="159">
        <f t="shared" si="111"/>
        <v>36556.360870799996</v>
      </c>
      <c r="AH203" s="188">
        <f t="shared" si="111"/>
        <v>37015.632898800002</v>
      </c>
    </row>
    <row r="204" spans="1:34">
      <c r="A204" s="1" t="s">
        <v>454</v>
      </c>
      <c r="C204" s="335"/>
      <c r="D204" s="335">
        <f>D194+D197</f>
        <v>19268.1565228</v>
      </c>
      <c r="E204" s="335">
        <f t="shared" ref="E204:AH204" si="112">E194+E197</f>
        <v>20956.710880799998</v>
      </c>
      <c r="F204" s="335">
        <f t="shared" si="112"/>
        <v>19818.5776878</v>
      </c>
      <c r="G204" s="335">
        <f t="shared" si="112"/>
        <v>20837.8691678</v>
      </c>
      <c r="H204" s="407">
        <f t="shared" si="112"/>
        <v>21198.809032800003</v>
      </c>
      <c r="I204" s="14">
        <f t="shared" si="112"/>
        <v>20806.884575799999</v>
      </c>
      <c r="J204" s="14">
        <f t="shared" si="112"/>
        <v>21183.6031048</v>
      </c>
      <c r="K204" s="14">
        <f t="shared" si="112"/>
        <v>21446.5819338</v>
      </c>
      <c r="L204" s="14">
        <f t="shared" si="112"/>
        <v>21464.698832800001</v>
      </c>
      <c r="M204" s="14">
        <f t="shared" si="112"/>
        <v>21501.027250799998</v>
      </c>
      <c r="N204" s="188">
        <f t="shared" si="112"/>
        <v>21533.735256799999</v>
      </c>
      <c r="O204" s="14">
        <f t="shared" si="112"/>
        <v>21623.327381800002</v>
      </c>
      <c r="P204" s="14">
        <f t="shared" si="112"/>
        <v>21751.427034800003</v>
      </c>
      <c r="Q204" s="14">
        <f t="shared" si="112"/>
        <v>21855.609050800002</v>
      </c>
      <c r="R204" s="14">
        <f t="shared" si="112"/>
        <v>21899.892806799999</v>
      </c>
      <c r="S204" s="14">
        <f t="shared" si="112"/>
        <v>21858.742055800001</v>
      </c>
      <c r="T204" s="14">
        <f t="shared" si="112"/>
        <v>21902.077711800001</v>
      </c>
      <c r="U204" s="14">
        <f t="shared" si="112"/>
        <v>21950.6149788</v>
      </c>
      <c r="V204" s="14">
        <f t="shared" si="112"/>
        <v>21972.260462800001</v>
      </c>
      <c r="W204" s="14">
        <f t="shared" si="112"/>
        <v>22038.217632800002</v>
      </c>
      <c r="X204" s="188">
        <f t="shared" si="112"/>
        <v>22097.994197799999</v>
      </c>
      <c r="Y204" s="159">
        <f t="shared" si="112"/>
        <v>22158.490957800001</v>
      </c>
      <c r="Z204" s="159">
        <f t="shared" si="112"/>
        <v>22205.7238368</v>
      </c>
      <c r="AA204" s="159">
        <f t="shared" si="112"/>
        <v>22264.708519800002</v>
      </c>
      <c r="AB204" s="159">
        <f t="shared" si="112"/>
        <v>22325.7166268</v>
      </c>
      <c r="AC204" s="159">
        <f t="shared" si="112"/>
        <v>22387.091300800003</v>
      </c>
      <c r="AD204" s="159">
        <f t="shared" si="112"/>
        <v>22477.714555800001</v>
      </c>
      <c r="AE204" s="159">
        <f t="shared" si="112"/>
        <v>22523.9796508</v>
      </c>
      <c r="AF204" s="159">
        <f t="shared" si="112"/>
        <v>22587.7114458</v>
      </c>
      <c r="AG204" s="159">
        <f t="shared" si="112"/>
        <v>22654.438704799999</v>
      </c>
      <c r="AH204" s="188">
        <f t="shared" si="112"/>
        <v>23001.075616800001</v>
      </c>
    </row>
    <row r="205" spans="1:34">
      <c r="A205" s="1"/>
      <c r="C205" s="335"/>
      <c r="D205" s="335"/>
      <c r="E205" s="335"/>
      <c r="F205" s="335"/>
      <c r="G205" s="335"/>
      <c r="H205" s="407"/>
      <c r="I205" s="14"/>
      <c r="J205" s="14"/>
      <c r="K205" s="14"/>
      <c r="L205" s="14"/>
      <c r="M205" s="14"/>
      <c r="N205" s="188"/>
      <c r="O205" s="14"/>
      <c r="P205" s="14"/>
      <c r="Q205" s="14"/>
      <c r="R205" s="14"/>
      <c r="S205" s="14"/>
      <c r="T205" s="14"/>
      <c r="U205" s="14"/>
      <c r="V205" s="14"/>
      <c r="W205" s="14"/>
      <c r="X205" s="188"/>
    </row>
    <row r="206" spans="1:34">
      <c r="A206" s="1" t="s">
        <v>459</v>
      </c>
      <c r="C206" s="335"/>
      <c r="D206" s="335">
        <f>D194</f>
        <v>871.21655129999999</v>
      </c>
      <c r="E206" s="335">
        <f>D206+E194</f>
        <v>2494.7419215999998</v>
      </c>
      <c r="F206" s="335">
        <f>E206+F194</f>
        <v>4443.8040388999998</v>
      </c>
      <c r="G206" s="335">
        <f>F206+G194</f>
        <v>6803.5517641999995</v>
      </c>
      <c r="H206" s="407">
        <f t="shared" ref="H206:X206" si="113">G206+H194</f>
        <v>9355.9391594999997</v>
      </c>
      <c r="I206" s="14">
        <f t="shared" si="113"/>
        <v>12067.402800799999</v>
      </c>
      <c r="J206" s="14">
        <f t="shared" si="113"/>
        <v>14884.258853099998</v>
      </c>
      <c r="K206" s="14">
        <f t="shared" si="113"/>
        <v>17874.9736644</v>
      </c>
      <c r="L206" s="14">
        <f t="shared" si="113"/>
        <v>20883.805374700001</v>
      </c>
      <c r="M206" s="14">
        <f t="shared" si="113"/>
        <v>23928.965502999999</v>
      </c>
      <c r="N206" s="188">
        <f t="shared" si="113"/>
        <v>27006.833637299998</v>
      </c>
      <c r="O206" s="14">
        <f t="shared" si="113"/>
        <v>30174.2938966</v>
      </c>
      <c r="P206" s="14">
        <f t="shared" si="113"/>
        <v>33469.855803899998</v>
      </c>
      <c r="Q206" s="14">
        <f t="shared" si="113"/>
        <v>36816.328667199996</v>
      </c>
      <c r="R206" s="14">
        <f t="shared" si="113"/>
        <v>40207.086426499998</v>
      </c>
      <c r="S206" s="14">
        <f t="shared" si="113"/>
        <v>43556.691154799999</v>
      </c>
      <c r="T206" s="14">
        <f t="shared" si="113"/>
        <v>46949.630399100002</v>
      </c>
      <c r="U206" s="14">
        <f t="shared" si="113"/>
        <v>50391.106910400005</v>
      </c>
      <c r="V206" s="14">
        <f t="shared" si="113"/>
        <v>53854.231185700002</v>
      </c>
      <c r="W206" s="14">
        <f t="shared" si="113"/>
        <v>57383.310351</v>
      </c>
      <c r="X206" s="188">
        <f t="shared" si="113"/>
        <v>60972.166081299998</v>
      </c>
      <c r="Y206" s="159">
        <f t="shared" ref="Y206:AH206" si="114">X206+Y194</f>
        <v>64621.518571599998</v>
      </c>
      <c r="Z206" s="159">
        <f t="shared" si="114"/>
        <v>68318.103940899993</v>
      </c>
      <c r="AA206" s="159">
        <f t="shared" si="114"/>
        <v>72073.673993199991</v>
      </c>
      <c r="AB206" s="159">
        <f t="shared" si="114"/>
        <v>75890.25215249999</v>
      </c>
      <c r="AC206" s="159">
        <f t="shared" si="114"/>
        <v>79768.204985799995</v>
      </c>
      <c r="AD206" s="159">
        <f t="shared" si="114"/>
        <v>83736.781074099999</v>
      </c>
      <c r="AE206" s="159">
        <f t="shared" si="114"/>
        <v>87751.622257399998</v>
      </c>
      <c r="AF206" s="159">
        <f t="shared" si="114"/>
        <v>91830.195235699997</v>
      </c>
      <c r="AG206" s="159">
        <f t="shared" si="114"/>
        <v>95975.495473000003</v>
      </c>
      <c r="AH206" s="188">
        <f t="shared" si="114"/>
        <v>100467.4326223</v>
      </c>
    </row>
    <row r="207" spans="1:34">
      <c r="A207" s="1" t="s">
        <v>462</v>
      </c>
      <c r="C207" s="335"/>
      <c r="D207" s="335">
        <f>D200</f>
        <v>13062.291000000001</v>
      </c>
      <c r="E207" s="335">
        <f>D207+E200</f>
        <v>26345.269488999998</v>
      </c>
      <c r="F207" s="335">
        <f>E207+F200</f>
        <v>40423.212081999998</v>
      </c>
      <c r="G207" s="335">
        <f t="shared" ref="G207:X207" si="115">F207+G200</f>
        <v>54524.460055999996</v>
      </c>
      <c r="H207" s="407">
        <f t="shared" si="115"/>
        <v>67820.765220999994</v>
      </c>
      <c r="I207" s="14">
        <f t="shared" si="115"/>
        <v>81551.980157999991</v>
      </c>
      <c r="J207" s="14">
        <f t="shared" si="115"/>
        <v>94177.379020999986</v>
      </c>
      <c r="K207" s="14">
        <f t="shared" si="115"/>
        <v>106292.24898599999</v>
      </c>
      <c r="L207" s="14">
        <f t="shared" si="115"/>
        <v>118973.36097899999</v>
      </c>
      <c r="M207" s="14">
        <f t="shared" si="115"/>
        <v>131547.05491399998</v>
      </c>
      <c r="N207" s="188">
        <f t="shared" si="115"/>
        <v>143980.64193699998</v>
      </c>
      <c r="O207" s="14">
        <f t="shared" si="115"/>
        <v>156310.52817599999</v>
      </c>
      <c r="P207" s="14">
        <f t="shared" si="115"/>
        <v>168405.80167399999</v>
      </c>
      <c r="Q207" s="14">
        <f t="shared" si="115"/>
        <v>180528.02969299999</v>
      </c>
      <c r="R207" s="14">
        <f t="shared" si="115"/>
        <v>192935.12951899998</v>
      </c>
      <c r="S207" s="14">
        <f t="shared" si="115"/>
        <v>205420.20724499997</v>
      </c>
      <c r="T207" s="14">
        <f t="shared" si="115"/>
        <v>217787.22128899998</v>
      </c>
      <c r="U207" s="14">
        <f t="shared" si="115"/>
        <v>229657.85886999997</v>
      </c>
      <c r="V207" s="14">
        <f t="shared" si="115"/>
        <v>241833.35346499996</v>
      </c>
      <c r="W207" s="14">
        <f t="shared" si="115"/>
        <v>253699.94961299998</v>
      </c>
      <c r="X207" s="188">
        <f t="shared" si="115"/>
        <v>265787.237639</v>
      </c>
      <c r="Y207" s="159">
        <f t="shared" ref="Y207:AH207" si="116">X207+Y200</f>
        <v>277856.93497100001</v>
      </c>
      <c r="Z207" s="159">
        <f t="shared" si="116"/>
        <v>290507.36325599998</v>
      </c>
      <c r="AA207" s="159">
        <f t="shared" si="116"/>
        <v>303513.33774300001</v>
      </c>
      <c r="AB207" s="159">
        <f t="shared" si="116"/>
        <v>316557.05261399999</v>
      </c>
      <c r="AC207" s="159">
        <f t="shared" si="116"/>
        <v>330034.58000700001</v>
      </c>
      <c r="AD207" s="159">
        <f t="shared" si="116"/>
        <v>343550.97638400004</v>
      </c>
      <c r="AE207" s="159">
        <f t="shared" si="116"/>
        <v>357279.12759000005</v>
      </c>
      <c r="AF207" s="159">
        <f t="shared" si="116"/>
        <v>370975.64204800007</v>
      </c>
      <c r="AG207" s="159">
        <f t="shared" si="116"/>
        <v>384877.56421400007</v>
      </c>
      <c r="AH207" s="188">
        <f t="shared" si="116"/>
        <v>398892.12149600009</v>
      </c>
    </row>
    <row r="208" spans="1:34">
      <c r="A208" s="1"/>
      <c r="C208" s="335"/>
      <c r="D208" s="335"/>
      <c r="E208" s="335"/>
      <c r="F208" s="335"/>
      <c r="G208" s="335"/>
      <c r="H208" s="407"/>
      <c r="I208" s="14"/>
      <c r="J208" s="14"/>
      <c r="K208" s="14"/>
      <c r="L208" s="14"/>
      <c r="M208" s="14"/>
      <c r="N208" s="188"/>
      <c r="O208" s="14"/>
      <c r="P208" s="14"/>
      <c r="Q208" s="14"/>
      <c r="R208" s="14"/>
      <c r="S208" s="14"/>
      <c r="T208" s="14"/>
      <c r="U208" s="14"/>
      <c r="V208" s="14"/>
      <c r="W208" s="14"/>
      <c r="X208" s="188"/>
    </row>
    <row r="209" spans="1:34">
      <c r="A209" s="1" t="s">
        <v>418</v>
      </c>
      <c r="C209" s="335"/>
      <c r="D209" s="335"/>
      <c r="E209" s="335"/>
      <c r="F209" s="335"/>
      <c r="G209" s="335"/>
      <c r="H209" s="407"/>
      <c r="I209" s="14"/>
      <c r="J209" s="14"/>
      <c r="K209" s="14"/>
      <c r="L209" s="14"/>
      <c r="M209" s="14"/>
      <c r="N209" s="188"/>
      <c r="O209" s="14"/>
      <c r="P209" s="14"/>
      <c r="Q209" s="14"/>
      <c r="R209" s="14"/>
      <c r="S209" s="14"/>
      <c r="T209" s="14"/>
      <c r="U209" s="14"/>
      <c r="V209" s="14"/>
      <c r="W209" s="14"/>
      <c r="X209" s="188"/>
    </row>
    <row r="210" spans="1:34" s="1" customFormat="1">
      <c r="A210" s="1" t="s">
        <v>415</v>
      </c>
      <c r="B210" s="13"/>
      <c r="C210" s="345">
        <f>SUM(C211:C212)</f>
        <v>0</v>
      </c>
      <c r="D210" s="345">
        <f t="shared" ref="D210:AH210" si="117">SUM(D211:D212)</f>
        <v>0</v>
      </c>
      <c r="E210" s="345">
        <f t="shared" si="117"/>
        <v>0</v>
      </c>
      <c r="F210" s="345">
        <f t="shared" si="117"/>
        <v>0</v>
      </c>
      <c r="G210" s="345">
        <f t="shared" si="117"/>
        <v>0</v>
      </c>
      <c r="H210" s="410">
        <f t="shared" si="117"/>
        <v>0</v>
      </c>
      <c r="I210" s="15">
        <f t="shared" si="117"/>
        <v>0</v>
      </c>
      <c r="J210" s="15">
        <f t="shared" si="117"/>
        <v>0</v>
      </c>
      <c r="K210" s="15">
        <f t="shared" si="117"/>
        <v>0</v>
      </c>
      <c r="L210" s="15">
        <f t="shared" si="117"/>
        <v>0</v>
      </c>
      <c r="M210" s="15">
        <f t="shared" si="117"/>
        <v>0</v>
      </c>
      <c r="N210" s="191">
        <f t="shared" si="117"/>
        <v>0</v>
      </c>
      <c r="O210" s="15">
        <f>SUM(O211:O212)</f>
        <v>0</v>
      </c>
      <c r="P210" s="15">
        <f t="shared" si="117"/>
        <v>0</v>
      </c>
      <c r="Q210" s="15">
        <f t="shared" si="117"/>
        <v>0</v>
      </c>
      <c r="R210" s="15">
        <f t="shared" si="117"/>
        <v>0</v>
      </c>
      <c r="S210" s="15">
        <f t="shared" si="117"/>
        <v>0</v>
      </c>
      <c r="T210" s="15">
        <f t="shared" si="117"/>
        <v>0</v>
      </c>
      <c r="U210" s="15">
        <f t="shared" si="117"/>
        <v>0</v>
      </c>
      <c r="V210" s="15">
        <f t="shared" si="117"/>
        <v>0</v>
      </c>
      <c r="W210" s="15">
        <f t="shared" si="117"/>
        <v>0</v>
      </c>
      <c r="X210" s="191">
        <f t="shared" si="117"/>
        <v>0</v>
      </c>
      <c r="Y210" s="131">
        <f t="shared" si="117"/>
        <v>0</v>
      </c>
      <c r="Z210" s="131">
        <f t="shared" si="117"/>
        <v>0</v>
      </c>
      <c r="AA210" s="131">
        <f t="shared" si="117"/>
        <v>0</v>
      </c>
      <c r="AB210" s="131">
        <f t="shared" si="117"/>
        <v>0</v>
      </c>
      <c r="AC210" s="131">
        <f t="shared" si="117"/>
        <v>0</v>
      </c>
      <c r="AD210" s="131">
        <f t="shared" si="117"/>
        <v>0</v>
      </c>
      <c r="AE210" s="131">
        <f t="shared" si="117"/>
        <v>0</v>
      </c>
      <c r="AF210" s="131">
        <f t="shared" si="117"/>
        <v>0</v>
      </c>
      <c r="AG210" s="131">
        <f t="shared" si="117"/>
        <v>0</v>
      </c>
      <c r="AH210" s="191">
        <f t="shared" si="117"/>
        <v>0</v>
      </c>
    </row>
    <row r="211" spans="1:34">
      <c r="A211" t="s">
        <v>416</v>
      </c>
      <c r="C211" s="335">
        <f>C100</f>
        <v>0</v>
      </c>
      <c r="D211" s="335">
        <f t="shared" ref="D211:AH211" si="118">D100</f>
        <v>0</v>
      </c>
      <c r="E211" s="335">
        <f t="shared" si="118"/>
        <v>0</v>
      </c>
      <c r="F211" s="335">
        <f t="shared" si="118"/>
        <v>0</v>
      </c>
      <c r="G211" s="335">
        <f t="shared" si="118"/>
        <v>0</v>
      </c>
      <c r="H211" s="407">
        <f t="shared" si="118"/>
        <v>0</v>
      </c>
      <c r="I211" s="14">
        <f t="shared" si="118"/>
        <v>0</v>
      </c>
      <c r="J211" s="14">
        <f t="shared" si="118"/>
        <v>0</v>
      </c>
      <c r="K211" s="14">
        <f t="shared" si="118"/>
        <v>0</v>
      </c>
      <c r="L211" s="14">
        <f t="shared" si="118"/>
        <v>0</v>
      </c>
      <c r="M211" s="14">
        <f t="shared" si="118"/>
        <v>0</v>
      </c>
      <c r="N211" s="188">
        <f t="shared" si="118"/>
        <v>0</v>
      </c>
      <c r="O211" s="14">
        <f>O100</f>
        <v>0</v>
      </c>
      <c r="P211" s="14">
        <f t="shared" si="118"/>
        <v>0</v>
      </c>
      <c r="Q211" s="14">
        <f t="shared" si="118"/>
        <v>0</v>
      </c>
      <c r="R211" s="14">
        <f t="shared" si="118"/>
        <v>0</v>
      </c>
      <c r="S211" s="14">
        <f t="shared" si="118"/>
        <v>0</v>
      </c>
      <c r="T211" s="14">
        <f t="shared" si="118"/>
        <v>0</v>
      </c>
      <c r="U211" s="14">
        <f t="shared" si="118"/>
        <v>0</v>
      </c>
      <c r="V211" s="14">
        <f t="shared" si="118"/>
        <v>0</v>
      </c>
      <c r="W211" s="14">
        <f t="shared" si="118"/>
        <v>0</v>
      </c>
      <c r="X211" s="188">
        <f t="shared" si="118"/>
        <v>0</v>
      </c>
      <c r="Y211" s="159">
        <f t="shared" si="118"/>
        <v>0</v>
      </c>
      <c r="Z211" s="159">
        <f t="shared" si="118"/>
        <v>0</v>
      </c>
      <c r="AA211" s="159">
        <f t="shared" si="118"/>
        <v>0</v>
      </c>
      <c r="AB211" s="159">
        <f t="shared" si="118"/>
        <v>0</v>
      </c>
      <c r="AC211" s="159">
        <f t="shared" si="118"/>
        <v>0</v>
      </c>
      <c r="AD211" s="159">
        <f t="shared" si="118"/>
        <v>0</v>
      </c>
      <c r="AE211" s="159">
        <f t="shared" si="118"/>
        <v>0</v>
      </c>
      <c r="AF211" s="159">
        <f t="shared" si="118"/>
        <v>0</v>
      </c>
      <c r="AG211" s="159">
        <f t="shared" si="118"/>
        <v>0</v>
      </c>
      <c r="AH211" s="188">
        <f t="shared" si="118"/>
        <v>0</v>
      </c>
    </row>
    <row r="212" spans="1:34">
      <c r="A212" t="s">
        <v>417</v>
      </c>
      <c r="C212" s="335">
        <f>C127</f>
        <v>0</v>
      </c>
      <c r="D212" s="335">
        <f t="shared" ref="D212:AH212" si="119">D127</f>
        <v>0</v>
      </c>
      <c r="E212" s="335">
        <f t="shared" si="119"/>
        <v>0</v>
      </c>
      <c r="F212" s="335">
        <f t="shared" si="119"/>
        <v>0</v>
      </c>
      <c r="G212" s="335">
        <f t="shared" si="119"/>
        <v>0</v>
      </c>
      <c r="H212" s="407">
        <f t="shared" si="119"/>
        <v>0</v>
      </c>
      <c r="I212" s="14">
        <f t="shared" si="119"/>
        <v>0</v>
      </c>
      <c r="J212" s="14">
        <f t="shared" si="119"/>
        <v>0</v>
      </c>
      <c r="K212" s="14">
        <f t="shared" si="119"/>
        <v>0</v>
      </c>
      <c r="L212" s="14">
        <f t="shared" si="119"/>
        <v>0</v>
      </c>
      <c r="M212" s="14">
        <f t="shared" si="119"/>
        <v>0</v>
      </c>
      <c r="N212" s="188">
        <f t="shared" si="119"/>
        <v>0</v>
      </c>
      <c r="O212" s="14">
        <f>O127</f>
        <v>0</v>
      </c>
      <c r="P212" s="14">
        <f t="shared" si="119"/>
        <v>0</v>
      </c>
      <c r="Q212" s="14">
        <f t="shared" si="119"/>
        <v>0</v>
      </c>
      <c r="R212" s="14">
        <f t="shared" si="119"/>
        <v>0</v>
      </c>
      <c r="S212" s="14">
        <f t="shared" si="119"/>
        <v>0</v>
      </c>
      <c r="T212" s="14">
        <f t="shared" si="119"/>
        <v>0</v>
      </c>
      <c r="U212" s="14">
        <f t="shared" si="119"/>
        <v>0</v>
      </c>
      <c r="V212" s="14">
        <f t="shared" si="119"/>
        <v>0</v>
      </c>
      <c r="W212" s="14">
        <f t="shared" si="119"/>
        <v>0</v>
      </c>
      <c r="X212" s="188">
        <f t="shared" si="119"/>
        <v>0</v>
      </c>
      <c r="Y212" s="159">
        <f t="shared" si="119"/>
        <v>0</v>
      </c>
      <c r="Z212" s="159">
        <f t="shared" si="119"/>
        <v>0</v>
      </c>
      <c r="AA212" s="159">
        <f t="shared" si="119"/>
        <v>0</v>
      </c>
      <c r="AB212" s="159">
        <f t="shared" si="119"/>
        <v>0</v>
      </c>
      <c r="AC212" s="159">
        <f t="shared" si="119"/>
        <v>0</v>
      </c>
      <c r="AD212" s="159">
        <f t="shared" si="119"/>
        <v>0</v>
      </c>
      <c r="AE212" s="159">
        <f t="shared" si="119"/>
        <v>0</v>
      </c>
      <c r="AF212" s="159">
        <f t="shared" si="119"/>
        <v>0</v>
      </c>
      <c r="AG212" s="159">
        <f t="shared" si="119"/>
        <v>0</v>
      </c>
      <c r="AH212" s="188">
        <f t="shared" si="119"/>
        <v>0</v>
      </c>
    </row>
    <row r="213" spans="1:34" s="1" customFormat="1">
      <c r="A213" s="1" t="s">
        <v>403</v>
      </c>
      <c r="B213" s="13"/>
      <c r="C213" s="345">
        <f>SUM(C214:C215)</f>
        <v>861.56454860000008</v>
      </c>
      <c r="D213" s="345">
        <f t="shared" ref="D213:AH213" si="120">SUM(D214:D215)</f>
        <v>1012.3735546847583</v>
      </c>
      <c r="E213" s="345">
        <f t="shared" si="120"/>
        <v>2037.4305675645337</v>
      </c>
      <c r="F213" s="345">
        <f t="shared" si="120"/>
        <v>2418.2384572767496</v>
      </c>
      <c r="G213" s="345">
        <f t="shared" si="120"/>
        <v>2894.7623701130997</v>
      </c>
      <c r="H213" s="410">
        <f t="shared" si="120"/>
        <v>2552.3873926000001</v>
      </c>
      <c r="I213" s="15">
        <f t="shared" si="120"/>
        <v>2909.1083703820796</v>
      </c>
      <c r="J213" s="15">
        <f t="shared" si="120"/>
        <v>3211.6124055391974</v>
      </c>
      <c r="K213" s="15">
        <f t="shared" si="120"/>
        <v>3606.1855697418805</v>
      </c>
      <c r="L213" s="15">
        <f t="shared" si="120"/>
        <v>4209.147896690537</v>
      </c>
      <c r="M213" s="15">
        <f t="shared" si="120"/>
        <v>4795.9748531948626</v>
      </c>
      <c r="N213" s="191">
        <f t="shared" si="120"/>
        <v>5474.8512751036578</v>
      </c>
      <c r="O213" s="15">
        <f t="shared" si="120"/>
        <v>5687.0724701982663</v>
      </c>
      <c r="P213" s="15">
        <f t="shared" si="120"/>
        <v>5883.3709036982327</v>
      </c>
      <c r="Q213" s="15">
        <f t="shared" si="120"/>
        <v>6143.1635843368786</v>
      </c>
      <c r="R213" s="15">
        <f t="shared" si="120"/>
        <v>6463.5068279138859</v>
      </c>
      <c r="S213" s="15">
        <f t="shared" si="120"/>
        <v>6738.6510868511341</v>
      </c>
      <c r="T213" s="15">
        <f t="shared" si="120"/>
        <v>6985.3120099320304</v>
      </c>
      <c r="U213" s="15">
        <f t="shared" si="120"/>
        <v>7144.8607663191515</v>
      </c>
      <c r="V213" s="15">
        <f t="shared" si="120"/>
        <v>7519.1911560823601</v>
      </c>
      <c r="W213" s="15">
        <f t="shared" si="120"/>
        <v>7745.3186470651362</v>
      </c>
      <c r="X213" s="191">
        <f t="shared" si="120"/>
        <v>8130.7946951828844</v>
      </c>
      <c r="Y213" s="131">
        <f t="shared" si="120"/>
        <v>8349.8374027652153</v>
      </c>
      <c r="Z213" s="131">
        <f t="shared" si="120"/>
        <v>8771.5771762958775</v>
      </c>
      <c r="AA213" s="131">
        <f t="shared" si="120"/>
        <v>9141.1075830875234</v>
      </c>
      <c r="AB213" s="131">
        <f t="shared" si="120"/>
        <v>9421.4668264650645</v>
      </c>
      <c r="AC213" s="131">
        <f t="shared" si="120"/>
        <v>9843.2984885390615</v>
      </c>
      <c r="AD213" s="131">
        <f t="shared" si="120"/>
        <v>10149.370461268252</v>
      </c>
      <c r="AE213" s="131">
        <f t="shared" si="120"/>
        <v>10518.333816220422</v>
      </c>
      <c r="AF213" s="131">
        <f t="shared" si="120"/>
        <v>10813.641609613687</v>
      </c>
      <c r="AG213" s="131">
        <f t="shared" si="120"/>
        <v>11207.308857582622</v>
      </c>
      <c r="AH213" s="191">
        <f t="shared" si="120"/>
        <v>11586.033383012906</v>
      </c>
    </row>
    <row r="214" spans="1:34">
      <c r="A214" t="s">
        <v>404</v>
      </c>
      <c r="C214" s="335">
        <f>C115</f>
        <v>453.45502700000003</v>
      </c>
      <c r="D214" s="335">
        <f t="shared" ref="D214:AH214" si="121">D115</f>
        <v>532.82818829604946</v>
      </c>
      <c r="E214" s="335">
        <f t="shared" si="121"/>
        <v>1072.331879494021</v>
      </c>
      <c r="F214" s="335">
        <f t="shared" si="121"/>
        <v>1272.7570847814604</v>
      </c>
      <c r="G214" s="335">
        <f t="shared" si="121"/>
        <v>1523.5591444470717</v>
      </c>
      <c r="H214" s="407">
        <f t="shared" si="121"/>
        <v>1343.3617870000003</v>
      </c>
      <c r="I214" s="14">
        <f t="shared" si="121"/>
        <v>1531.1096701976246</v>
      </c>
      <c r="J214" s="14">
        <f t="shared" si="121"/>
        <v>1690.3223203944476</v>
      </c>
      <c r="K214" s="14">
        <f t="shared" si="121"/>
        <v>1897.9924069677161</v>
      </c>
      <c r="L214" s="14">
        <f t="shared" si="121"/>
        <v>2215.3410003389777</v>
      </c>
      <c r="M214" s="14">
        <f t="shared" si="121"/>
        <v>2524.1972934482765</v>
      </c>
      <c r="N214" s="183">
        <f t="shared" si="121"/>
        <v>2881.5006736349287</v>
      </c>
      <c r="O214" s="14">
        <f t="shared" si="121"/>
        <v>2993.196039572179</v>
      </c>
      <c r="P214" s="14">
        <f t="shared" si="121"/>
        <v>3096.5110046627924</v>
      </c>
      <c r="Q214" s="14">
        <f t="shared" si="121"/>
        <v>3233.2439945925526</v>
      </c>
      <c r="R214" s="14">
        <f t="shared" si="121"/>
        <v>3401.8457018862482</v>
      </c>
      <c r="S214" s="14">
        <f t="shared" si="121"/>
        <v>3546.6584698749921</v>
      </c>
      <c r="T214" s="14">
        <f t="shared" si="121"/>
        <v>3676.480008452505</v>
      </c>
      <c r="U214" s="14">
        <f t="shared" si="121"/>
        <v>3760.453038203601</v>
      </c>
      <c r="V214" s="14">
        <f t="shared" si="121"/>
        <v>3957.4690329886444</v>
      </c>
      <c r="W214" s="14">
        <f t="shared" si="121"/>
        <v>4076.4835020313503</v>
      </c>
      <c r="X214" s="188">
        <f t="shared" si="121"/>
        <v>4279.3656327976141</v>
      </c>
      <c r="Y214" s="159">
        <f t="shared" si="121"/>
        <v>4394.6512684683939</v>
      </c>
      <c r="Z214" s="159">
        <f t="shared" si="121"/>
        <v>4616.619570521354</v>
      </c>
      <c r="AA214" s="159">
        <f t="shared" si="121"/>
        <v>4811.1092584770431</v>
      </c>
      <c r="AB214" s="159">
        <f t="shared" si="121"/>
        <v>4958.6667551209812</v>
      </c>
      <c r="AC214" s="159">
        <f t="shared" si="121"/>
        <v>5180.6834195652127</v>
      </c>
      <c r="AD214" s="159">
        <f t="shared" si="121"/>
        <v>5341.7739316692587</v>
      </c>
      <c r="AE214" s="159">
        <f t="shared" si="121"/>
        <v>5535.9651712881187</v>
      </c>
      <c r="AF214" s="159">
        <f t="shared" si="121"/>
        <v>5691.3903258419705</v>
      </c>
      <c r="AG214" s="159">
        <f t="shared" si="121"/>
        <v>5898.5836144284294</v>
      </c>
      <c r="AH214" s="188">
        <f t="shared" si="121"/>
        <v>6097.9123121981738</v>
      </c>
    </row>
    <row r="215" spans="1:34">
      <c r="A215" t="s">
        <v>405</v>
      </c>
      <c r="C215" s="335">
        <f>C142</f>
        <v>408.10952159999999</v>
      </c>
      <c r="D215" s="335">
        <f t="shared" ref="D215:AH215" si="122">D142</f>
        <v>479.54536638870894</v>
      </c>
      <c r="E215" s="335">
        <f t="shared" si="122"/>
        <v>965.09868807051271</v>
      </c>
      <c r="F215" s="335">
        <f t="shared" si="122"/>
        <v>1145.4813724952894</v>
      </c>
      <c r="G215" s="335">
        <f t="shared" si="122"/>
        <v>1371.2032256660282</v>
      </c>
      <c r="H215" s="407">
        <f t="shared" si="122"/>
        <v>1209.0256055999998</v>
      </c>
      <c r="I215" s="14">
        <f t="shared" si="122"/>
        <v>1377.9987001844552</v>
      </c>
      <c r="J215" s="14">
        <f t="shared" si="122"/>
        <v>1521.2900851447496</v>
      </c>
      <c r="K215" s="14">
        <f t="shared" si="122"/>
        <v>1708.1931627741646</v>
      </c>
      <c r="L215" s="14">
        <f t="shared" si="122"/>
        <v>1993.8068963515593</v>
      </c>
      <c r="M215" s="14">
        <f t="shared" si="122"/>
        <v>2271.7775597465861</v>
      </c>
      <c r="N215" s="183">
        <f t="shared" si="122"/>
        <v>2593.3506014687296</v>
      </c>
      <c r="O215" s="14">
        <f t="shared" si="122"/>
        <v>2693.8764306260873</v>
      </c>
      <c r="P215" s="14">
        <f t="shared" si="122"/>
        <v>2786.8598990354403</v>
      </c>
      <c r="Q215" s="14">
        <f t="shared" si="122"/>
        <v>2909.919589744326</v>
      </c>
      <c r="R215" s="14">
        <f t="shared" si="122"/>
        <v>3061.6611260276377</v>
      </c>
      <c r="S215" s="14">
        <f t="shared" si="122"/>
        <v>3191.992616976142</v>
      </c>
      <c r="T215" s="14">
        <f t="shared" si="122"/>
        <v>3308.8320014795254</v>
      </c>
      <c r="U215" s="14">
        <f t="shared" si="122"/>
        <v>3384.4077281155505</v>
      </c>
      <c r="V215" s="14">
        <f t="shared" si="122"/>
        <v>3561.7221230937157</v>
      </c>
      <c r="W215" s="14">
        <f t="shared" si="122"/>
        <v>3668.8351450337859</v>
      </c>
      <c r="X215" s="188">
        <f t="shared" si="122"/>
        <v>3851.4290623852703</v>
      </c>
      <c r="Y215" s="159">
        <f t="shared" si="122"/>
        <v>3955.1861342968214</v>
      </c>
      <c r="Z215" s="159">
        <f t="shared" si="122"/>
        <v>4154.9576057745235</v>
      </c>
      <c r="AA215" s="159">
        <f t="shared" si="122"/>
        <v>4329.9983246104803</v>
      </c>
      <c r="AB215" s="159">
        <f t="shared" si="122"/>
        <v>4462.8000713440842</v>
      </c>
      <c r="AC215" s="159">
        <f t="shared" si="122"/>
        <v>4662.6150689738488</v>
      </c>
      <c r="AD215" s="159">
        <f t="shared" si="122"/>
        <v>4807.5965295989945</v>
      </c>
      <c r="AE215" s="159">
        <f t="shared" si="122"/>
        <v>4982.3686449323031</v>
      </c>
      <c r="AF215" s="159">
        <f t="shared" si="122"/>
        <v>5122.2512837717168</v>
      </c>
      <c r="AG215" s="159">
        <f t="shared" si="122"/>
        <v>5308.7252431541929</v>
      </c>
      <c r="AH215" s="188">
        <f t="shared" si="122"/>
        <v>5488.1210708147319</v>
      </c>
    </row>
    <row r="216" spans="1:34">
      <c r="A216" t="s">
        <v>406</v>
      </c>
      <c r="C216" s="335">
        <f>SUM(C217:C218)</f>
        <v>19437.284971500001</v>
      </c>
      <c r="D216" s="335">
        <f t="shared" ref="D216:AH216" si="123">SUM(D217:D218)</f>
        <v>19900.785348618927</v>
      </c>
      <c r="E216" s="335">
        <f t="shared" si="123"/>
        <v>20176.158897546346</v>
      </c>
      <c r="F216" s="335">
        <f t="shared" si="123"/>
        <v>19862.827183462075</v>
      </c>
      <c r="G216" s="335">
        <f t="shared" si="123"/>
        <v>20314.182987017357</v>
      </c>
      <c r="H216" s="407">
        <f t="shared" si="123"/>
        <v>18646.421637500003</v>
      </c>
      <c r="I216" s="14">
        <f t="shared" si="123"/>
        <v>18749.586840911841</v>
      </c>
      <c r="J216" s="14">
        <f t="shared" si="123"/>
        <v>18236.832266168385</v>
      </c>
      <c r="K216" s="14">
        <f t="shared" si="123"/>
        <v>18015.760537788577</v>
      </c>
      <c r="L216" s="14">
        <f t="shared" si="123"/>
        <v>18472.800725410169</v>
      </c>
      <c r="M216" s="14">
        <f t="shared" si="123"/>
        <v>18461.936693278571</v>
      </c>
      <c r="N216" s="191">
        <f t="shared" si="123"/>
        <v>18455.8671225</v>
      </c>
      <c r="O216" s="14">
        <f t="shared" si="123"/>
        <v>18433.102299545593</v>
      </c>
      <c r="P216" s="14">
        <f t="shared" si="123"/>
        <v>18335.076601721415</v>
      </c>
      <c r="Q216" s="14">
        <f t="shared" si="123"/>
        <v>18407.495343326504</v>
      </c>
      <c r="R216" s="14">
        <f t="shared" si="123"/>
        <v>18621.56772317992</v>
      </c>
      <c r="S216" s="15">
        <f t="shared" si="123"/>
        <v>18666.620646973726</v>
      </c>
      <c r="T216" s="14">
        <f t="shared" si="123"/>
        <v>18604.694286985701</v>
      </c>
      <c r="U216" s="14">
        <f t="shared" si="123"/>
        <v>18296.743189541427</v>
      </c>
      <c r="V216" s="14">
        <f t="shared" si="123"/>
        <v>18513.722084225185</v>
      </c>
      <c r="W216" s="14">
        <f t="shared" si="123"/>
        <v>18335.966034724257</v>
      </c>
      <c r="X216" s="188">
        <f t="shared" si="123"/>
        <v>18507.11378209426</v>
      </c>
      <c r="Y216" s="159">
        <f t="shared" si="123"/>
        <v>18347.983688659013</v>
      </c>
      <c r="Z216" s="159">
        <f t="shared" si="123"/>
        <v>18606.918428117329</v>
      </c>
      <c r="AA216" s="159">
        <f t="shared" si="123"/>
        <v>18718.179012681867</v>
      </c>
      <c r="AB216" s="159">
        <f t="shared" si="123"/>
        <v>18622.2709610124</v>
      </c>
      <c r="AC216" s="159">
        <f t="shared" si="123"/>
        <v>18779.550752630646</v>
      </c>
      <c r="AD216" s="159">
        <f t="shared" si="123"/>
        <v>18689.380500441686</v>
      </c>
      <c r="AE216" s="159">
        <f t="shared" si="123"/>
        <v>18693.670442000512</v>
      </c>
      <c r="AF216" s="159">
        <f t="shared" si="123"/>
        <v>18547.771938903497</v>
      </c>
      <c r="AG216" s="159">
        <f t="shared" si="123"/>
        <v>18551.255326949024</v>
      </c>
      <c r="AH216" s="188">
        <f t="shared" si="123"/>
        <v>18507.11378209426</v>
      </c>
    </row>
    <row r="217" spans="1:34">
      <c r="A217" t="s">
        <v>407</v>
      </c>
      <c r="C217" s="335">
        <f>C114</f>
        <v>10230.149985</v>
      </c>
      <c r="D217" s="335">
        <f t="shared" ref="D217:AH217" si="124">D114</f>
        <v>10474.097551904699</v>
      </c>
      <c r="E217" s="335">
        <f t="shared" si="124"/>
        <v>10619.030998708602</v>
      </c>
      <c r="F217" s="335">
        <f t="shared" si="124"/>
        <v>10454.119570243198</v>
      </c>
      <c r="G217" s="335">
        <f t="shared" si="124"/>
        <v>10691.675256324925</v>
      </c>
      <c r="H217" s="407">
        <f t="shared" si="124"/>
        <v>9813.9061250000013</v>
      </c>
      <c r="I217" s="14">
        <f t="shared" si="124"/>
        <v>9868.2036004799156</v>
      </c>
      <c r="J217" s="14">
        <f t="shared" si="124"/>
        <v>9598.3327716675722</v>
      </c>
      <c r="K217" s="14">
        <f t="shared" si="124"/>
        <v>9481.9792304150396</v>
      </c>
      <c r="L217" s="14">
        <f t="shared" si="124"/>
        <v>9722.5266975842987</v>
      </c>
      <c r="M217" s="14">
        <f t="shared" si="124"/>
        <v>9716.8087859360894</v>
      </c>
      <c r="N217" s="188">
        <f t="shared" si="124"/>
        <v>9713.6142749999999</v>
      </c>
      <c r="O217" s="14">
        <f t="shared" si="124"/>
        <v>9701.6327892345234</v>
      </c>
      <c r="P217" s="14">
        <f t="shared" si="124"/>
        <v>9650.040316695482</v>
      </c>
      <c r="Q217" s="14">
        <f t="shared" si="124"/>
        <v>9688.1554438560561</v>
      </c>
      <c r="R217" s="14">
        <f t="shared" si="124"/>
        <v>9800.825117463115</v>
      </c>
      <c r="S217" s="14">
        <f t="shared" si="124"/>
        <v>9824.5371826177507</v>
      </c>
      <c r="T217" s="14">
        <f t="shared" si="124"/>
        <v>9791.9443615714226</v>
      </c>
      <c r="U217" s="14">
        <f t="shared" si="124"/>
        <v>9629.864836600751</v>
      </c>
      <c r="V217" s="14">
        <f t="shared" si="124"/>
        <v>9744.0642548553587</v>
      </c>
      <c r="W217" s="14">
        <f t="shared" si="124"/>
        <v>9650.5084393285561</v>
      </c>
      <c r="X217" s="188">
        <f t="shared" si="124"/>
        <v>9740.5862011022436</v>
      </c>
      <c r="Y217" s="159">
        <f t="shared" si="124"/>
        <v>9656.8335203468487</v>
      </c>
      <c r="Z217" s="159">
        <f t="shared" si="124"/>
        <v>9793.1149621670156</v>
      </c>
      <c r="AA217" s="159">
        <f t="shared" si="124"/>
        <v>9851.6731645694035</v>
      </c>
      <c r="AB217" s="159">
        <f t="shared" si="124"/>
        <v>9801.1952426381049</v>
      </c>
      <c r="AC217" s="159">
        <f t="shared" si="124"/>
        <v>9883.9740803319182</v>
      </c>
      <c r="AD217" s="159">
        <f t="shared" si="124"/>
        <v>9836.5160528640445</v>
      </c>
      <c r="AE217" s="159">
        <f t="shared" si="124"/>
        <v>9838.7739168423741</v>
      </c>
      <c r="AF217" s="159">
        <f t="shared" si="124"/>
        <v>9761.9852310018396</v>
      </c>
      <c r="AG217" s="159">
        <f t="shared" si="124"/>
        <v>9763.8185931310654</v>
      </c>
      <c r="AH217" s="188">
        <f t="shared" si="124"/>
        <v>9740.5862011022436</v>
      </c>
    </row>
    <row r="218" spans="1:34">
      <c r="A218" t="s">
        <v>408</v>
      </c>
      <c r="C218" s="335">
        <f>C141</f>
        <v>9207.1349865000011</v>
      </c>
      <c r="D218" s="335">
        <f t="shared" ref="D218:AH218" si="125">D141</f>
        <v>9426.6877967142282</v>
      </c>
      <c r="E218" s="335">
        <f t="shared" si="125"/>
        <v>9557.1278988377417</v>
      </c>
      <c r="F218" s="335">
        <f t="shared" si="125"/>
        <v>9408.7076132188777</v>
      </c>
      <c r="G218" s="335">
        <f t="shared" si="125"/>
        <v>9622.5077306924322</v>
      </c>
      <c r="H218" s="407">
        <f t="shared" si="125"/>
        <v>8832.5155125000001</v>
      </c>
      <c r="I218" s="14">
        <f t="shared" si="125"/>
        <v>8881.3832404319237</v>
      </c>
      <c r="J218" s="14">
        <f t="shared" si="125"/>
        <v>8638.4994945008148</v>
      </c>
      <c r="K218" s="14">
        <f t="shared" si="125"/>
        <v>8533.781307373536</v>
      </c>
      <c r="L218" s="14">
        <f t="shared" si="125"/>
        <v>8750.274027825868</v>
      </c>
      <c r="M218" s="14">
        <f t="shared" si="125"/>
        <v>8745.1279073424812</v>
      </c>
      <c r="N218" s="188">
        <f t="shared" si="125"/>
        <v>8742.2528474999999</v>
      </c>
      <c r="O218" s="14">
        <f t="shared" si="125"/>
        <v>8731.4695103110716</v>
      </c>
      <c r="P218" s="14">
        <f t="shared" si="125"/>
        <v>8685.0362850259335</v>
      </c>
      <c r="Q218" s="14">
        <f t="shared" si="125"/>
        <v>8719.3398994704494</v>
      </c>
      <c r="R218" s="14">
        <f t="shared" si="125"/>
        <v>8820.7426057168032</v>
      </c>
      <c r="S218" s="14">
        <f t="shared" si="125"/>
        <v>8842.0834643559756</v>
      </c>
      <c r="T218" s="14">
        <f t="shared" si="125"/>
        <v>8812.7499254142804</v>
      </c>
      <c r="U218" s="14">
        <f t="shared" si="125"/>
        <v>8666.8783529406774</v>
      </c>
      <c r="V218" s="14">
        <f t="shared" si="125"/>
        <v>8769.657829369824</v>
      </c>
      <c r="W218" s="14">
        <f t="shared" si="125"/>
        <v>8685.457595395701</v>
      </c>
      <c r="X218" s="188">
        <f t="shared" si="125"/>
        <v>8766.5275809920186</v>
      </c>
      <c r="Y218" s="159">
        <f t="shared" si="125"/>
        <v>8691.1501683121642</v>
      </c>
      <c r="Z218" s="159">
        <f t="shared" si="125"/>
        <v>8813.8034659503155</v>
      </c>
      <c r="AA218" s="159">
        <f t="shared" si="125"/>
        <v>8866.5058481124634</v>
      </c>
      <c r="AB218" s="159">
        <f t="shared" si="125"/>
        <v>8821.0757183742935</v>
      </c>
      <c r="AC218" s="159">
        <f t="shared" si="125"/>
        <v>8895.5766722987264</v>
      </c>
      <c r="AD218" s="159">
        <f t="shared" si="125"/>
        <v>8852.8644475776418</v>
      </c>
      <c r="AE218" s="159">
        <f t="shared" si="125"/>
        <v>8854.8965251581358</v>
      </c>
      <c r="AF218" s="159">
        <f t="shared" si="125"/>
        <v>8785.786707901656</v>
      </c>
      <c r="AG218" s="159">
        <f t="shared" si="125"/>
        <v>8787.43673381796</v>
      </c>
      <c r="AH218" s="188">
        <f t="shared" si="125"/>
        <v>8766.5275809920186</v>
      </c>
    </row>
    <row r="219" spans="1:34" s="1" customFormat="1">
      <c r="A219" s="1" t="s">
        <v>400</v>
      </c>
      <c r="B219" s="13"/>
      <c r="C219" s="345">
        <f>SUM(C220:C221)</f>
        <v>11760.2001</v>
      </c>
      <c r="D219" s="345">
        <f t="shared" ref="D219:AH219" si="126">SUM(D220:D221)</f>
        <v>12264.351110589325</v>
      </c>
      <c r="E219" s="345">
        <f t="shared" si="126"/>
        <v>12249.275063883531</v>
      </c>
      <c r="F219" s="345">
        <f t="shared" si="126"/>
        <v>12116.648676603891</v>
      </c>
      <c r="G219" s="345">
        <f t="shared" si="126"/>
        <v>12185.590438043373</v>
      </c>
      <c r="H219" s="410">
        <f t="shared" si="126"/>
        <v>13088.069268999996</v>
      </c>
      <c r="I219" s="15">
        <f t="shared" si="126"/>
        <v>12853.331764287079</v>
      </c>
      <c r="J219" s="15">
        <f t="shared" si="126"/>
        <v>12200.639265301803</v>
      </c>
      <c r="K219" s="15">
        <f t="shared" si="126"/>
        <v>11819.898825474069</v>
      </c>
      <c r="L219" s="15">
        <f t="shared" si="126"/>
        <v>11745.755312274319</v>
      </c>
      <c r="M219" s="15">
        <f t="shared" si="126"/>
        <v>11374.507228322913</v>
      </c>
      <c r="N219" s="191">
        <f t="shared" si="126"/>
        <v>10918.162069100003</v>
      </c>
      <c r="O219" s="15">
        <f t="shared" si="126"/>
        <v>10752.287407327725</v>
      </c>
      <c r="P219" s="15">
        <f t="shared" si="126"/>
        <v>10541.020321195003</v>
      </c>
      <c r="Q219" s="15">
        <f t="shared" si="126"/>
        <v>10426.489195862829</v>
      </c>
      <c r="R219" s="15">
        <f t="shared" si="126"/>
        <v>10386.476255329846</v>
      </c>
      <c r="S219" s="15">
        <f t="shared" si="126"/>
        <v>10243.849335605497</v>
      </c>
      <c r="T219" s="15">
        <f t="shared" si="126"/>
        <v>10043.274124162745</v>
      </c>
      <c r="U219" s="15">
        <f t="shared" si="126"/>
        <v>9698.2937559506936</v>
      </c>
      <c r="V219" s="15">
        <f t="shared" si="126"/>
        <v>9629.5607073804567</v>
      </c>
      <c r="W219" s="15">
        <f t="shared" si="126"/>
        <v>9345.8758196114341</v>
      </c>
      <c r="X219" s="191">
        <f t="shared" si="126"/>
        <v>9238.9428538000029</v>
      </c>
      <c r="Y219" s="131">
        <f t="shared" si="126"/>
        <v>9230.4018122039015</v>
      </c>
      <c r="Z219" s="131">
        <f t="shared" si="126"/>
        <v>9391.6052718904284</v>
      </c>
      <c r="AA219" s="131">
        <f t="shared" si="126"/>
        <v>9472.5796831165389</v>
      </c>
      <c r="AB219" s="131">
        <f t="shared" si="126"/>
        <v>9439.553077764991</v>
      </c>
      <c r="AC219" s="131">
        <f t="shared" si="126"/>
        <v>9537.3053957408374</v>
      </c>
      <c r="AD219" s="131">
        <f t="shared" si="126"/>
        <v>9502.9313536990994</v>
      </c>
      <c r="AE219" s="131">
        <f t="shared" si="126"/>
        <v>9513.391197696943</v>
      </c>
      <c r="AF219" s="131">
        <f t="shared" si="126"/>
        <v>9441.5423708128492</v>
      </c>
      <c r="AG219" s="131">
        <f t="shared" si="126"/>
        <v>9443.2370069347962</v>
      </c>
      <c r="AH219" s="191">
        <f t="shared" si="126"/>
        <v>9414.9240932999928</v>
      </c>
    </row>
    <row r="220" spans="1:34">
      <c r="A220" t="s">
        <v>409</v>
      </c>
      <c r="C220" s="335">
        <f>SUM(C116:C117)</f>
        <v>6189.5789999999997</v>
      </c>
      <c r="D220" s="335">
        <f t="shared" ref="D220:AH220" si="127">SUM(D116:D117)</f>
        <v>6454.9216371522762</v>
      </c>
      <c r="E220" s="335">
        <f t="shared" si="127"/>
        <v>6446.9868757281738</v>
      </c>
      <c r="F220" s="335">
        <f t="shared" si="127"/>
        <v>6377.1835140020476</v>
      </c>
      <c r="G220" s="335">
        <f t="shared" si="127"/>
        <v>6413.4686516017755</v>
      </c>
      <c r="H220" s="407">
        <f t="shared" si="127"/>
        <v>6888.4575099999975</v>
      </c>
      <c r="I220" s="14">
        <f t="shared" si="127"/>
        <v>6764.911454887937</v>
      </c>
      <c r="J220" s="14">
        <f t="shared" si="127"/>
        <v>6421.3890870009491</v>
      </c>
      <c r="K220" s="14">
        <f t="shared" si="127"/>
        <v>6220.9993818284565</v>
      </c>
      <c r="L220" s="14">
        <f t="shared" si="127"/>
        <v>6181.9764801443789</v>
      </c>
      <c r="M220" s="14">
        <f t="shared" si="127"/>
        <v>5986.5827517489015</v>
      </c>
      <c r="N220" s="188">
        <f t="shared" si="127"/>
        <v>5746.4010890000009</v>
      </c>
      <c r="O220" s="14">
        <f t="shared" si="127"/>
        <v>5659.0986354356446</v>
      </c>
      <c r="P220" s="14">
        <f t="shared" si="127"/>
        <v>5547.9054322078955</v>
      </c>
      <c r="Q220" s="14">
        <f t="shared" si="127"/>
        <v>5487.6258925593838</v>
      </c>
      <c r="R220" s="14">
        <f t="shared" si="127"/>
        <v>5466.5664501736028</v>
      </c>
      <c r="S220" s="14">
        <f t="shared" si="127"/>
        <v>5391.4996503186831</v>
      </c>
      <c r="T220" s="14">
        <f t="shared" si="127"/>
        <v>5285.933749559339</v>
      </c>
      <c r="U220" s="14">
        <f t="shared" si="127"/>
        <v>5104.3651347108917</v>
      </c>
      <c r="V220" s="14">
        <f t="shared" si="127"/>
        <v>5068.1898459897138</v>
      </c>
      <c r="W220" s="14">
        <f t="shared" si="127"/>
        <v>4918.8820103218077</v>
      </c>
      <c r="X220" s="188">
        <f t="shared" si="127"/>
        <v>4862.6015020000013</v>
      </c>
      <c r="Y220" s="159">
        <f t="shared" si="127"/>
        <v>4858.1062169494226</v>
      </c>
      <c r="Z220" s="159">
        <f t="shared" si="127"/>
        <v>4942.9501431002245</v>
      </c>
      <c r="AA220" s="159">
        <f t="shared" si="127"/>
        <v>4985.5682542718623</v>
      </c>
      <c r="AB220" s="159">
        <f t="shared" si="127"/>
        <v>4968.1858304026264</v>
      </c>
      <c r="AC220" s="159">
        <f t="shared" si="127"/>
        <v>5019.634418810967</v>
      </c>
      <c r="AD220" s="159">
        <f t="shared" si="127"/>
        <v>5001.5428177363683</v>
      </c>
      <c r="AE220" s="159">
        <f t="shared" si="127"/>
        <v>5007.0479987878653</v>
      </c>
      <c r="AF220" s="159">
        <f t="shared" si="127"/>
        <v>4969.2328267436051</v>
      </c>
      <c r="AG220" s="159">
        <f t="shared" si="127"/>
        <v>4970.1247404919977</v>
      </c>
      <c r="AH220" s="188">
        <f t="shared" si="127"/>
        <v>4955.2232069999964</v>
      </c>
    </row>
    <row r="221" spans="1:34">
      <c r="A221" t="s">
        <v>410</v>
      </c>
      <c r="C221" s="335">
        <f>SUM(C143:C144)</f>
        <v>5570.6211000000003</v>
      </c>
      <c r="D221" s="335">
        <f t="shared" ref="D221:AH221" si="128">SUM(D143:D144)</f>
        <v>5809.4294734370487</v>
      </c>
      <c r="E221" s="335">
        <f t="shared" si="128"/>
        <v>5802.2881881553567</v>
      </c>
      <c r="F221" s="335">
        <f t="shared" si="128"/>
        <v>5739.4651626018431</v>
      </c>
      <c r="G221" s="335">
        <f t="shared" si="128"/>
        <v>5772.1217864415976</v>
      </c>
      <c r="H221" s="407">
        <f t="shared" si="128"/>
        <v>6199.6117589999976</v>
      </c>
      <c r="I221" s="14">
        <f t="shared" si="128"/>
        <v>6088.4203093991428</v>
      </c>
      <c r="J221" s="14">
        <f t="shared" si="128"/>
        <v>5779.2501783008538</v>
      </c>
      <c r="K221" s="14">
        <f t="shared" si="128"/>
        <v>5598.8994436456114</v>
      </c>
      <c r="L221" s="14">
        <f t="shared" si="128"/>
        <v>5563.7788321299413</v>
      </c>
      <c r="M221" s="14">
        <f t="shared" si="128"/>
        <v>5387.9244765740114</v>
      </c>
      <c r="N221" s="188">
        <f t="shared" si="128"/>
        <v>5171.7609801000017</v>
      </c>
      <c r="O221" s="14">
        <f t="shared" si="128"/>
        <v>5093.1887718920807</v>
      </c>
      <c r="P221" s="14">
        <f t="shared" si="128"/>
        <v>4993.1148889871065</v>
      </c>
      <c r="Q221" s="14">
        <f t="shared" si="128"/>
        <v>4938.8633033034457</v>
      </c>
      <c r="R221" s="14">
        <f t="shared" si="128"/>
        <v>4919.9098051562432</v>
      </c>
      <c r="S221" s="14">
        <f t="shared" si="128"/>
        <v>4852.3496852868147</v>
      </c>
      <c r="T221" s="14">
        <f t="shared" si="128"/>
        <v>4757.3403746034055</v>
      </c>
      <c r="U221" s="14">
        <f t="shared" si="128"/>
        <v>4593.9286212398029</v>
      </c>
      <c r="V221" s="14">
        <f t="shared" si="128"/>
        <v>4561.370861390742</v>
      </c>
      <c r="W221" s="14">
        <f t="shared" si="128"/>
        <v>4426.9938092896264</v>
      </c>
      <c r="X221" s="188">
        <f t="shared" si="128"/>
        <v>4376.3413518000016</v>
      </c>
      <c r="Y221" s="159">
        <f t="shared" si="128"/>
        <v>4372.2955952544798</v>
      </c>
      <c r="Z221" s="159">
        <f t="shared" si="128"/>
        <v>4448.655128790203</v>
      </c>
      <c r="AA221" s="159">
        <f t="shared" si="128"/>
        <v>4487.0114288446757</v>
      </c>
      <c r="AB221" s="159">
        <f t="shared" si="128"/>
        <v>4471.3672473623647</v>
      </c>
      <c r="AC221" s="159">
        <f t="shared" si="128"/>
        <v>4517.6709769298695</v>
      </c>
      <c r="AD221" s="159">
        <f t="shared" si="128"/>
        <v>4501.388535962732</v>
      </c>
      <c r="AE221" s="159">
        <f t="shared" si="128"/>
        <v>4506.3431989090786</v>
      </c>
      <c r="AF221" s="159">
        <f t="shared" si="128"/>
        <v>4472.3095440692441</v>
      </c>
      <c r="AG221" s="159">
        <f t="shared" si="128"/>
        <v>4473.1122664427985</v>
      </c>
      <c r="AH221" s="188">
        <f t="shared" si="128"/>
        <v>4459.7008862999965</v>
      </c>
    </row>
    <row r="222" spans="1:34">
      <c r="A222" s="1" t="s">
        <v>432</v>
      </c>
      <c r="C222" s="335">
        <f>SUM(C210,C213,C216,C219)</f>
        <v>32059.049620099999</v>
      </c>
      <c r="D222" s="335">
        <f t="shared" ref="D222:AH222" si="129">SUM(D210,D213,D216,D219)</f>
        <v>33177.510013893014</v>
      </c>
      <c r="E222" s="335">
        <f t="shared" si="129"/>
        <v>34462.864528994411</v>
      </c>
      <c r="F222" s="335">
        <f t="shared" si="129"/>
        <v>34397.714317342718</v>
      </c>
      <c r="G222" s="335">
        <f t="shared" si="129"/>
        <v>35394.535795173826</v>
      </c>
      <c r="H222" s="407">
        <f t="shared" si="129"/>
        <v>34286.878299100004</v>
      </c>
      <c r="I222" s="14">
        <f t="shared" si="129"/>
        <v>34512.026975581</v>
      </c>
      <c r="J222" s="14">
        <f t="shared" si="129"/>
        <v>33649.083937009389</v>
      </c>
      <c r="K222" s="14">
        <f t="shared" si="129"/>
        <v>33441.844933004526</v>
      </c>
      <c r="L222" s="14">
        <f t="shared" si="129"/>
        <v>34427.703934375022</v>
      </c>
      <c r="M222" s="14">
        <f t="shared" si="129"/>
        <v>34632.418774796344</v>
      </c>
      <c r="N222" s="188">
        <f t="shared" si="129"/>
        <v>34848.88046670366</v>
      </c>
      <c r="O222" s="14">
        <f t="shared" si="129"/>
        <v>34872.462177071582</v>
      </c>
      <c r="P222" s="14">
        <f t="shared" si="129"/>
        <v>34759.467826614651</v>
      </c>
      <c r="Q222" s="14">
        <f t="shared" si="129"/>
        <v>34977.148123526211</v>
      </c>
      <c r="R222" s="14">
        <f t="shared" si="129"/>
        <v>35471.550806423649</v>
      </c>
      <c r="S222" s="14">
        <f t="shared" si="129"/>
        <v>35649.121069430359</v>
      </c>
      <c r="T222" s="14">
        <f t="shared" si="129"/>
        <v>35633.280421080475</v>
      </c>
      <c r="U222" s="14">
        <f t="shared" si="129"/>
        <v>35139.897711811267</v>
      </c>
      <c r="V222" s="14">
        <f t="shared" si="129"/>
        <v>35662.473947688006</v>
      </c>
      <c r="W222" s="14">
        <f t="shared" si="129"/>
        <v>35427.160501400831</v>
      </c>
      <c r="X222" s="188">
        <f t="shared" si="129"/>
        <v>35876.851331077152</v>
      </c>
      <c r="Y222" s="159">
        <f t="shared" si="129"/>
        <v>35928.222903628135</v>
      </c>
      <c r="Z222" s="159">
        <f t="shared" si="129"/>
        <v>36770.100876303637</v>
      </c>
      <c r="AA222" s="159">
        <f t="shared" si="129"/>
        <v>37331.866278885929</v>
      </c>
      <c r="AB222" s="159">
        <f t="shared" si="129"/>
        <v>37483.290865242452</v>
      </c>
      <c r="AC222" s="159">
        <f t="shared" si="129"/>
        <v>38160.154636910549</v>
      </c>
      <c r="AD222" s="159">
        <f t="shared" si="129"/>
        <v>38341.682315409038</v>
      </c>
      <c r="AE222" s="159">
        <f t="shared" si="129"/>
        <v>38725.395455917882</v>
      </c>
      <c r="AF222" s="159">
        <f t="shared" si="129"/>
        <v>38802.955919330037</v>
      </c>
      <c r="AG222" s="159">
        <f t="shared" si="129"/>
        <v>39201.801191466438</v>
      </c>
      <c r="AH222" s="188">
        <f t="shared" si="129"/>
        <v>39508.071258407159</v>
      </c>
    </row>
    <row r="223" spans="1:34" s="1" customFormat="1">
      <c r="A223" s="1" t="s">
        <v>450</v>
      </c>
      <c r="B223" s="13"/>
      <c r="C223" s="332" t="s">
        <v>0</v>
      </c>
      <c r="D223" s="345">
        <f>D210+D213</f>
        <v>1012.3735546847583</v>
      </c>
      <c r="E223" s="345">
        <f t="shared" ref="E223:AH223" si="130">E210+E213</f>
        <v>2037.4305675645337</v>
      </c>
      <c r="F223" s="345">
        <f t="shared" si="130"/>
        <v>2418.2384572767496</v>
      </c>
      <c r="G223" s="345">
        <f t="shared" si="130"/>
        <v>2894.7623701130997</v>
      </c>
      <c r="H223" s="410">
        <f>H210+H213</f>
        <v>2552.3873926000001</v>
      </c>
      <c r="I223" s="15">
        <f t="shared" si="130"/>
        <v>2909.1083703820796</v>
      </c>
      <c r="J223" s="15">
        <f t="shared" si="130"/>
        <v>3211.6124055391974</v>
      </c>
      <c r="K223" s="15">
        <f t="shared" si="130"/>
        <v>3606.1855697418805</v>
      </c>
      <c r="L223" s="15">
        <f t="shared" si="130"/>
        <v>4209.147896690537</v>
      </c>
      <c r="M223" s="15">
        <f t="shared" si="130"/>
        <v>4795.9748531948626</v>
      </c>
      <c r="N223" s="191">
        <f t="shared" si="130"/>
        <v>5474.8512751036578</v>
      </c>
      <c r="O223" s="15">
        <f t="shared" si="130"/>
        <v>5687.0724701982663</v>
      </c>
      <c r="P223" s="15">
        <f t="shared" si="130"/>
        <v>5883.3709036982327</v>
      </c>
      <c r="Q223" s="15">
        <f t="shared" si="130"/>
        <v>6143.1635843368786</v>
      </c>
      <c r="R223" s="15">
        <f t="shared" si="130"/>
        <v>6463.5068279138859</v>
      </c>
      <c r="S223" s="15">
        <f t="shared" si="130"/>
        <v>6738.6510868511341</v>
      </c>
      <c r="T223" s="15">
        <f t="shared" si="130"/>
        <v>6985.3120099320304</v>
      </c>
      <c r="U223" s="15">
        <f t="shared" si="130"/>
        <v>7144.8607663191515</v>
      </c>
      <c r="V223" s="15">
        <f t="shared" si="130"/>
        <v>7519.1911560823601</v>
      </c>
      <c r="W223" s="15">
        <f t="shared" si="130"/>
        <v>7745.3186470651362</v>
      </c>
      <c r="X223" s="191">
        <f t="shared" si="130"/>
        <v>8130.7946951828844</v>
      </c>
      <c r="Y223" s="131">
        <f t="shared" si="130"/>
        <v>8349.8374027652153</v>
      </c>
      <c r="Z223" s="131">
        <f t="shared" si="130"/>
        <v>8771.5771762958775</v>
      </c>
      <c r="AA223" s="131">
        <f t="shared" si="130"/>
        <v>9141.1075830875234</v>
      </c>
      <c r="AB223" s="131">
        <f t="shared" si="130"/>
        <v>9421.4668264650645</v>
      </c>
      <c r="AC223" s="131">
        <f t="shared" si="130"/>
        <v>9843.2984885390615</v>
      </c>
      <c r="AD223" s="131">
        <f t="shared" si="130"/>
        <v>10149.370461268252</v>
      </c>
      <c r="AE223" s="131">
        <f t="shared" si="130"/>
        <v>10518.333816220422</v>
      </c>
      <c r="AF223" s="131">
        <f t="shared" si="130"/>
        <v>10813.641609613687</v>
      </c>
      <c r="AG223" s="131">
        <f t="shared" si="130"/>
        <v>11207.308857582622</v>
      </c>
      <c r="AH223" s="191">
        <f t="shared" si="130"/>
        <v>11586.033383012906</v>
      </c>
    </row>
    <row r="224" spans="1:34">
      <c r="A224" t="s">
        <v>453</v>
      </c>
      <c r="D224" s="335">
        <f>D210+D213+D216</f>
        <v>20913.158903303687</v>
      </c>
      <c r="E224" s="335">
        <f t="shared" ref="E224:AH224" si="131">E210+E213+E216</f>
        <v>22213.589465110879</v>
      </c>
      <c r="F224" s="335">
        <f t="shared" si="131"/>
        <v>22281.065640738823</v>
      </c>
      <c r="G224" s="335">
        <f t="shared" si="131"/>
        <v>23208.945357130455</v>
      </c>
      <c r="H224" s="407">
        <f t="shared" si="131"/>
        <v>21198.809030100005</v>
      </c>
      <c r="I224" s="14">
        <f t="shared" si="131"/>
        <v>21658.695211293922</v>
      </c>
      <c r="J224" s="14">
        <f t="shared" si="131"/>
        <v>21448.444671707584</v>
      </c>
      <c r="K224" s="14">
        <f t="shared" si="131"/>
        <v>21621.946107530457</v>
      </c>
      <c r="L224" s="14">
        <f t="shared" si="131"/>
        <v>22681.948622100706</v>
      </c>
      <c r="M224" s="14">
        <f t="shared" si="131"/>
        <v>23257.911546473435</v>
      </c>
      <c r="N224" s="188">
        <f t="shared" si="131"/>
        <v>23930.718397603658</v>
      </c>
      <c r="O224" s="14">
        <f t="shared" si="131"/>
        <v>24120.174769743859</v>
      </c>
      <c r="P224" s="14">
        <f t="shared" si="131"/>
        <v>24218.447505419648</v>
      </c>
      <c r="Q224" s="14">
        <f t="shared" si="131"/>
        <v>24550.658927663382</v>
      </c>
      <c r="R224" s="14">
        <f t="shared" si="131"/>
        <v>25085.074551093807</v>
      </c>
      <c r="S224" s="14">
        <f t="shared" si="131"/>
        <v>25405.271733824862</v>
      </c>
      <c r="T224" s="14">
        <f t="shared" si="131"/>
        <v>25590.006296917731</v>
      </c>
      <c r="U224" s="14">
        <f t="shared" si="131"/>
        <v>25441.603955860577</v>
      </c>
      <c r="V224" s="14">
        <f t="shared" si="131"/>
        <v>26032.913240307545</v>
      </c>
      <c r="W224" s="14">
        <f t="shared" si="131"/>
        <v>26081.284681789395</v>
      </c>
      <c r="X224" s="188">
        <f t="shared" si="131"/>
        <v>26637.908477277146</v>
      </c>
      <c r="Y224" s="159">
        <f t="shared" si="131"/>
        <v>26697.82109142423</v>
      </c>
      <c r="Z224" s="159">
        <f t="shared" si="131"/>
        <v>27378.495604413205</v>
      </c>
      <c r="AA224" s="159">
        <f t="shared" si="131"/>
        <v>27859.28659576939</v>
      </c>
      <c r="AB224" s="159">
        <f t="shared" si="131"/>
        <v>28043.737787477465</v>
      </c>
      <c r="AC224" s="159">
        <f t="shared" si="131"/>
        <v>28622.849241169708</v>
      </c>
      <c r="AD224" s="159">
        <f t="shared" si="131"/>
        <v>28838.750961709939</v>
      </c>
      <c r="AE224" s="159">
        <f t="shared" si="131"/>
        <v>29212.004258220935</v>
      </c>
      <c r="AF224" s="159">
        <f t="shared" si="131"/>
        <v>29361.413548517186</v>
      </c>
      <c r="AG224" s="159">
        <f t="shared" si="131"/>
        <v>29758.564184531646</v>
      </c>
      <c r="AH224" s="188">
        <f t="shared" si="131"/>
        <v>30093.147165107166</v>
      </c>
    </row>
    <row r="225" spans="1:34">
      <c r="D225" s="335"/>
      <c r="E225" s="335"/>
      <c r="F225" s="335"/>
      <c r="G225" s="335"/>
      <c r="H225" s="407"/>
      <c r="I225" s="14"/>
      <c r="J225" s="14"/>
      <c r="K225" s="14"/>
      <c r="L225" s="14"/>
      <c r="M225" s="14"/>
      <c r="N225" s="188"/>
      <c r="O225" s="14"/>
      <c r="P225" s="14"/>
      <c r="Q225" s="14"/>
      <c r="R225" s="14"/>
      <c r="S225" s="14"/>
      <c r="T225" s="14"/>
      <c r="U225" s="14"/>
      <c r="V225" s="14"/>
      <c r="W225" s="14"/>
      <c r="X225" s="188"/>
    </row>
    <row r="226" spans="1:34">
      <c r="A226" s="1" t="s">
        <v>460</v>
      </c>
      <c r="D226" s="335">
        <f>D210+D213</f>
        <v>1012.3735546847583</v>
      </c>
      <c r="E226" s="335">
        <f>D226+E210+E213</f>
        <v>3049.804122249292</v>
      </c>
      <c r="F226" s="335">
        <f>E226+F210+F213</f>
        <v>5468.0425795260417</v>
      </c>
      <c r="G226" s="335">
        <f>F226+G210+G213</f>
        <v>8362.8049496391413</v>
      </c>
      <c r="H226" s="407">
        <f t="shared" ref="H226:X226" si="132">G226+H210+H213</f>
        <v>10915.192342239141</v>
      </c>
      <c r="I226" s="14">
        <f t="shared" si="132"/>
        <v>13824.300712621221</v>
      </c>
      <c r="J226" s="14">
        <f t="shared" si="132"/>
        <v>17035.913118160417</v>
      </c>
      <c r="K226" s="14">
        <f t="shared" si="132"/>
        <v>20642.098687902297</v>
      </c>
      <c r="L226" s="14">
        <f t="shared" si="132"/>
        <v>24851.246584592835</v>
      </c>
      <c r="M226" s="14">
        <f t="shared" si="132"/>
        <v>29647.221437787695</v>
      </c>
      <c r="N226" s="188">
        <f t="shared" si="132"/>
        <v>35122.072712891357</v>
      </c>
      <c r="O226" s="14">
        <f t="shared" si="132"/>
        <v>40809.145183089626</v>
      </c>
      <c r="P226" s="14">
        <f t="shared" si="132"/>
        <v>46692.516086787859</v>
      </c>
      <c r="Q226" s="14">
        <f t="shared" si="132"/>
        <v>52835.679671124737</v>
      </c>
      <c r="R226" s="14">
        <f t="shared" si="132"/>
        <v>59299.186499038624</v>
      </c>
      <c r="S226" s="14">
        <f t="shared" si="132"/>
        <v>66037.837585889763</v>
      </c>
      <c r="T226" s="14">
        <f t="shared" si="132"/>
        <v>73023.1495958218</v>
      </c>
      <c r="U226" s="14">
        <f t="shared" si="132"/>
        <v>80168.010362140951</v>
      </c>
      <c r="V226" s="14">
        <f t="shared" si="132"/>
        <v>87687.201518223315</v>
      </c>
      <c r="W226" s="14">
        <f t="shared" si="132"/>
        <v>95432.520165288457</v>
      </c>
      <c r="X226" s="188">
        <f t="shared" si="132"/>
        <v>103563.31486047134</v>
      </c>
      <c r="Y226" s="159">
        <f t="shared" ref="Y226:AH226" si="133">X226+Y210+Y213</f>
        <v>111913.15226323655</v>
      </c>
      <c r="Z226" s="159">
        <f t="shared" si="133"/>
        <v>120684.72943953243</v>
      </c>
      <c r="AA226" s="159">
        <f t="shared" si="133"/>
        <v>129825.83702261995</v>
      </c>
      <c r="AB226" s="159">
        <f t="shared" si="133"/>
        <v>139247.303849085</v>
      </c>
      <c r="AC226" s="159">
        <f t="shared" si="133"/>
        <v>149090.60233762406</v>
      </c>
      <c r="AD226" s="159">
        <f t="shared" si="133"/>
        <v>159239.97279889233</v>
      </c>
      <c r="AE226" s="159">
        <f t="shared" si="133"/>
        <v>169758.30661511276</v>
      </c>
      <c r="AF226" s="159">
        <f t="shared" si="133"/>
        <v>180571.94822472645</v>
      </c>
      <c r="AG226" s="159">
        <f t="shared" si="133"/>
        <v>191779.25708230908</v>
      </c>
      <c r="AH226" s="188">
        <f t="shared" si="133"/>
        <v>203365.29046532197</v>
      </c>
    </row>
    <row r="227" spans="1:34">
      <c r="A227" s="1" t="s">
        <v>461</v>
      </c>
      <c r="D227" s="335">
        <f>D219</f>
        <v>12264.351110589325</v>
      </c>
      <c r="E227" s="335">
        <f>D227+E219</f>
        <v>24513.626174472854</v>
      </c>
      <c r="F227" s="335">
        <f>E227+F219</f>
        <v>36630.274851076741</v>
      </c>
      <c r="G227" s="335">
        <f t="shared" ref="G227:X227" si="134">F227+G219</f>
        <v>48815.865289120113</v>
      </c>
      <c r="H227" s="407">
        <f t="shared" si="134"/>
        <v>61903.934558120105</v>
      </c>
      <c r="I227" s="14">
        <f t="shared" si="134"/>
        <v>74757.266322407188</v>
      </c>
      <c r="J227" s="14">
        <f t="shared" si="134"/>
        <v>86957.905587708985</v>
      </c>
      <c r="K227" s="14">
        <f t="shared" si="134"/>
        <v>98777.804413183054</v>
      </c>
      <c r="L227" s="14">
        <f t="shared" si="134"/>
        <v>110523.55972545737</v>
      </c>
      <c r="M227" s="14">
        <f t="shared" si="134"/>
        <v>121898.06695378028</v>
      </c>
      <c r="N227" s="188">
        <f t="shared" si="134"/>
        <v>132816.22902288029</v>
      </c>
      <c r="O227" s="14">
        <f t="shared" si="134"/>
        <v>143568.51643020802</v>
      </c>
      <c r="P227" s="14">
        <f t="shared" si="134"/>
        <v>154109.53675140304</v>
      </c>
      <c r="Q227" s="14">
        <f t="shared" si="134"/>
        <v>164536.02594726585</v>
      </c>
      <c r="R227" s="14">
        <f t="shared" si="134"/>
        <v>174922.5022025957</v>
      </c>
      <c r="S227" s="14">
        <f t="shared" si="134"/>
        <v>185166.35153820121</v>
      </c>
      <c r="T227" s="14">
        <f t="shared" si="134"/>
        <v>195209.62566236395</v>
      </c>
      <c r="U227" s="14">
        <f t="shared" si="134"/>
        <v>204907.91941831465</v>
      </c>
      <c r="V227" s="14">
        <f t="shared" si="134"/>
        <v>214537.48012569512</v>
      </c>
      <c r="W227" s="14">
        <f t="shared" si="134"/>
        <v>223883.35594530654</v>
      </c>
      <c r="X227" s="188">
        <f t="shared" si="134"/>
        <v>233122.29879910653</v>
      </c>
      <c r="Y227" s="159">
        <f t="shared" ref="Y227:AH227" si="135">X227+Y219</f>
        <v>242352.70061131043</v>
      </c>
      <c r="Z227" s="159">
        <f t="shared" si="135"/>
        <v>251744.30588320087</v>
      </c>
      <c r="AA227" s="159">
        <f t="shared" si="135"/>
        <v>261216.88556631742</v>
      </c>
      <c r="AB227" s="159">
        <f t="shared" si="135"/>
        <v>270656.4386440824</v>
      </c>
      <c r="AC227" s="159">
        <f t="shared" si="135"/>
        <v>280193.74403982324</v>
      </c>
      <c r="AD227" s="159">
        <f t="shared" si="135"/>
        <v>289696.67539352237</v>
      </c>
      <c r="AE227" s="159">
        <f t="shared" si="135"/>
        <v>299210.06659121934</v>
      </c>
      <c r="AF227" s="159">
        <f t="shared" si="135"/>
        <v>308651.60896203219</v>
      </c>
      <c r="AG227" s="159">
        <f t="shared" si="135"/>
        <v>318094.84596896695</v>
      </c>
      <c r="AH227" s="188">
        <f t="shared" si="135"/>
        <v>327509.77006226697</v>
      </c>
    </row>
    <row r="228" spans="1:34">
      <c r="A228" s="1" t="s">
        <v>463</v>
      </c>
      <c r="D228" s="335">
        <f t="shared" ref="D228:AH228" si="136">D227-D207</f>
        <v>-797.93988941067619</v>
      </c>
      <c r="E228" s="335">
        <f t="shared" si="136"/>
        <v>-1831.643314527144</v>
      </c>
      <c r="F228" s="335">
        <f t="shared" si="136"/>
        <v>-3792.9372309232567</v>
      </c>
      <c r="G228" s="335">
        <f t="shared" si="136"/>
        <v>-5708.5947668798835</v>
      </c>
      <c r="H228" s="407">
        <f>H227-H207</f>
        <v>-5916.8306628798891</v>
      </c>
      <c r="I228" s="14">
        <f t="shared" si="136"/>
        <v>-6794.7138355928037</v>
      </c>
      <c r="J228" s="14">
        <f t="shared" si="136"/>
        <v>-7219.4734332910011</v>
      </c>
      <c r="K228" s="14">
        <f t="shared" si="136"/>
        <v>-7514.4445728169376</v>
      </c>
      <c r="L228" s="14">
        <f t="shared" si="136"/>
        <v>-8449.8012535426242</v>
      </c>
      <c r="M228" s="14">
        <f t="shared" si="136"/>
        <v>-9648.9879602197034</v>
      </c>
      <c r="N228" s="188">
        <f t="shared" si="136"/>
        <v>-11164.41291411969</v>
      </c>
      <c r="O228" s="14">
        <f t="shared" si="136"/>
        <v>-12742.01174579197</v>
      </c>
      <c r="P228" s="14">
        <f t="shared" si="136"/>
        <v>-14296.264922596951</v>
      </c>
      <c r="Q228" s="14">
        <f t="shared" si="136"/>
        <v>-15992.003745734139</v>
      </c>
      <c r="R228" s="14">
        <f t="shared" si="136"/>
        <v>-18012.62731640428</v>
      </c>
      <c r="S228" s="14">
        <f t="shared" si="136"/>
        <v>-20253.855706798757</v>
      </c>
      <c r="T228" s="14">
        <f t="shared" si="136"/>
        <v>-22577.59562663603</v>
      </c>
      <c r="U228" s="14">
        <f t="shared" si="136"/>
        <v>-24749.939451685321</v>
      </c>
      <c r="V228" s="14">
        <f t="shared" si="136"/>
        <v>-27295.873339304846</v>
      </c>
      <c r="W228" s="14">
        <f t="shared" si="136"/>
        <v>-29816.593667693436</v>
      </c>
      <c r="X228" s="188">
        <f t="shared" si="136"/>
        <v>-32664.938839893468</v>
      </c>
      <c r="Y228" s="159">
        <f t="shared" si="136"/>
        <v>-35504.234359689581</v>
      </c>
      <c r="Z228" s="159">
        <f t="shared" si="136"/>
        <v>-38763.057372799114</v>
      </c>
      <c r="AA228" s="159">
        <f t="shared" si="136"/>
        <v>-42296.452176682593</v>
      </c>
      <c r="AB228" s="159">
        <f t="shared" si="136"/>
        <v>-45900.613969917584</v>
      </c>
      <c r="AC228" s="159">
        <f t="shared" si="136"/>
        <v>-49840.835967176768</v>
      </c>
      <c r="AD228" s="159">
        <f t="shared" si="136"/>
        <v>-53854.30099047767</v>
      </c>
      <c r="AE228" s="159">
        <f t="shared" si="136"/>
        <v>-58069.060998780711</v>
      </c>
      <c r="AF228" s="159">
        <f t="shared" si="136"/>
        <v>-62324.03308596788</v>
      </c>
      <c r="AG228" s="159">
        <f t="shared" si="136"/>
        <v>-66782.718245033117</v>
      </c>
      <c r="AH228" s="188">
        <f t="shared" si="136"/>
        <v>-71382.351433733129</v>
      </c>
    </row>
    <row r="229" spans="1:34">
      <c r="I229" s="130"/>
      <c r="J229" s="130"/>
      <c r="K229" s="130"/>
      <c r="L229" s="130"/>
      <c r="M229" s="130"/>
      <c r="O229" s="130"/>
      <c r="P229" s="130"/>
      <c r="Q229" s="130"/>
      <c r="R229" s="130"/>
      <c r="S229" s="130"/>
      <c r="T229" s="130"/>
      <c r="U229" s="130"/>
      <c r="V229" s="130"/>
      <c r="W229" s="130"/>
    </row>
    <row r="230" spans="1:34">
      <c r="A230" s="1" t="s">
        <v>419</v>
      </c>
    </row>
    <row r="231" spans="1:34">
      <c r="A231" t="s">
        <v>420</v>
      </c>
      <c r="C231" s="335">
        <f t="shared" ref="C231:AH231" si="137">C210-C191</f>
        <v>0</v>
      </c>
      <c r="D231" s="335">
        <f t="shared" si="137"/>
        <v>0</v>
      </c>
      <c r="E231" s="335">
        <f t="shared" si="137"/>
        <v>0</v>
      </c>
      <c r="F231" s="335">
        <f t="shared" si="137"/>
        <v>0</v>
      </c>
      <c r="G231" s="335">
        <f t="shared" si="137"/>
        <v>0</v>
      </c>
      <c r="H231" s="407">
        <f t="shared" si="137"/>
        <v>0</v>
      </c>
      <c r="I231" s="14">
        <f t="shared" si="137"/>
        <v>0</v>
      </c>
      <c r="J231" s="14">
        <f t="shared" si="137"/>
        <v>0</v>
      </c>
      <c r="K231" s="14">
        <f t="shared" si="137"/>
        <v>0</v>
      </c>
      <c r="L231" s="14">
        <f t="shared" si="137"/>
        <v>0</v>
      </c>
      <c r="M231" s="14">
        <f t="shared" si="137"/>
        <v>0</v>
      </c>
      <c r="N231" s="188">
        <f t="shared" ref="N231:O233" si="138">N210-N191</f>
        <v>0</v>
      </c>
      <c r="O231" s="14">
        <f t="shared" si="138"/>
        <v>0</v>
      </c>
      <c r="P231" s="14">
        <f t="shared" si="137"/>
        <v>0</v>
      </c>
      <c r="Q231" s="14">
        <f t="shared" si="137"/>
        <v>0</v>
      </c>
      <c r="R231" s="14">
        <f t="shared" si="137"/>
        <v>0</v>
      </c>
      <c r="S231" s="14">
        <f t="shared" si="137"/>
        <v>0</v>
      </c>
      <c r="T231" s="14">
        <f t="shared" si="137"/>
        <v>0</v>
      </c>
      <c r="U231" s="14">
        <f t="shared" si="137"/>
        <v>0</v>
      </c>
      <c r="V231" s="14">
        <f t="shared" si="137"/>
        <v>0</v>
      </c>
      <c r="W231" s="14">
        <f t="shared" si="137"/>
        <v>0</v>
      </c>
      <c r="X231" s="188">
        <f t="shared" si="137"/>
        <v>0</v>
      </c>
      <c r="Y231" s="159">
        <f t="shared" si="137"/>
        <v>0</v>
      </c>
      <c r="Z231" s="159">
        <f t="shared" si="137"/>
        <v>0</v>
      </c>
      <c r="AA231" s="159">
        <f t="shared" si="137"/>
        <v>0</v>
      </c>
      <c r="AB231" s="159">
        <f t="shared" si="137"/>
        <v>0</v>
      </c>
      <c r="AC231" s="159">
        <f t="shared" si="137"/>
        <v>0</v>
      </c>
      <c r="AD231" s="159">
        <f t="shared" si="137"/>
        <v>0</v>
      </c>
      <c r="AE231" s="159">
        <f t="shared" si="137"/>
        <v>0</v>
      </c>
      <c r="AF231" s="159">
        <f t="shared" si="137"/>
        <v>0</v>
      </c>
      <c r="AG231" s="159">
        <f t="shared" si="137"/>
        <v>0</v>
      </c>
      <c r="AH231" s="188">
        <f t="shared" si="137"/>
        <v>0</v>
      </c>
    </row>
    <row r="232" spans="1:34">
      <c r="A232" t="s">
        <v>421</v>
      </c>
      <c r="C232" s="335">
        <f t="shared" ref="C232:AH232" si="139">C211-C192</f>
        <v>0</v>
      </c>
      <c r="D232" s="335">
        <f t="shared" si="139"/>
        <v>0</v>
      </c>
      <c r="E232" s="335">
        <f t="shared" si="139"/>
        <v>0</v>
      </c>
      <c r="F232" s="335">
        <f t="shared" si="139"/>
        <v>0</v>
      </c>
      <c r="G232" s="335">
        <f t="shared" si="139"/>
        <v>0</v>
      </c>
      <c r="H232" s="407">
        <f t="shared" si="139"/>
        <v>0</v>
      </c>
      <c r="I232" s="14">
        <f t="shared" si="139"/>
        <v>0</v>
      </c>
      <c r="J232" s="14">
        <f t="shared" si="139"/>
        <v>0</v>
      </c>
      <c r="K232" s="14">
        <f t="shared" si="139"/>
        <v>0</v>
      </c>
      <c r="L232" s="14">
        <f t="shared" si="139"/>
        <v>0</v>
      </c>
      <c r="M232" s="14">
        <f t="shared" si="139"/>
        <v>0</v>
      </c>
      <c r="N232" s="188">
        <f t="shared" si="138"/>
        <v>0</v>
      </c>
      <c r="O232" s="14">
        <f t="shared" si="138"/>
        <v>0</v>
      </c>
      <c r="P232" s="14">
        <f t="shared" si="139"/>
        <v>0</v>
      </c>
      <c r="Q232" s="14">
        <f t="shared" si="139"/>
        <v>0</v>
      </c>
      <c r="R232" s="14">
        <f t="shared" si="139"/>
        <v>0</v>
      </c>
      <c r="S232" s="14">
        <f t="shared" si="139"/>
        <v>0</v>
      </c>
      <c r="T232" s="14">
        <f t="shared" si="139"/>
        <v>0</v>
      </c>
      <c r="U232" s="14">
        <f t="shared" si="139"/>
        <v>0</v>
      </c>
      <c r="V232" s="14">
        <f t="shared" si="139"/>
        <v>0</v>
      </c>
      <c r="W232" s="14">
        <f t="shared" si="139"/>
        <v>0</v>
      </c>
      <c r="X232" s="188">
        <f t="shared" si="139"/>
        <v>0</v>
      </c>
      <c r="Y232" s="159">
        <f t="shared" si="139"/>
        <v>0</v>
      </c>
      <c r="Z232" s="159">
        <f t="shared" si="139"/>
        <v>0</v>
      </c>
      <c r="AA232" s="159">
        <f t="shared" si="139"/>
        <v>0</v>
      </c>
      <c r="AB232" s="159">
        <f t="shared" si="139"/>
        <v>0</v>
      </c>
      <c r="AC232" s="159">
        <f t="shared" si="139"/>
        <v>0</v>
      </c>
      <c r="AD232" s="159">
        <f t="shared" si="139"/>
        <v>0</v>
      </c>
      <c r="AE232" s="159">
        <f t="shared" si="139"/>
        <v>0</v>
      </c>
      <c r="AF232" s="159">
        <f t="shared" si="139"/>
        <v>0</v>
      </c>
      <c r="AG232" s="159">
        <f t="shared" si="139"/>
        <v>0</v>
      </c>
      <c r="AH232" s="188">
        <f t="shared" si="139"/>
        <v>0</v>
      </c>
    </row>
    <row r="233" spans="1:34">
      <c r="A233" t="s">
        <v>422</v>
      </c>
      <c r="C233" s="335">
        <f t="shared" ref="C233:AH233" si="140">C212-C193</f>
        <v>0</v>
      </c>
      <c r="D233" s="335">
        <f t="shared" si="140"/>
        <v>0</v>
      </c>
      <c r="E233" s="335">
        <f t="shared" si="140"/>
        <v>0</v>
      </c>
      <c r="F233" s="335">
        <f t="shared" si="140"/>
        <v>0</v>
      </c>
      <c r="G233" s="335">
        <f t="shared" si="140"/>
        <v>0</v>
      </c>
      <c r="H233" s="407">
        <f t="shared" si="140"/>
        <v>0</v>
      </c>
      <c r="I233" s="14">
        <f t="shared" si="140"/>
        <v>0</v>
      </c>
      <c r="J233" s="14">
        <f t="shared" si="140"/>
        <v>0</v>
      </c>
      <c r="K233" s="14">
        <f t="shared" si="140"/>
        <v>0</v>
      </c>
      <c r="L233" s="14">
        <f t="shared" si="140"/>
        <v>0</v>
      </c>
      <c r="M233" s="14">
        <f t="shared" si="140"/>
        <v>0</v>
      </c>
      <c r="N233" s="188">
        <f t="shared" si="138"/>
        <v>0</v>
      </c>
      <c r="O233" s="14">
        <f t="shared" si="138"/>
        <v>0</v>
      </c>
      <c r="P233" s="14">
        <f t="shared" si="140"/>
        <v>0</v>
      </c>
      <c r="Q233" s="14">
        <f t="shared" si="140"/>
        <v>0</v>
      </c>
      <c r="R233" s="14">
        <f t="shared" si="140"/>
        <v>0</v>
      </c>
      <c r="S233" s="14">
        <f t="shared" si="140"/>
        <v>0</v>
      </c>
      <c r="T233" s="14">
        <f t="shared" si="140"/>
        <v>0</v>
      </c>
      <c r="U233" s="14">
        <f t="shared" si="140"/>
        <v>0</v>
      </c>
      <c r="V233" s="14">
        <f t="shared" si="140"/>
        <v>0</v>
      </c>
      <c r="W233" s="14">
        <f t="shared" si="140"/>
        <v>0</v>
      </c>
      <c r="X233" s="188">
        <f t="shared" si="140"/>
        <v>0</v>
      </c>
      <c r="Y233" s="159">
        <f t="shared" si="140"/>
        <v>0</v>
      </c>
      <c r="Z233" s="159">
        <f t="shared" si="140"/>
        <v>0</v>
      </c>
      <c r="AA233" s="159">
        <f t="shared" si="140"/>
        <v>0</v>
      </c>
      <c r="AB233" s="159">
        <f t="shared" si="140"/>
        <v>0</v>
      </c>
      <c r="AC233" s="159">
        <f t="shared" si="140"/>
        <v>0</v>
      </c>
      <c r="AD233" s="159">
        <f t="shared" si="140"/>
        <v>0</v>
      </c>
      <c r="AE233" s="159">
        <f t="shared" si="140"/>
        <v>0</v>
      </c>
      <c r="AF233" s="159">
        <f t="shared" si="140"/>
        <v>0</v>
      </c>
      <c r="AG233" s="159">
        <f t="shared" si="140"/>
        <v>0</v>
      </c>
      <c r="AH233" s="188">
        <f t="shared" si="140"/>
        <v>0</v>
      </c>
    </row>
    <row r="234" spans="1:34">
      <c r="A234" t="s">
        <v>423</v>
      </c>
      <c r="C234" s="335">
        <f t="shared" ref="C234:AH234" si="141">C213-C194</f>
        <v>-2.6999998681276338E-6</v>
      </c>
      <c r="D234" s="335">
        <f t="shared" si="141"/>
        <v>141.15700338475835</v>
      </c>
      <c r="E234" s="335">
        <f t="shared" si="141"/>
        <v>413.90519726453385</v>
      </c>
      <c r="F234" s="335">
        <f t="shared" si="141"/>
        <v>469.17633997674989</v>
      </c>
      <c r="G234" s="335">
        <f t="shared" si="141"/>
        <v>535.01464481309995</v>
      </c>
      <c r="H234" s="407">
        <f>H213-H194</f>
        <v>-2.7000000955013093E-6</v>
      </c>
      <c r="I234" s="14">
        <f t="shared" si="141"/>
        <v>197.64472908207972</v>
      </c>
      <c r="J234" s="14">
        <f t="shared" si="141"/>
        <v>394.75635323919732</v>
      </c>
      <c r="K234" s="14">
        <f t="shared" si="141"/>
        <v>615.47075844188021</v>
      </c>
      <c r="L234" s="14">
        <f t="shared" si="141"/>
        <v>1200.316186390537</v>
      </c>
      <c r="M234" s="14">
        <f t="shared" si="141"/>
        <v>1750.8147248948626</v>
      </c>
      <c r="N234" s="188">
        <f t="shared" si="141"/>
        <v>2396.9831408036575</v>
      </c>
      <c r="O234" s="14">
        <f t="shared" si="141"/>
        <v>2519.6122108982663</v>
      </c>
      <c r="P234" s="14">
        <f t="shared" si="141"/>
        <v>2587.8089963982325</v>
      </c>
      <c r="Q234" s="14">
        <f t="shared" si="141"/>
        <v>2796.6907210368781</v>
      </c>
      <c r="R234" s="14">
        <f t="shared" si="141"/>
        <v>3072.7490686138858</v>
      </c>
      <c r="S234" s="14">
        <f t="shared" si="141"/>
        <v>3389.0463585511338</v>
      </c>
      <c r="T234" s="14">
        <f t="shared" si="141"/>
        <v>3592.3727656320302</v>
      </c>
      <c r="U234" s="14">
        <f t="shared" si="141"/>
        <v>3703.3842550191512</v>
      </c>
      <c r="V234" s="14">
        <f t="shared" si="141"/>
        <v>4056.0668807823595</v>
      </c>
      <c r="W234" s="14">
        <f t="shared" si="141"/>
        <v>4216.2394817651357</v>
      </c>
      <c r="X234" s="188">
        <f t="shared" si="141"/>
        <v>4541.9389648828846</v>
      </c>
      <c r="Y234" s="159">
        <f t="shared" si="141"/>
        <v>4700.4849124652155</v>
      </c>
      <c r="Z234" s="159">
        <f t="shared" si="141"/>
        <v>5074.9918069958776</v>
      </c>
      <c r="AA234" s="159">
        <f t="shared" si="141"/>
        <v>5385.5375307875229</v>
      </c>
      <c r="AB234" s="159">
        <f t="shared" si="141"/>
        <v>5604.8886671650644</v>
      </c>
      <c r="AC234" s="159">
        <f t="shared" si="141"/>
        <v>5965.3456552390617</v>
      </c>
      <c r="AD234" s="159">
        <f t="shared" si="141"/>
        <v>6180.794372968252</v>
      </c>
      <c r="AE234" s="159">
        <f t="shared" si="141"/>
        <v>6503.4926329204218</v>
      </c>
      <c r="AF234" s="159">
        <f t="shared" si="141"/>
        <v>6735.0686313136866</v>
      </c>
      <c r="AG234" s="159">
        <f t="shared" si="141"/>
        <v>7062.0086202826224</v>
      </c>
      <c r="AH234" s="188">
        <f t="shared" si="141"/>
        <v>7094.0962337129058</v>
      </c>
    </row>
    <row r="235" spans="1:34">
      <c r="A235" t="s">
        <v>424</v>
      </c>
      <c r="C235" s="335">
        <f t="shared" ref="C235:AH235" si="142">C214-C195</f>
        <v>0</v>
      </c>
      <c r="D235" s="335">
        <f t="shared" si="142"/>
        <v>74.293161296049504</v>
      </c>
      <c r="E235" s="335">
        <f t="shared" si="142"/>
        <v>217.84484249402112</v>
      </c>
      <c r="F235" s="335">
        <f t="shared" si="142"/>
        <v>246.93491778146063</v>
      </c>
      <c r="G235" s="335">
        <f t="shared" si="142"/>
        <v>281.58665744707173</v>
      </c>
      <c r="H235" s="407">
        <f t="shared" si="142"/>
        <v>0</v>
      </c>
      <c r="I235" s="14">
        <f t="shared" si="142"/>
        <v>104.02354319762458</v>
      </c>
      <c r="J235" s="14">
        <f t="shared" si="142"/>
        <v>207.76650339444768</v>
      </c>
      <c r="K235" s="14">
        <f t="shared" si="142"/>
        <v>323.93197996771596</v>
      </c>
      <c r="L235" s="14">
        <f t="shared" si="142"/>
        <v>631.74536333897777</v>
      </c>
      <c r="M235" s="14">
        <f t="shared" si="142"/>
        <v>921.48143644827655</v>
      </c>
      <c r="N235" s="188">
        <f t="shared" si="142"/>
        <v>1261.5700766349287</v>
      </c>
      <c r="O235" s="14">
        <f t="shared" si="142"/>
        <v>1326.1116925721788</v>
      </c>
      <c r="P235" s="14">
        <f t="shared" si="142"/>
        <v>1362.0047376627922</v>
      </c>
      <c r="Q235" s="14">
        <f t="shared" si="142"/>
        <v>1471.9424875925524</v>
      </c>
      <c r="R235" s="14">
        <f t="shared" si="142"/>
        <v>1617.2363548862481</v>
      </c>
      <c r="S235" s="14">
        <f t="shared" si="142"/>
        <v>1783.708612874992</v>
      </c>
      <c r="T235" s="14">
        <f t="shared" si="142"/>
        <v>1890.7225114525049</v>
      </c>
      <c r="U235" s="14">
        <f t="shared" si="142"/>
        <v>1949.1496112036007</v>
      </c>
      <c r="V235" s="14">
        <f t="shared" si="142"/>
        <v>2134.7720459886441</v>
      </c>
      <c r="W235" s="14">
        <f t="shared" si="142"/>
        <v>2219.0734150313501</v>
      </c>
      <c r="X235" s="188">
        <f t="shared" si="142"/>
        <v>2390.4941957976143</v>
      </c>
      <c r="Y235" s="159">
        <f t="shared" si="142"/>
        <v>2473.9394314683941</v>
      </c>
      <c r="Z235" s="159">
        <f t="shared" si="142"/>
        <v>2671.0483235213542</v>
      </c>
      <c r="AA235" s="159">
        <f t="shared" si="142"/>
        <v>2834.4934414770432</v>
      </c>
      <c r="AB235" s="159">
        <f t="shared" si="142"/>
        <v>2949.9414081209811</v>
      </c>
      <c r="AC235" s="159">
        <f t="shared" si="142"/>
        <v>3139.6556125652128</v>
      </c>
      <c r="AD235" s="159">
        <f t="shared" si="142"/>
        <v>3253.0496746692584</v>
      </c>
      <c r="AE235" s="159">
        <f t="shared" si="142"/>
        <v>3422.8908642881188</v>
      </c>
      <c r="AF235" s="159">
        <f t="shared" si="142"/>
        <v>3544.7729688419704</v>
      </c>
      <c r="AG235" s="159">
        <f t="shared" si="142"/>
        <v>3716.8466474284296</v>
      </c>
      <c r="AH235" s="188">
        <f t="shared" si="142"/>
        <v>3733.7348651981738</v>
      </c>
    </row>
    <row r="236" spans="1:34">
      <c r="A236" t="s">
        <v>425</v>
      </c>
      <c r="C236" s="335">
        <f t="shared" ref="C236:AH236" si="143">C215-C196</f>
        <v>-2.6999999818144715E-6</v>
      </c>
      <c r="D236" s="335">
        <f t="shared" si="143"/>
        <v>66.863842088708907</v>
      </c>
      <c r="E236" s="335">
        <f t="shared" si="143"/>
        <v>196.06035477051273</v>
      </c>
      <c r="F236" s="335">
        <f t="shared" si="143"/>
        <v>222.24142219528949</v>
      </c>
      <c r="G236" s="335">
        <f t="shared" si="143"/>
        <v>253.42798736602822</v>
      </c>
      <c r="H236" s="407">
        <f>H215-H196</f>
        <v>-2.7000000955013093E-6</v>
      </c>
      <c r="I236" s="14">
        <f t="shared" si="143"/>
        <v>93.621185884455144</v>
      </c>
      <c r="J236" s="14">
        <f t="shared" si="143"/>
        <v>186.98984984474941</v>
      </c>
      <c r="K236" s="14">
        <f t="shared" si="143"/>
        <v>291.5387784741647</v>
      </c>
      <c r="L236" s="14">
        <f t="shared" si="143"/>
        <v>568.57082305155927</v>
      </c>
      <c r="M236" s="14">
        <f t="shared" si="143"/>
        <v>829.33328844658627</v>
      </c>
      <c r="N236" s="188">
        <f t="shared" si="143"/>
        <v>1135.4130641687293</v>
      </c>
      <c r="O236" s="14">
        <f t="shared" si="143"/>
        <v>1193.5005183260873</v>
      </c>
      <c r="P236" s="14">
        <f t="shared" si="143"/>
        <v>1225.8042587354403</v>
      </c>
      <c r="Q236" s="14">
        <f t="shared" si="143"/>
        <v>1324.7482334443257</v>
      </c>
      <c r="R236" s="14">
        <f t="shared" si="143"/>
        <v>1455.5127137276377</v>
      </c>
      <c r="S236" s="14">
        <f t="shared" si="143"/>
        <v>1605.3377456761418</v>
      </c>
      <c r="T236" s="14">
        <f t="shared" si="143"/>
        <v>1701.6502541795253</v>
      </c>
      <c r="U236" s="14">
        <f t="shared" si="143"/>
        <v>1754.2346438155505</v>
      </c>
      <c r="V236" s="14">
        <f t="shared" si="143"/>
        <v>1921.2948347937154</v>
      </c>
      <c r="W236" s="14">
        <f t="shared" si="143"/>
        <v>1997.1660667337856</v>
      </c>
      <c r="X236" s="188">
        <f t="shared" si="143"/>
        <v>2151.4447690852703</v>
      </c>
      <c r="Y236" s="159">
        <f t="shared" si="143"/>
        <v>2226.5454809968214</v>
      </c>
      <c r="Z236" s="159">
        <f t="shared" si="143"/>
        <v>2403.9434834745234</v>
      </c>
      <c r="AA236" s="159">
        <f t="shared" si="143"/>
        <v>2551.0440893104801</v>
      </c>
      <c r="AB236" s="159">
        <f t="shared" si="143"/>
        <v>2654.9472590440841</v>
      </c>
      <c r="AC236" s="159">
        <f t="shared" si="143"/>
        <v>2825.6900426738484</v>
      </c>
      <c r="AD236" s="159">
        <f t="shared" si="143"/>
        <v>2927.7446982989941</v>
      </c>
      <c r="AE236" s="159">
        <f t="shared" si="143"/>
        <v>3080.601768632303</v>
      </c>
      <c r="AF236" s="159">
        <f t="shared" si="143"/>
        <v>3190.2956624717162</v>
      </c>
      <c r="AG236" s="159">
        <f t="shared" si="143"/>
        <v>3345.1619728541928</v>
      </c>
      <c r="AH236" s="188">
        <f t="shared" si="143"/>
        <v>3360.3613685147316</v>
      </c>
    </row>
    <row r="237" spans="1:34">
      <c r="A237" t="s">
        <v>426</v>
      </c>
      <c r="C237" s="335">
        <f t="shared" ref="C237:AH237" si="144">C216-C197</f>
        <v>0</v>
      </c>
      <c r="D237" s="335">
        <f t="shared" si="144"/>
        <v>1503.845377118927</v>
      </c>
      <c r="E237" s="335">
        <f t="shared" si="144"/>
        <v>842.97338704634603</v>
      </c>
      <c r="F237" s="335">
        <f t="shared" si="144"/>
        <v>1993.3116129620757</v>
      </c>
      <c r="G237" s="335">
        <f t="shared" si="144"/>
        <v>1836.0615445173571</v>
      </c>
      <c r="H237" s="407">
        <f t="shared" si="144"/>
        <v>0</v>
      </c>
      <c r="I237" s="14">
        <f t="shared" si="144"/>
        <v>654.16590641184303</v>
      </c>
      <c r="J237" s="14">
        <f t="shared" si="144"/>
        <v>-129.91478633161387</v>
      </c>
      <c r="K237" s="14">
        <f t="shared" si="144"/>
        <v>-440.10658471142233</v>
      </c>
      <c r="L237" s="14">
        <f t="shared" si="144"/>
        <v>16.933602910168702</v>
      </c>
      <c r="M237" s="14">
        <f t="shared" si="144"/>
        <v>6.0695707785707782</v>
      </c>
      <c r="N237" s="188">
        <f t="shared" si="144"/>
        <v>0</v>
      </c>
      <c r="O237" s="14">
        <f t="shared" si="144"/>
        <v>-22.764822954406554</v>
      </c>
      <c r="P237" s="14">
        <f t="shared" si="144"/>
        <v>-120.78852577858561</v>
      </c>
      <c r="Q237" s="14">
        <f t="shared" si="144"/>
        <v>-101.64084417349659</v>
      </c>
      <c r="R237" s="14">
        <f t="shared" si="144"/>
        <v>112.43267567992007</v>
      </c>
      <c r="S237" s="14">
        <f t="shared" si="144"/>
        <v>157.48331947372571</v>
      </c>
      <c r="T237" s="14">
        <f t="shared" si="144"/>
        <v>95.55581948570034</v>
      </c>
      <c r="U237" s="14">
        <f t="shared" si="144"/>
        <v>-212.3952779585743</v>
      </c>
      <c r="V237" s="14">
        <f t="shared" si="144"/>
        <v>4.5858967251842842</v>
      </c>
      <c r="W237" s="14">
        <f t="shared" si="144"/>
        <v>-173.1724327757438</v>
      </c>
      <c r="X237" s="188">
        <f t="shared" si="144"/>
        <v>-2.0246854057404562</v>
      </c>
      <c r="Y237" s="159">
        <f t="shared" si="144"/>
        <v>-161.154778840988</v>
      </c>
      <c r="Z237" s="159">
        <f t="shared" si="144"/>
        <v>97.77996061732847</v>
      </c>
      <c r="AA237" s="159">
        <f t="shared" si="144"/>
        <v>209.04054518186604</v>
      </c>
      <c r="AB237" s="159">
        <f t="shared" si="144"/>
        <v>113.13249351239938</v>
      </c>
      <c r="AC237" s="159">
        <f t="shared" si="144"/>
        <v>270.41228513064561</v>
      </c>
      <c r="AD237" s="159">
        <f t="shared" si="144"/>
        <v>180.24203294168547</v>
      </c>
      <c r="AE237" s="159">
        <f t="shared" si="144"/>
        <v>184.53197450051084</v>
      </c>
      <c r="AF237" s="159">
        <f t="shared" si="144"/>
        <v>38.633471403496515</v>
      </c>
      <c r="AG237" s="159">
        <f t="shared" si="144"/>
        <v>42.116859449022741</v>
      </c>
      <c r="AH237" s="188">
        <f t="shared" si="144"/>
        <v>-2.0246854057404562</v>
      </c>
    </row>
    <row r="238" spans="1:34">
      <c r="A238" t="s">
        <v>427</v>
      </c>
      <c r="C238" s="335">
        <f t="shared" ref="C238:AH238" si="145">C217-C198</f>
        <v>0</v>
      </c>
      <c r="D238" s="335">
        <f t="shared" si="145"/>
        <v>791.49756690469803</v>
      </c>
      <c r="E238" s="335">
        <f t="shared" si="145"/>
        <v>443.67020370860155</v>
      </c>
      <c r="F238" s="335">
        <f t="shared" si="145"/>
        <v>1049.1113752431975</v>
      </c>
      <c r="G238" s="335">
        <f t="shared" si="145"/>
        <v>966.34818132492364</v>
      </c>
      <c r="H238" s="407">
        <f t="shared" si="145"/>
        <v>0</v>
      </c>
      <c r="I238" s="14">
        <f t="shared" si="145"/>
        <v>344.29784547991585</v>
      </c>
      <c r="J238" s="14">
        <f t="shared" si="145"/>
        <v>-68.376203332427394</v>
      </c>
      <c r="K238" s="14">
        <f t="shared" si="145"/>
        <v>-231.63504458496027</v>
      </c>
      <c r="L238" s="14">
        <f t="shared" si="145"/>
        <v>8.912422584298838</v>
      </c>
      <c r="M238" s="14">
        <f t="shared" si="145"/>
        <v>3.1945109360895003</v>
      </c>
      <c r="N238" s="188">
        <f t="shared" si="145"/>
        <v>0</v>
      </c>
      <c r="O238" s="14">
        <f t="shared" si="145"/>
        <v>-11.981485765476464</v>
      </c>
      <c r="P238" s="14">
        <f t="shared" si="145"/>
        <v>-63.572908304518933</v>
      </c>
      <c r="Q238" s="14">
        <f t="shared" si="145"/>
        <v>-53.495181143944137</v>
      </c>
      <c r="R238" s="14">
        <f t="shared" si="145"/>
        <v>59.175092463114197</v>
      </c>
      <c r="S238" s="14">
        <f t="shared" si="145"/>
        <v>82.885957617749227</v>
      </c>
      <c r="T238" s="14">
        <f t="shared" si="145"/>
        <v>50.292536571421806</v>
      </c>
      <c r="U238" s="14">
        <f t="shared" si="145"/>
        <v>-111.78698839924982</v>
      </c>
      <c r="V238" s="14">
        <f t="shared" si="145"/>
        <v>2.413629855358522</v>
      </c>
      <c r="W238" s="14">
        <f t="shared" si="145"/>
        <v>-91.143385671444776</v>
      </c>
      <c r="X238" s="188">
        <f t="shared" si="145"/>
        <v>-1.0656238977571775</v>
      </c>
      <c r="Y238" s="159">
        <f t="shared" si="145"/>
        <v>-84.818304653152154</v>
      </c>
      <c r="Z238" s="159">
        <f t="shared" si="145"/>
        <v>51.463137167014793</v>
      </c>
      <c r="AA238" s="159">
        <f t="shared" si="145"/>
        <v>110.0213395694027</v>
      </c>
      <c r="AB238" s="159">
        <f t="shared" si="145"/>
        <v>59.543417638104074</v>
      </c>
      <c r="AC238" s="159">
        <f t="shared" si="145"/>
        <v>142.3222553319174</v>
      </c>
      <c r="AD238" s="159">
        <f t="shared" si="145"/>
        <v>94.864227864043642</v>
      </c>
      <c r="AE238" s="159">
        <f t="shared" si="145"/>
        <v>97.122091842373266</v>
      </c>
      <c r="AF238" s="159">
        <f t="shared" si="145"/>
        <v>20.333406001838739</v>
      </c>
      <c r="AG238" s="159">
        <f t="shared" si="145"/>
        <v>22.1667681310646</v>
      </c>
      <c r="AH238" s="188">
        <f t="shared" si="145"/>
        <v>-1.0656238977571775</v>
      </c>
    </row>
    <row r="239" spans="1:34">
      <c r="A239" t="s">
        <v>428</v>
      </c>
      <c r="C239" s="335">
        <f t="shared" ref="C239:AH239" si="146">C218-C199</f>
        <v>0</v>
      </c>
      <c r="D239" s="335">
        <f t="shared" si="146"/>
        <v>712.34781021422896</v>
      </c>
      <c r="E239" s="335">
        <f t="shared" si="146"/>
        <v>399.30318333774085</v>
      </c>
      <c r="F239" s="335">
        <f t="shared" si="146"/>
        <v>944.20023771887645</v>
      </c>
      <c r="G239" s="335">
        <f t="shared" si="146"/>
        <v>869.71336319243164</v>
      </c>
      <c r="H239" s="407">
        <f t="shared" si="146"/>
        <v>0</v>
      </c>
      <c r="I239" s="14">
        <f t="shared" si="146"/>
        <v>309.86806093192536</v>
      </c>
      <c r="J239" s="14">
        <f t="shared" si="146"/>
        <v>-61.538582999184655</v>
      </c>
      <c r="K239" s="14">
        <f t="shared" si="146"/>
        <v>-208.47154012646388</v>
      </c>
      <c r="L239" s="14">
        <f t="shared" si="146"/>
        <v>8.0211803258680447</v>
      </c>
      <c r="M239" s="14">
        <f t="shared" si="146"/>
        <v>2.8750598424812779</v>
      </c>
      <c r="N239" s="188">
        <f t="shared" si="146"/>
        <v>0</v>
      </c>
      <c r="O239" s="14">
        <f t="shared" si="146"/>
        <v>-10.783337188928272</v>
      </c>
      <c r="P239" s="14">
        <f t="shared" si="146"/>
        <v>-57.215617474066676</v>
      </c>
      <c r="Q239" s="14">
        <f t="shared" si="146"/>
        <v>-48.145663029550633</v>
      </c>
      <c r="R239" s="14">
        <f t="shared" si="146"/>
        <v>53.257583216802232</v>
      </c>
      <c r="S239" s="14">
        <f t="shared" si="146"/>
        <v>74.597361855974668</v>
      </c>
      <c r="T239" s="14">
        <f t="shared" si="146"/>
        <v>45.263282914280353</v>
      </c>
      <c r="U239" s="14">
        <f t="shared" si="146"/>
        <v>-100.60828955932266</v>
      </c>
      <c r="V239" s="14">
        <f t="shared" si="146"/>
        <v>2.1722668698239431</v>
      </c>
      <c r="W239" s="14">
        <f t="shared" si="146"/>
        <v>-82.029047104299025</v>
      </c>
      <c r="X239" s="188">
        <f t="shared" si="146"/>
        <v>-0.95906150798145973</v>
      </c>
      <c r="Y239" s="159">
        <f t="shared" si="146"/>
        <v>-76.336474187835847</v>
      </c>
      <c r="Z239" s="159">
        <f t="shared" si="146"/>
        <v>46.316823450315496</v>
      </c>
      <c r="AA239" s="159">
        <f t="shared" si="146"/>
        <v>99.019205612463338</v>
      </c>
      <c r="AB239" s="159">
        <f t="shared" si="146"/>
        <v>53.589075874293485</v>
      </c>
      <c r="AC239" s="159">
        <f t="shared" si="146"/>
        <v>128.09002979872639</v>
      </c>
      <c r="AD239" s="159">
        <f t="shared" si="146"/>
        <v>85.377805077641824</v>
      </c>
      <c r="AE239" s="159">
        <f t="shared" si="146"/>
        <v>87.409882658135757</v>
      </c>
      <c r="AF239" s="159">
        <f t="shared" si="146"/>
        <v>18.300065401655957</v>
      </c>
      <c r="AG239" s="159">
        <f t="shared" si="146"/>
        <v>19.950091317959959</v>
      </c>
      <c r="AH239" s="188">
        <f t="shared" si="146"/>
        <v>-0.95906150798145973</v>
      </c>
    </row>
    <row r="240" spans="1:34">
      <c r="A240" t="s">
        <v>400</v>
      </c>
      <c r="C240" s="335">
        <f>C219-C200</f>
        <v>361.54909999999836</v>
      </c>
      <c r="D240" s="335">
        <f t="shared" ref="D240:AH240" si="147">D219-D200+D249+D252</f>
        <v>-797.93988941067619</v>
      </c>
      <c r="E240" s="335">
        <f t="shared" si="147"/>
        <v>-1033.7034251164678</v>
      </c>
      <c r="F240" s="335">
        <f t="shared" si="147"/>
        <v>-1961.2939163961109</v>
      </c>
      <c r="G240" s="335">
        <f t="shared" si="147"/>
        <v>-1915.6575359566286</v>
      </c>
      <c r="H240" s="407">
        <f t="shared" si="147"/>
        <v>-208.23589600000196</v>
      </c>
      <c r="I240" s="14">
        <f t="shared" si="147"/>
        <v>-877.88317271292362</v>
      </c>
      <c r="J240" s="14">
        <f t="shared" si="147"/>
        <v>-424.75959769819747</v>
      </c>
      <c r="K240" s="14">
        <f t="shared" si="147"/>
        <v>-294.97113952593099</v>
      </c>
      <c r="L240" s="14">
        <f t="shared" si="147"/>
        <v>-935.35668072568114</v>
      </c>
      <c r="M240" s="14">
        <f t="shared" si="147"/>
        <v>-1199.1867066770865</v>
      </c>
      <c r="N240" s="188">
        <f t="shared" si="147"/>
        <v>-1515.4249538999975</v>
      </c>
      <c r="O240" s="14">
        <f t="shared" si="147"/>
        <v>-1577.5988316722742</v>
      </c>
      <c r="P240" s="14">
        <f t="shared" si="147"/>
        <v>-1554.2531768049957</v>
      </c>
      <c r="Q240" s="14">
        <f t="shared" si="147"/>
        <v>-1695.7388231371715</v>
      </c>
      <c r="R240" s="14">
        <f t="shared" si="147"/>
        <v>-2020.6235706701518</v>
      </c>
      <c r="S240" s="14">
        <f t="shared" si="147"/>
        <v>-2241.2283903945045</v>
      </c>
      <c r="T240" s="14">
        <f t="shared" si="147"/>
        <v>-2323.7399198372568</v>
      </c>
      <c r="U240" s="14">
        <f t="shared" si="147"/>
        <v>-2172.3438250493055</v>
      </c>
      <c r="V240" s="14">
        <f t="shared" si="147"/>
        <v>-2545.9338876195434</v>
      </c>
      <c r="W240" s="14">
        <f t="shared" si="147"/>
        <v>-2520.7203283885665</v>
      </c>
      <c r="X240" s="188">
        <f t="shared" si="147"/>
        <v>-2848.3451721999954</v>
      </c>
      <c r="Y240" s="159">
        <f t="shared" si="147"/>
        <v>-2839.2955197960982</v>
      </c>
      <c r="Z240" s="159">
        <f t="shared" si="147"/>
        <v>-3258.8230131095734</v>
      </c>
      <c r="AA240" s="159">
        <f t="shared" si="147"/>
        <v>-3533.3948038834606</v>
      </c>
      <c r="AB240" s="159">
        <f t="shared" si="147"/>
        <v>-3604.1617932350091</v>
      </c>
      <c r="AC240" s="159">
        <f t="shared" si="147"/>
        <v>-3940.2219972591629</v>
      </c>
      <c r="AD240" s="159">
        <f t="shared" si="147"/>
        <v>-4013.4650233009015</v>
      </c>
      <c r="AE240" s="159">
        <f t="shared" si="147"/>
        <v>-4214.7600083030575</v>
      </c>
      <c r="AF240" s="159">
        <f t="shared" si="147"/>
        <v>-4254.9720871871505</v>
      </c>
      <c r="AG240" s="159">
        <f t="shared" si="147"/>
        <v>-4458.6851590652041</v>
      </c>
      <c r="AH240" s="188">
        <f t="shared" si="147"/>
        <v>-4599.6331887000069</v>
      </c>
    </row>
    <row r="241" spans="1:34">
      <c r="A241" t="s">
        <v>429</v>
      </c>
      <c r="C241" s="335">
        <f>C220-C201</f>
        <v>190.28899999999976</v>
      </c>
      <c r="D241" s="335">
        <f t="shared" ref="D241:AH241" si="148">D220-D201+D250+D253</f>
        <v>-419.96836284772417</v>
      </c>
      <c r="E241" s="335">
        <f t="shared" si="148"/>
        <v>-544.05443427182581</v>
      </c>
      <c r="F241" s="335">
        <f t="shared" si="148"/>
        <v>-1032.2599559979535</v>
      </c>
      <c r="G241" s="335">
        <f t="shared" si="148"/>
        <v>-1008.2408083982245</v>
      </c>
      <c r="H241" s="407">
        <f t="shared" si="148"/>
        <v>-109.59784000000127</v>
      </c>
      <c r="I241" s="14">
        <f t="shared" si="148"/>
        <v>-462.0437751120644</v>
      </c>
      <c r="J241" s="14">
        <f t="shared" si="148"/>
        <v>-223.55768299905139</v>
      </c>
      <c r="K241" s="14">
        <f t="shared" si="148"/>
        <v>-155.24796817154311</v>
      </c>
      <c r="L241" s="14">
        <f t="shared" si="148"/>
        <v>-492.29298985562127</v>
      </c>
      <c r="M241" s="14">
        <f t="shared" si="148"/>
        <v>-631.15089825109862</v>
      </c>
      <c r="N241" s="188">
        <f t="shared" si="148"/>
        <v>-797.59208099999887</v>
      </c>
      <c r="O241" s="14">
        <f t="shared" si="148"/>
        <v>-830.3151745643554</v>
      </c>
      <c r="P241" s="14">
        <f t="shared" si="148"/>
        <v>-818.02798779210389</v>
      </c>
      <c r="Q241" s="14">
        <f t="shared" si="148"/>
        <v>-892.49411744061672</v>
      </c>
      <c r="R241" s="14">
        <f t="shared" si="148"/>
        <v>-1063.486089826396</v>
      </c>
      <c r="S241" s="14">
        <f t="shared" si="148"/>
        <v>-1179.5938896813177</v>
      </c>
      <c r="T241" s="14">
        <f t="shared" si="148"/>
        <v>-1223.0210104406615</v>
      </c>
      <c r="U241" s="14">
        <f t="shared" si="148"/>
        <v>-1143.3388552891083</v>
      </c>
      <c r="V241" s="14">
        <f t="shared" si="148"/>
        <v>-1339.9652040102856</v>
      </c>
      <c r="W241" s="14">
        <f t="shared" si="148"/>
        <v>-1326.6949096781918</v>
      </c>
      <c r="X241" s="188">
        <f t="shared" si="148"/>
        <v>-1499.1290379999982</v>
      </c>
      <c r="Y241" s="159">
        <f t="shared" si="148"/>
        <v>-1494.3660630505774</v>
      </c>
      <c r="Z241" s="159">
        <f t="shared" si="148"/>
        <v>-1715.1700068997761</v>
      </c>
      <c r="AA241" s="159">
        <f t="shared" si="148"/>
        <v>-1859.6814757281372</v>
      </c>
      <c r="AB241" s="159">
        <f t="shared" si="148"/>
        <v>-1896.9272595973734</v>
      </c>
      <c r="AC241" s="159">
        <f t="shared" si="148"/>
        <v>-2073.8010511890334</v>
      </c>
      <c r="AD241" s="159">
        <f t="shared" si="148"/>
        <v>-2112.3500122636315</v>
      </c>
      <c r="AE241" s="159">
        <f t="shared" si="148"/>
        <v>-2218.2947412121348</v>
      </c>
      <c r="AF241" s="159">
        <f t="shared" si="148"/>
        <v>-2239.4589932563949</v>
      </c>
      <c r="AG241" s="159">
        <f t="shared" si="148"/>
        <v>-2346.6763995080019</v>
      </c>
      <c r="AH241" s="188">
        <f t="shared" si="148"/>
        <v>-2420.8595730000034</v>
      </c>
    </row>
    <row r="242" spans="1:34">
      <c r="A242" t="s">
        <v>430</v>
      </c>
      <c r="C242" s="335">
        <f>C221-C202</f>
        <v>171.26009999999951</v>
      </c>
      <c r="D242" s="335">
        <f t="shared" ref="D242:AH242" si="149">D221-D202+D251+D254</f>
        <v>-377.97152656295111</v>
      </c>
      <c r="E242" s="335">
        <f t="shared" si="149"/>
        <v>-489.64899084464287</v>
      </c>
      <c r="F242" s="335">
        <f t="shared" si="149"/>
        <v>-929.03396039815743</v>
      </c>
      <c r="G242" s="335">
        <f t="shared" si="149"/>
        <v>-907.41672755840318</v>
      </c>
      <c r="H242" s="407">
        <f t="shared" si="149"/>
        <v>-98.638056000001598</v>
      </c>
      <c r="I242" s="14">
        <f t="shared" si="149"/>
        <v>-415.83939760085832</v>
      </c>
      <c r="J242" s="14">
        <f t="shared" si="149"/>
        <v>-201.20191469914607</v>
      </c>
      <c r="K242" s="14">
        <f t="shared" si="149"/>
        <v>-139.7231713543888</v>
      </c>
      <c r="L242" s="14">
        <f t="shared" si="149"/>
        <v>-443.06369087005896</v>
      </c>
      <c r="M242" s="14">
        <f t="shared" si="149"/>
        <v>-568.03580842598876</v>
      </c>
      <c r="N242" s="188">
        <f t="shared" si="149"/>
        <v>-717.83287289999771</v>
      </c>
      <c r="O242" s="14">
        <f t="shared" si="149"/>
        <v>-747.28365710791968</v>
      </c>
      <c r="P242" s="14">
        <f t="shared" si="149"/>
        <v>-736.22518901289277</v>
      </c>
      <c r="Q242" s="14">
        <f t="shared" si="149"/>
        <v>-803.24470569655386</v>
      </c>
      <c r="R242" s="14">
        <f t="shared" si="149"/>
        <v>-957.13748084375584</v>
      </c>
      <c r="S242" s="14">
        <f t="shared" si="149"/>
        <v>-1061.6345007131858</v>
      </c>
      <c r="T242" s="14">
        <f t="shared" si="149"/>
        <v>-1100.7189093965953</v>
      </c>
      <c r="U242" s="14">
        <f t="shared" si="149"/>
        <v>-1029.0049697601971</v>
      </c>
      <c r="V242" s="14">
        <f t="shared" si="149"/>
        <v>-1205.9686836092578</v>
      </c>
      <c r="W242" s="14">
        <f t="shared" si="149"/>
        <v>-1194.0254187103737</v>
      </c>
      <c r="X242" s="188">
        <f t="shared" si="149"/>
        <v>-1349.2161341999981</v>
      </c>
      <c r="Y242" s="159">
        <f t="shared" si="149"/>
        <v>-1344.9294567455199</v>
      </c>
      <c r="Z242" s="159">
        <f t="shared" si="149"/>
        <v>-1543.6530062097972</v>
      </c>
      <c r="AA242" s="159">
        <f t="shared" si="149"/>
        <v>-1673.7133281553242</v>
      </c>
      <c r="AB242" s="159">
        <f t="shared" si="149"/>
        <v>-1707.2345336376356</v>
      </c>
      <c r="AC242" s="159">
        <f t="shared" si="149"/>
        <v>-1866.4209460701304</v>
      </c>
      <c r="AD242" s="159">
        <f t="shared" si="149"/>
        <v>-1901.1150110372682</v>
      </c>
      <c r="AE242" s="159">
        <f t="shared" si="149"/>
        <v>-1996.4652670909218</v>
      </c>
      <c r="AF242" s="159">
        <f t="shared" si="149"/>
        <v>-2015.5130939307555</v>
      </c>
      <c r="AG242" s="159">
        <f t="shared" si="149"/>
        <v>-2112.0087595572013</v>
      </c>
      <c r="AH242" s="188">
        <f t="shared" si="149"/>
        <v>-2178.7736157000036</v>
      </c>
    </row>
    <row r="243" spans="1:34" s="1" customFormat="1">
      <c r="A243" s="1" t="s">
        <v>411</v>
      </c>
      <c r="B243" s="13"/>
      <c r="C243" s="345">
        <f>C222-C203</f>
        <v>361.54909729999417</v>
      </c>
      <c r="D243" s="345">
        <f t="shared" ref="D243:AH243" si="150">D222-D203+D249+D252</f>
        <v>847.0624910930128</v>
      </c>
      <c r="E243" s="345">
        <f t="shared" si="150"/>
        <v>223.17515919441212</v>
      </c>
      <c r="F243" s="345">
        <f t="shared" si="150"/>
        <v>501.19403654271446</v>
      </c>
      <c r="G243" s="345">
        <f t="shared" si="150"/>
        <v>455.41865337382478</v>
      </c>
      <c r="H243" s="410">
        <f t="shared" si="150"/>
        <v>-208.23589869999705</v>
      </c>
      <c r="I243" s="15">
        <f t="shared" si="150"/>
        <v>-26.072537218999059</v>
      </c>
      <c r="J243" s="15">
        <f t="shared" si="150"/>
        <v>-159.91803079061356</v>
      </c>
      <c r="K243" s="15">
        <f t="shared" si="150"/>
        <v>-119.60696579547221</v>
      </c>
      <c r="L243" s="15">
        <f t="shared" si="150"/>
        <v>281.89310857502278</v>
      </c>
      <c r="M243" s="15">
        <f t="shared" si="150"/>
        <v>557.69758899635053</v>
      </c>
      <c r="N243" s="191">
        <f t="shared" si="150"/>
        <v>881.55818690366141</v>
      </c>
      <c r="O243" s="15">
        <f t="shared" si="150"/>
        <v>919.24855627158104</v>
      </c>
      <c r="P243" s="15">
        <f t="shared" si="150"/>
        <v>912.76729381464975</v>
      </c>
      <c r="Q243" s="15">
        <f t="shared" si="150"/>
        <v>999.31105372621096</v>
      </c>
      <c r="R243" s="15">
        <f t="shared" si="150"/>
        <v>1164.5581736236491</v>
      </c>
      <c r="S243" s="15">
        <f t="shared" si="150"/>
        <v>1305.3012876303546</v>
      </c>
      <c r="T243" s="15">
        <f t="shared" si="150"/>
        <v>1364.1886652804751</v>
      </c>
      <c r="U243" s="15">
        <f t="shared" si="150"/>
        <v>1318.6451520112678</v>
      </c>
      <c r="V243" s="15">
        <f t="shared" si="150"/>
        <v>1514.7188898880049</v>
      </c>
      <c r="W243" s="15">
        <f t="shared" si="150"/>
        <v>1522.3467206008281</v>
      </c>
      <c r="X243" s="191">
        <f t="shared" si="150"/>
        <v>1691.5691072771588</v>
      </c>
      <c r="Y243" s="131">
        <f t="shared" si="150"/>
        <v>1700.0346138281311</v>
      </c>
      <c r="Z243" s="131">
        <f t="shared" si="150"/>
        <v>1913.9487545036391</v>
      </c>
      <c r="AA243" s="131">
        <f t="shared" si="150"/>
        <v>2061.1832720859311</v>
      </c>
      <c r="AB243" s="131">
        <f t="shared" si="150"/>
        <v>2113.8593674424483</v>
      </c>
      <c r="AC243" s="131">
        <f t="shared" si="150"/>
        <v>2295.5359431105462</v>
      </c>
      <c r="AD243" s="131">
        <f t="shared" si="150"/>
        <v>2347.5713826090359</v>
      </c>
      <c r="AE243" s="131">
        <f t="shared" si="150"/>
        <v>2473.2645991178797</v>
      </c>
      <c r="AF243" s="131">
        <f t="shared" si="150"/>
        <v>2518.73001553004</v>
      </c>
      <c r="AG243" s="131">
        <f t="shared" si="150"/>
        <v>2645.4403206664429</v>
      </c>
      <c r="AH243" s="191">
        <f t="shared" si="150"/>
        <v>2492.4383596071566</v>
      </c>
    </row>
    <row r="244" spans="1:34">
      <c r="A244" t="s">
        <v>451</v>
      </c>
      <c r="C244" s="335"/>
      <c r="D244" s="335">
        <f>D231+D234</f>
        <v>141.15700338475835</v>
      </c>
      <c r="E244" s="335">
        <f t="shared" ref="E244:N244" si="151">E231+E234</f>
        <v>413.90519726453385</v>
      </c>
      <c r="F244" s="335">
        <f t="shared" si="151"/>
        <v>469.17633997674989</v>
      </c>
      <c r="G244" s="335">
        <f t="shared" si="151"/>
        <v>535.01464481309995</v>
      </c>
      <c r="H244" s="407">
        <f t="shared" si="151"/>
        <v>-2.7000000955013093E-6</v>
      </c>
      <c r="I244" s="14">
        <f t="shared" si="151"/>
        <v>197.64472908207972</v>
      </c>
      <c r="J244" s="14">
        <f t="shared" si="151"/>
        <v>394.75635323919732</v>
      </c>
      <c r="K244" s="14">
        <f t="shared" si="151"/>
        <v>615.47075844188021</v>
      </c>
      <c r="L244" s="14">
        <f t="shared" si="151"/>
        <v>1200.316186390537</v>
      </c>
      <c r="M244" s="14">
        <f t="shared" si="151"/>
        <v>1750.8147248948626</v>
      </c>
      <c r="N244" s="188">
        <f t="shared" si="151"/>
        <v>2396.9831408036575</v>
      </c>
      <c r="O244" s="14">
        <f>O231+O234</f>
        <v>2519.6122108982663</v>
      </c>
      <c r="P244" s="14">
        <f t="shared" ref="P244:AH244" si="152">P231+P234</f>
        <v>2587.8089963982325</v>
      </c>
      <c r="Q244" s="14">
        <f t="shared" si="152"/>
        <v>2796.6907210368781</v>
      </c>
      <c r="R244" s="14">
        <f t="shared" si="152"/>
        <v>3072.7490686138858</v>
      </c>
      <c r="S244" s="14">
        <f t="shared" si="152"/>
        <v>3389.0463585511338</v>
      </c>
      <c r="T244" s="14">
        <f t="shared" si="152"/>
        <v>3592.3727656320302</v>
      </c>
      <c r="U244" s="14">
        <f t="shared" si="152"/>
        <v>3703.3842550191512</v>
      </c>
      <c r="V244" s="14">
        <f t="shared" si="152"/>
        <v>4056.0668807823595</v>
      </c>
      <c r="W244" s="14">
        <f t="shared" si="152"/>
        <v>4216.2394817651357</v>
      </c>
      <c r="X244" s="188">
        <f t="shared" si="152"/>
        <v>4541.9389648828846</v>
      </c>
      <c r="Y244" s="159">
        <f t="shared" si="152"/>
        <v>4700.4849124652155</v>
      </c>
      <c r="Z244" s="159">
        <f t="shared" si="152"/>
        <v>5074.9918069958776</v>
      </c>
      <c r="AA244" s="159">
        <f t="shared" si="152"/>
        <v>5385.5375307875229</v>
      </c>
      <c r="AB244" s="159">
        <f t="shared" si="152"/>
        <v>5604.8886671650644</v>
      </c>
      <c r="AC244" s="159">
        <f t="shared" si="152"/>
        <v>5965.3456552390617</v>
      </c>
      <c r="AD244" s="159">
        <f t="shared" si="152"/>
        <v>6180.794372968252</v>
      </c>
      <c r="AE244" s="159">
        <f t="shared" si="152"/>
        <v>6503.4926329204218</v>
      </c>
      <c r="AF244" s="159">
        <f t="shared" si="152"/>
        <v>6735.0686313136866</v>
      </c>
      <c r="AG244" s="159">
        <f t="shared" si="152"/>
        <v>7062.0086202826224</v>
      </c>
      <c r="AH244" s="188">
        <f t="shared" si="152"/>
        <v>7094.0962337129058</v>
      </c>
    </row>
    <row r="245" spans="1:34">
      <c r="A245" t="s">
        <v>452</v>
      </c>
      <c r="D245" s="335">
        <f>D231+D234+D237</f>
        <v>1645.0023805036853</v>
      </c>
      <c r="E245" s="335">
        <f t="shared" ref="E245:N245" si="153">E231+E234+E237</f>
        <v>1256.8785843108799</v>
      </c>
      <c r="F245" s="335">
        <f t="shared" si="153"/>
        <v>2462.4879529388254</v>
      </c>
      <c r="G245" s="335">
        <f t="shared" si="153"/>
        <v>2371.0761893304571</v>
      </c>
      <c r="H245" s="407">
        <f t="shared" si="153"/>
        <v>-2.7000000955013093E-6</v>
      </c>
      <c r="I245" s="14">
        <f t="shared" si="153"/>
        <v>851.81063549392275</v>
      </c>
      <c r="J245" s="14">
        <f t="shared" si="153"/>
        <v>264.84156690758346</v>
      </c>
      <c r="K245" s="14">
        <f t="shared" si="153"/>
        <v>175.36417373045788</v>
      </c>
      <c r="L245" s="14">
        <f t="shared" si="153"/>
        <v>1217.2497893007057</v>
      </c>
      <c r="M245" s="14">
        <f t="shared" si="153"/>
        <v>1756.8842956734334</v>
      </c>
      <c r="N245" s="188">
        <f t="shared" si="153"/>
        <v>2396.9831408036575</v>
      </c>
      <c r="O245" s="14">
        <f>O231+O234+O237</f>
        <v>2496.8473879438598</v>
      </c>
      <c r="P245" s="14">
        <f t="shared" ref="P245:AH245" si="154">P231+P234+P237</f>
        <v>2467.0204706196469</v>
      </c>
      <c r="Q245" s="14">
        <f t="shared" si="154"/>
        <v>2695.0498768633815</v>
      </c>
      <c r="R245" s="14">
        <f t="shared" si="154"/>
        <v>3185.1817442938059</v>
      </c>
      <c r="S245" s="14">
        <f t="shared" si="154"/>
        <v>3546.5296780248595</v>
      </c>
      <c r="T245" s="14">
        <f t="shared" si="154"/>
        <v>3687.9285851177306</v>
      </c>
      <c r="U245" s="14">
        <f t="shared" si="154"/>
        <v>3490.9889770605769</v>
      </c>
      <c r="V245" s="14">
        <f t="shared" si="154"/>
        <v>4060.6527775075438</v>
      </c>
      <c r="W245" s="14">
        <f t="shared" si="154"/>
        <v>4043.0670489893919</v>
      </c>
      <c r="X245" s="188">
        <f t="shared" si="154"/>
        <v>4539.9142794771442</v>
      </c>
      <c r="Y245" s="159">
        <f t="shared" si="154"/>
        <v>4539.3301336242275</v>
      </c>
      <c r="Z245" s="159">
        <f t="shared" si="154"/>
        <v>5172.7717676132061</v>
      </c>
      <c r="AA245" s="159">
        <f t="shared" si="154"/>
        <v>5594.5780759693889</v>
      </c>
      <c r="AB245" s="159">
        <f t="shared" si="154"/>
        <v>5718.0211606774637</v>
      </c>
      <c r="AC245" s="159">
        <f t="shared" si="154"/>
        <v>6235.7579403697073</v>
      </c>
      <c r="AD245" s="159">
        <f t="shared" si="154"/>
        <v>6361.0364059099375</v>
      </c>
      <c r="AE245" s="159">
        <f t="shared" si="154"/>
        <v>6688.0246074209326</v>
      </c>
      <c r="AF245" s="159">
        <f t="shared" si="154"/>
        <v>6773.7021027171832</v>
      </c>
      <c r="AG245" s="159">
        <f t="shared" si="154"/>
        <v>7104.1254797316451</v>
      </c>
      <c r="AH245" s="188">
        <f t="shared" si="154"/>
        <v>7092.0715483071654</v>
      </c>
    </row>
    <row r="246" spans="1:34" s="1" customFormat="1">
      <c r="A246" s="1" t="s">
        <v>455</v>
      </c>
      <c r="B246" s="13"/>
      <c r="C246" s="332"/>
      <c r="D246" s="345">
        <f>D243</f>
        <v>847.0624910930128</v>
      </c>
      <c r="E246" s="345">
        <f>D246+E243</f>
        <v>1070.2376502874249</v>
      </c>
      <c r="F246" s="345">
        <f>E246+F243</f>
        <v>1571.4316868301394</v>
      </c>
      <c r="G246" s="345">
        <f>F246+G243</f>
        <v>2026.8503402039642</v>
      </c>
      <c r="H246" s="410"/>
      <c r="I246" s="15">
        <f t="shared" ref="I246:X246" si="155">H246+I243</f>
        <v>-26.072537218999059</v>
      </c>
      <c r="J246" s="15">
        <f t="shared" si="155"/>
        <v>-185.99056800961262</v>
      </c>
      <c r="K246" s="15">
        <f t="shared" si="155"/>
        <v>-305.59753380508482</v>
      </c>
      <c r="L246" s="15">
        <f t="shared" si="155"/>
        <v>-23.704425230062043</v>
      </c>
      <c r="M246" s="15">
        <f t="shared" si="155"/>
        <v>533.99316376628849</v>
      </c>
      <c r="N246" s="191">
        <f t="shared" si="155"/>
        <v>1415.5513506699499</v>
      </c>
      <c r="O246" s="15">
        <f t="shared" si="155"/>
        <v>2334.7999069415309</v>
      </c>
      <c r="P246" s="15">
        <f t="shared" si="155"/>
        <v>3247.5672007561807</v>
      </c>
      <c r="Q246" s="15">
        <f t="shared" si="155"/>
        <v>4246.8782544823916</v>
      </c>
      <c r="R246" s="15">
        <f t="shared" si="155"/>
        <v>5411.4364281060407</v>
      </c>
      <c r="S246" s="15">
        <f t="shared" si="155"/>
        <v>6716.7377157363953</v>
      </c>
      <c r="T246" s="15">
        <f t="shared" si="155"/>
        <v>8080.9263810168704</v>
      </c>
      <c r="U246" s="15">
        <f t="shared" si="155"/>
        <v>9399.5715330281382</v>
      </c>
      <c r="V246" s="15">
        <f t="shared" si="155"/>
        <v>10914.290422916143</v>
      </c>
      <c r="W246" s="15">
        <f t="shared" si="155"/>
        <v>12436.637143516971</v>
      </c>
      <c r="X246" s="191">
        <f t="shared" si="155"/>
        <v>14128.20625079413</v>
      </c>
      <c r="Y246" s="131">
        <f t="shared" ref="Y246:AH246" si="156">X246+Y243</f>
        <v>15828.240864622261</v>
      </c>
      <c r="Z246" s="131">
        <f t="shared" si="156"/>
        <v>17742.1896191259</v>
      </c>
      <c r="AA246" s="131">
        <f t="shared" si="156"/>
        <v>19803.372891211831</v>
      </c>
      <c r="AB246" s="131">
        <f t="shared" si="156"/>
        <v>21917.23225865428</v>
      </c>
      <c r="AC246" s="131">
        <f t="shared" si="156"/>
        <v>24212.768201764826</v>
      </c>
      <c r="AD246" s="131">
        <f t="shared" si="156"/>
        <v>26560.339584373862</v>
      </c>
      <c r="AE246" s="131">
        <f t="shared" si="156"/>
        <v>29033.604183491741</v>
      </c>
      <c r="AF246" s="131">
        <f t="shared" si="156"/>
        <v>31552.334199021781</v>
      </c>
      <c r="AG246" s="131">
        <f t="shared" si="156"/>
        <v>34197.774519688224</v>
      </c>
      <c r="AH246" s="191">
        <f t="shared" si="156"/>
        <v>36690.212879295381</v>
      </c>
    </row>
    <row r="247" spans="1:34">
      <c r="A247" t="s">
        <v>464</v>
      </c>
      <c r="D247" s="347" t="b">
        <f t="shared" ref="D247:AH247" si="157">IF(D185-D246&lt;1,TRUE,FALSE)</f>
        <v>1</v>
      </c>
      <c r="E247" s="347" t="b">
        <f t="shared" si="157"/>
        <v>1</v>
      </c>
      <c r="F247" s="347" t="b">
        <f t="shared" si="157"/>
        <v>1</v>
      </c>
      <c r="G247" s="347" t="b">
        <f t="shared" si="157"/>
        <v>1</v>
      </c>
      <c r="H247" s="413"/>
      <c r="I247" s="134" t="b">
        <f t="shared" si="157"/>
        <v>1</v>
      </c>
      <c r="J247" s="134" t="b">
        <f t="shared" si="157"/>
        <v>1</v>
      </c>
      <c r="K247" s="134" t="b">
        <f t="shared" si="157"/>
        <v>1</v>
      </c>
      <c r="L247" s="134" t="b">
        <f t="shared" si="157"/>
        <v>1</v>
      </c>
      <c r="M247" s="134" t="b">
        <f t="shared" si="157"/>
        <v>1</v>
      </c>
      <c r="N247" s="195" t="b">
        <f t="shared" si="157"/>
        <v>1</v>
      </c>
      <c r="O247" s="134" t="b">
        <f t="shared" si="157"/>
        <v>1</v>
      </c>
      <c r="P247" s="134" t="b">
        <f t="shared" si="157"/>
        <v>1</v>
      </c>
      <c r="Q247" s="134" t="b">
        <f t="shared" si="157"/>
        <v>1</v>
      </c>
      <c r="R247" s="134" t="b">
        <f t="shared" si="157"/>
        <v>1</v>
      </c>
      <c r="S247" s="134" t="b">
        <f t="shared" si="157"/>
        <v>1</v>
      </c>
      <c r="T247" s="134" t="b">
        <f t="shared" si="157"/>
        <v>1</v>
      </c>
      <c r="U247" s="134" t="b">
        <f t="shared" si="157"/>
        <v>1</v>
      </c>
      <c r="V247" s="134" t="b">
        <f t="shared" si="157"/>
        <v>1</v>
      </c>
      <c r="W247" s="134" t="b">
        <f t="shared" si="157"/>
        <v>1</v>
      </c>
      <c r="X247" s="195" t="b">
        <f t="shared" si="157"/>
        <v>1</v>
      </c>
      <c r="Y247" s="291" t="b">
        <f t="shared" si="157"/>
        <v>1</v>
      </c>
      <c r="Z247" s="291" t="b">
        <f t="shared" si="157"/>
        <v>1</v>
      </c>
      <c r="AA247" s="291" t="b">
        <f t="shared" si="157"/>
        <v>1</v>
      </c>
      <c r="AB247" s="291" t="b">
        <f t="shared" si="157"/>
        <v>1</v>
      </c>
      <c r="AC247" s="291" t="b">
        <f t="shared" si="157"/>
        <v>1</v>
      </c>
      <c r="AD247" s="291" t="b">
        <f t="shared" si="157"/>
        <v>1</v>
      </c>
      <c r="AE247" s="291" t="b">
        <f t="shared" si="157"/>
        <v>1</v>
      </c>
      <c r="AF247" s="291" t="b">
        <f t="shared" si="157"/>
        <v>1</v>
      </c>
      <c r="AG247" s="291" t="b">
        <f t="shared" si="157"/>
        <v>1</v>
      </c>
      <c r="AH247" s="195" t="b">
        <f t="shared" si="157"/>
        <v>1</v>
      </c>
    </row>
    <row r="248" spans="1:34">
      <c r="A248" t="s">
        <v>445</v>
      </c>
    </row>
    <row r="249" spans="1:34" s="1" customFormat="1">
      <c r="A249" s="1" t="s">
        <v>446</v>
      </c>
      <c r="B249" s="13"/>
      <c r="C249" s="332"/>
      <c r="D249" s="345">
        <f>D$29*(EIA_electricity_aeo2014!F$60) * Inputs!$M$60</f>
        <v>0</v>
      </c>
      <c r="E249" s="345">
        <f>E$29*(EIA_electricity_aeo2014!G$60) * Inputs!$M$60</f>
        <v>0</v>
      </c>
      <c r="F249" s="345">
        <f>F$29*(EIA_electricity_aeo2014!H$60) * Inputs!$M$60</f>
        <v>0</v>
      </c>
      <c r="G249" s="345">
        <f>G$29*(EIA_electricity_aeo2014!I$60) * Inputs!$M$60</f>
        <v>0</v>
      </c>
      <c r="H249" s="410">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1">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1">
        <f>X$29*(EIA_electricity_aeo2014!Z$60) * Inputs!$M$60</f>
        <v>0</v>
      </c>
      <c r="Y249" s="131">
        <f>Y$29*(EIA_electricity_aeo2014!AA$60) * Inputs!$M$60</f>
        <v>0</v>
      </c>
      <c r="Z249" s="131">
        <f>Z$29*(EIA_electricity_aeo2014!AB$60) * Inputs!$M$60</f>
        <v>0</v>
      </c>
      <c r="AA249" s="131">
        <f>AA$29*(EIA_electricity_aeo2014!AC$60) * Inputs!$M$60</f>
        <v>0</v>
      </c>
      <c r="AB249" s="131">
        <f>AB$29*(EIA_electricity_aeo2014!AD$60) * Inputs!$M$60</f>
        <v>0</v>
      </c>
      <c r="AC249" s="131">
        <f>AC$29*(EIA_electricity_aeo2014!AE$60) * Inputs!$M$60</f>
        <v>0</v>
      </c>
      <c r="AD249" s="131">
        <f>AD$29*(EIA_electricity_aeo2014!AF$60) * Inputs!$M$60</f>
        <v>0</v>
      </c>
      <c r="AE249" s="131">
        <f>AE$29*(EIA_electricity_aeo2014!AG$60) * Inputs!$M$60</f>
        <v>0</v>
      </c>
      <c r="AF249" s="131">
        <f>AF$29*(EIA_electricity_aeo2014!AH$60) * Inputs!$M$60</f>
        <v>0</v>
      </c>
      <c r="AG249" s="131">
        <f>AG$29*(EIA_electricity_aeo2014!AI$60) * Inputs!$M$60</f>
        <v>0</v>
      </c>
      <c r="AH249" s="191">
        <f>AH$29*(EIA_electricity_aeo2014!AJ$60) * Inputs!$M$60</f>
        <v>0</v>
      </c>
    </row>
    <row r="250" spans="1:34">
      <c r="A250" t="s">
        <v>448</v>
      </c>
      <c r="D250" s="335">
        <f>D$29*(EIA_electricity_aeo2014!F$60) * Inputs!$C$60</f>
        <v>0</v>
      </c>
      <c r="E250" s="335">
        <f>E$29*(EIA_electricity_aeo2014!G$60) * Inputs!$C$60</f>
        <v>0</v>
      </c>
      <c r="F250" s="335">
        <f>F$29*(EIA_electricity_aeo2014!H$60) * Inputs!$C$60</f>
        <v>0</v>
      </c>
      <c r="G250" s="335">
        <f>G$29*(EIA_electricity_aeo2014!I$60) * Inputs!$C$60</f>
        <v>0</v>
      </c>
      <c r="H250" s="407">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8">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1">
        <f>X$29*(EIA_electricity_aeo2014!Z$60) * Inputs!$M$60</f>
        <v>0</v>
      </c>
      <c r="Y250" s="131">
        <f>Y$29*(EIA_electricity_aeo2014!AA$60) * Inputs!$M$60</f>
        <v>0</v>
      </c>
      <c r="Z250" s="131">
        <f>Z$29*(EIA_electricity_aeo2014!AB$60) * Inputs!$M$60</f>
        <v>0</v>
      </c>
      <c r="AA250" s="131">
        <f>AA$29*(EIA_electricity_aeo2014!AC$60) * Inputs!$M$60</f>
        <v>0</v>
      </c>
      <c r="AB250" s="131">
        <f>AB$29*(EIA_electricity_aeo2014!AD$60) * Inputs!$M$60</f>
        <v>0</v>
      </c>
      <c r="AC250" s="131">
        <f>AC$29*(EIA_electricity_aeo2014!AE$60) * Inputs!$M$60</f>
        <v>0</v>
      </c>
      <c r="AD250" s="131">
        <f>AD$29*(EIA_electricity_aeo2014!AF$60) * Inputs!$M$60</f>
        <v>0</v>
      </c>
      <c r="AE250" s="131">
        <f>AE$29*(EIA_electricity_aeo2014!AG$60) * Inputs!$M$60</f>
        <v>0</v>
      </c>
      <c r="AF250" s="131">
        <f>AF$29*(EIA_electricity_aeo2014!AH$60) * Inputs!$M$60</f>
        <v>0</v>
      </c>
      <c r="AG250" s="131">
        <f>AG$29*(EIA_electricity_aeo2014!AI$60) * Inputs!$M$60</f>
        <v>0</v>
      </c>
      <c r="AH250" s="191">
        <f>AH$29*(EIA_electricity_aeo2014!AJ$60) * Inputs!$M$60</f>
        <v>0</v>
      </c>
    </row>
    <row r="251" spans="1:34">
      <c r="A251" t="s">
        <v>449</v>
      </c>
      <c r="D251" s="335">
        <f>D250*Inputs!$H$60</f>
        <v>0</v>
      </c>
      <c r="E251" s="335">
        <f>E250*Inputs!$H$60</f>
        <v>0</v>
      </c>
      <c r="F251" s="335">
        <f>F250*Inputs!$H$60</f>
        <v>0</v>
      </c>
      <c r="G251" s="335">
        <f>G250*Inputs!$H$60</f>
        <v>0</v>
      </c>
      <c r="H251" s="407">
        <f>H250*Inputs!$H$60</f>
        <v>0</v>
      </c>
      <c r="I251" s="14">
        <f>I250*Inputs!$H$60</f>
        <v>0</v>
      </c>
      <c r="J251" s="14">
        <f>J250*Inputs!$H$60</f>
        <v>0</v>
      </c>
      <c r="K251" s="14">
        <f>K250*Inputs!$H$60</f>
        <v>0</v>
      </c>
      <c r="L251" s="14">
        <f>L250*Inputs!$H$60</f>
        <v>0</v>
      </c>
      <c r="M251" s="14">
        <f>M250*Inputs!$H$60</f>
        <v>0</v>
      </c>
      <c r="N251" s="188">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1">
        <f>X$29*(EIA_electricity_aeo2014!Z$60) * Inputs!$M$60</f>
        <v>0</v>
      </c>
      <c r="Y251" s="131">
        <f>Y$29*(EIA_electricity_aeo2014!AA$60) * Inputs!$M$60</f>
        <v>0</v>
      </c>
      <c r="Z251" s="131">
        <f>Z$29*(EIA_electricity_aeo2014!AB$60) * Inputs!$M$60</f>
        <v>0</v>
      </c>
      <c r="AA251" s="131">
        <f>AA$29*(EIA_electricity_aeo2014!AC$60) * Inputs!$M$60</f>
        <v>0</v>
      </c>
      <c r="AB251" s="131">
        <f>AB$29*(EIA_electricity_aeo2014!AD$60) * Inputs!$M$60</f>
        <v>0</v>
      </c>
      <c r="AC251" s="131">
        <f>AC$29*(EIA_electricity_aeo2014!AE$60) * Inputs!$M$60</f>
        <v>0</v>
      </c>
      <c r="AD251" s="131">
        <f>AD$29*(EIA_electricity_aeo2014!AF$60) * Inputs!$M$60</f>
        <v>0</v>
      </c>
      <c r="AE251" s="131">
        <f>AE$29*(EIA_electricity_aeo2014!AG$60) * Inputs!$M$60</f>
        <v>0</v>
      </c>
      <c r="AF251" s="131">
        <f>AF$29*(EIA_electricity_aeo2014!AH$60) * Inputs!$M$60</f>
        <v>0</v>
      </c>
      <c r="AG251" s="131">
        <f>AG$29*(EIA_electricity_aeo2014!AI$60) * Inputs!$M$60</f>
        <v>0</v>
      </c>
      <c r="AH251" s="191">
        <f>AH$29*(EIA_electricity_aeo2014!AJ$60) * Inputs!$M$60</f>
        <v>0</v>
      </c>
    </row>
    <row r="252" spans="1:34" s="1" customFormat="1">
      <c r="A252" s="1" t="s">
        <v>447</v>
      </c>
      <c r="B252" s="13"/>
      <c r="C252" s="332"/>
      <c r="D252" s="345">
        <f>D$29*(1-EIA_electricity_aeo2014!F$60) * Inputs!$M$61</f>
        <v>0</v>
      </c>
      <c r="E252" s="345">
        <f>E$29*(1-EIA_electricity_aeo2014!G$60) * Inputs!$M$61</f>
        <v>0</v>
      </c>
      <c r="F252" s="345">
        <f>F$29*(1-EIA_electricity_aeo2014!H$60) * Inputs!$M$61</f>
        <v>0</v>
      </c>
      <c r="G252" s="345">
        <f>G$29*(1-EIA_electricity_aeo2014!I$60) * Inputs!$M$61</f>
        <v>0</v>
      </c>
      <c r="H252" s="410">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1">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1">
        <f>X$29*(EIA_electricity_aeo2014!Z$60) * Inputs!$M$60</f>
        <v>0</v>
      </c>
      <c r="Y252" s="131">
        <f>Y$29*(EIA_electricity_aeo2014!AA$60) * Inputs!$M$60</f>
        <v>0</v>
      </c>
      <c r="Z252" s="131">
        <f>Z$29*(EIA_electricity_aeo2014!AB$60) * Inputs!$M$60</f>
        <v>0</v>
      </c>
      <c r="AA252" s="131">
        <f>AA$29*(EIA_electricity_aeo2014!AC$60) * Inputs!$M$60</f>
        <v>0</v>
      </c>
      <c r="AB252" s="131">
        <f>AB$29*(EIA_electricity_aeo2014!AD$60) * Inputs!$M$60</f>
        <v>0</v>
      </c>
      <c r="AC252" s="131">
        <f>AC$29*(EIA_electricity_aeo2014!AE$60) * Inputs!$M$60</f>
        <v>0</v>
      </c>
      <c r="AD252" s="131">
        <f>AD$29*(EIA_electricity_aeo2014!AF$60) * Inputs!$M$60</f>
        <v>0</v>
      </c>
      <c r="AE252" s="131">
        <f>AE$29*(EIA_electricity_aeo2014!AG$60) * Inputs!$M$60</f>
        <v>0</v>
      </c>
      <c r="AF252" s="131">
        <f>AF$29*(EIA_electricity_aeo2014!AH$60) * Inputs!$M$60</f>
        <v>0</v>
      </c>
      <c r="AG252" s="131">
        <f>AG$29*(EIA_electricity_aeo2014!AI$60) * Inputs!$M$60</f>
        <v>0</v>
      </c>
      <c r="AH252" s="191">
        <f>AH$29*(EIA_electricity_aeo2014!AJ$60) * Inputs!$M$60</f>
        <v>0</v>
      </c>
    </row>
    <row r="253" spans="1:34">
      <c r="A253" t="s">
        <v>448</v>
      </c>
      <c r="D253" s="335">
        <f>D$29*(1-EIA_electricity_aeo2014!F$60) * Inputs!$C$61</f>
        <v>0</v>
      </c>
      <c r="E253" s="335">
        <f>E$29*(1-EIA_electricity_aeo2014!G$60) * Inputs!$C$61</f>
        <v>0</v>
      </c>
      <c r="F253" s="335">
        <f>F$29*(1-EIA_electricity_aeo2014!H$60) * Inputs!$C$61</f>
        <v>0</v>
      </c>
      <c r="G253" s="335">
        <f>G$29*(1-EIA_electricity_aeo2014!I$60) * Inputs!$C$61</f>
        <v>0</v>
      </c>
      <c r="H253" s="407">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8">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1">
        <f>X$29*(EIA_electricity_aeo2014!Z$60) * Inputs!$M$60</f>
        <v>0</v>
      </c>
      <c r="Y253" s="131">
        <f>Y$29*(EIA_electricity_aeo2014!AA$60) * Inputs!$M$60</f>
        <v>0</v>
      </c>
      <c r="Z253" s="131">
        <f>Z$29*(EIA_electricity_aeo2014!AB$60) * Inputs!$M$60</f>
        <v>0</v>
      </c>
      <c r="AA253" s="131">
        <f>AA$29*(EIA_electricity_aeo2014!AC$60) * Inputs!$M$60</f>
        <v>0</v>
      </c>
      <c r="AB253" s="131">
        <f>AB$29*(EIA_electricity_aeo2014!AD$60) * Inputs!$M$60</f>
        <v>0</v>
      </c>
      <c r="AC253" s="131">
        <f>AC$29*(EIA_electricity_aeo2014!AE$60) * Inputs!$M$60</f>
        <v>0</v>
      </c>
      <c r="AD253" s="131">
        <f>AD$29*(EIA_electricity_aeo2014!AF$60) * Inputs!$M$60</f>
        <v>0</v>
      </c>
      <c r="AE253" s="131">
        <f>AE$29*(EIA_electricity_aeo2014!AG$60) * Inputs!$M$60</f>
        <v>0</v>
      </c>
      <c r="AF253" s="131">
        <f>AF$29*(EIA_electricity_aeo2014!AH$60) * Inputs!$M$60</f>
        <v>0</v>
      </c>
      <c r="AG253" s="131">
        <f>AG$29*(EIA_electricity_aeo2014!AI$60) * Inputs!$M$60</f>
        <v>0</v>
      </c>
      <c r="AH253" s="191">
        <f>AH$29*(EIA_electricity_aeo2014!AJ$60) * Inputs!$M$60</f>
        <v>0</v>
      </c>
    </row>
    <row r="254" spans="1:34">
      <c r="A254" t="s">
        <v>449</v>
      </c>
      <c r="D254" s="335">
        <f>D253*Inputs!$H$61</f>
        <v>0</v>
      </c>
      <c r="E254" s="335">
        <f>E253*Inputs!$H$61</f>
        <v>0</v>
      </c>
      <c r="F254" s="335">
        <f>F253*Inputs!$H$61</f>
        <v>0</v>
      </c>
      <c r="G254" s="335">
        <f>G253*Inputs!$H$61</f>
        <v>0</v>
      </c>
      <c r="H254" s="407">
        <f>H253*Inputs!$H$61</f>
        <v>0</v>
      </c>
      <c r="I254" s="14">
        <f>I253*Inputs!$H$61</f>
        <v>0</v>
      </c>
      <c r="J254" s="14">
        <f>J253*Inputs!$H$61</f>
        <v>0</v>
      </c>
      <c r="K254" s="14">
        <f>K253*Inputs!$H$61</f>
        <v>0</v>
      </c>
      <c r="L254" s="14">
        <f>L253*Inputs!$H$61</f>
        <v>0</v>
      </c>
      <c r="M254" s="14">
        <f>M253*Inputs!$H$61</f>
        <v>0</v>
      </c>
      <c r="N254" s="188">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1">
        <f>X$29*(EIA_electricity_aeo2014!Z$60) * Inputs!$M$60</f>
        <v>0</v>
      </c>
      <c r="Y254" s="131">
        <f>Y$29*(EIA_electricity_aeo2014!AA$60) * Inputs!$M$60</f>
        <v>0</v>
      </c>
      <c r="Z254" s="131">
        <f>Z$29*(EIA_electricity_aeo2014!AB$60) * Inputs!$M$60</f>
        <v>0</v>
      </c>
      <c r="AA254" s="131">
        <f>AA$29*(EIA_electricity_aeo2014!AC$60) * Inputs!$M$60</f>
        <v>0</v>
      </c>
      <c r="AB254" s="131">
        <f>AB$29*(EIA_electricity_aeo2014!AD$60) * Inputs!$M$60</f>
        <v>0</v>
      </c>
      <c r="AC254" s="131">
        <f>AC$29*(EIA_electricity_aeo2014!AE$60) * Inputs!$M$60</f>
        <v>0</v>
      </c>
      <c r="AD254" s="131">
        <f>AD$29*(EIA_electricity_aeo2014!AF$60) * Inputs!$M$60</f>
        <v>0</v>
      </c>
      <c r="AE254" s="131">
        <f>AE$29*(EIA_electricity_aeo2014!AG$60) * Inputs!$M$60</f>
        <v>0</v>
      </c>
      <c r="AF254" s="131">
        <f>AF$29*(EIA_electricity_aeo2014!AH$60) * Inputs!$M$60</f>
        <v>0</v>
      </c>
      <c r="AG254" s="131">
        <f>AG$29*(EIA_electricity_aeo2014!AI$60) * Inputs!$M$60</f>
        <v>0</v>
      </c>
      <c r="AH254" s="191">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51" activePane="bottomRight" state="frozen"/>
      <selection pane="topRight" activeCell="C1" sqref="C1"/>
      <selection pane="bottomLeft" activeCell="A3" sqref="A3"/>
      <selection pane="bottomRight" activeCell="T19" sqref="T19"/>
    </sheetView>
  </sheetViews>
  <sheetFormatPr baseColWidth="10" defaultColWidth="8.83203125" defaultRowHeight="14" x14ac:dyDescent="0"/>
  <cols>
    <col min="1" max="1" width="25.6640625" bestFit="1" customWidth="1"/>
    <col min="2" max="2" width="5.6640625" style="2" bestFit="1" customWidth="1"/>
    <col min="3" max="3" width="13.33203125" style="331" bestFit="1" customWidth="1"/>
    <col min="4" max="4" width="12.33203125" style="331" customWidth="1"/>
    <col min="5" max="5" width="14.1640625" style="331" customWidth="1"/>
    <col min="6" max="6" width="11.33203125" style="331" bestFit="1" customWidth="1"/>
    <col min="7" max="7" width="14.33203125" style="331"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7" bestFit="1" customWidth="1"/>
    <col min="15" max="22" width="11.5" style="2" bestFit="1" customWidth="1"/>
    <col min="23" max="23" width="11.33203125" style="2" bestFit="1" customWidth="1"/>
    <col min="24" max="24" width="11.33203125" style="193"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31" t="s">
        <v>0</v>
      </c>
      <c r="D1" s="331" t="s">
        <v>0</v>
      </c>
      <c r="E1" s="398" t="s">
        <v>0</v>
      </c>
    </row>
    <row r="2" spans="1:34" s="1" customFormat="1">
      <c r="B2" s="2" t="s">
        <v>133</v>
      </c>
      <c r="C2" s="332">
        <v>2009</v>
      </c>
      <c r="D2" s="332">
        <v>2010</v>
      </c>
      <c r="E2" s="332">
        <v>2011</v>
      </c>
      <c r="F2" s="332">
        <v>2012</v>
      </c>
      <c r="G2" s="332">
        <v>2013</v>
      </c>
      <c r="H2" s="13">
        <v>2014</v>
      </c>
      <c r="I2" s="13">
        <v>2015</v>
      </c>
      <c r="J2" s="13">
        <v>2016</v>
      </c>
      <c r="K2" s="13">
        <v>2017</v>
      </c>
      <c r="L2" s="13">
        <v>2018</v>
      </c>
      <c r="M2" s="13">
        <v>2019</v>
      </c>
      <c r="N2" s="177">
        <v>2020</v>
      </c>
      <c r="O2" s="13">
        <v>2021</v>
      </c>
      <c r="P2" s="13">
        <v>2022</v>
      </c>
      <c r="Q2" s="13">
        <v>2023</v>
      </c>
      <c r="R2" s="13">
        <v>2024</v>
      </c>
      <c r="S2" s="13">
        <v>2025</v>
      </c>
      <c r="T2" s="13">
        <v>2026</v>
      </c>
      <c r="U2" s="13">
        <v>2027</v>
      </c>
      <c r="V2" s="13">
        <v>2028</v>
      </c>
      <c r="W2" s="13">
        <v>2029</v>
      </c>
      <c r="X2" s="177">
        <v>2030</v>
      </c>
      <c r="Y2" s="13">
        <v>2031</v>
      </c>
      <c r="Z2" s="13">
        <v>2032</v>
      </c>
      <c r="AA2" s="13">
        <v>2033</v>
      </c>
      <c r="AB2" s="13">
        <v>2034</v>
      </c>
      <c r="AC2" s="13">
        <v>2035</v>
      </c>
      <c r="AD2" s="13">
        <v>2036</v>
      </c>
      <c r="AE2" s="13">
        <v>2037</v>
      </c>
      <c r="AF2" s="13">
        <v>2038</v>
      </c>
      <c r="AG2" s="13">
        <v>2039</v>
      </c>
      <c r="AH2" s="13">
        <v>2040</v>
      </c>
    </row>
    <row r="3" spans="1:34" s="1" customFormat="1">
      <c r="A3" s="1" t="s">
        <v>64</v>
      </c>
      <c r="B3" s="13"/>
      <c r="C3" s="332"/>
      <c r="D3" s="332"/>
      <c r="E3" s="332"/>
      <c r="F3" s="332"/>
      <c r="G3" s="332"/>
      <c r="H3" s="13"/>
      <c r="I3" s="13"/>
      <c r="J3" s="13"/>
      <c r="K3" s="13"/>
      <c r="L3" s="13"/>
      <c r="M3" s="13"/>
      <c r="N3" s="177"/>
      <c r="O3" s="13"/>
      <c r="P3" s="13"/>
      <c r="Q3" s="13"/>
      <c r="R3" s="13"/>
      <c r="S3" s="13"/>
      <c r="T3" s="13"/>
      <c r="U3" s="13"/>
      <c r="V3" s="13"/>
      <c r="W3" s="13"/>
      <c r="X3" s="177"/>
      <c r="Y3" s="13"/>
      <c r="Z3" s="13"/>
      <c r="AA3" s="13"/>
      <c r="AB3" s="13"/>
      <c r="AC3" s="13"/>
      <c r="AD3" s="13"/>
      <c r="AE3" s="13"/>
      <c r="AF3" s="13"/>
      <c r="AG3" s="13"/>
      <c r="AH3" s="13"/>
    </row>
    <row r="4" spans="1:34" s="1" customFormat="1">
      <c r="A4" s="1" t="s">
        <v>117</v>
      </c>
      <c r="B4" s="13"/>
      <c r="C4" s="333">
        <f>EIA_electricity_aeo2014!E58 * 1000</f>
        <v>133631</v>
      </c>
      <c r="D4" s="333">
        <f>EIA_electricity_aeo2014!F58 * 1000</f>
        <v>137492</v>
      </c>
      <c r="E4" s="333">
        <f>EIA_electricity_aeo2014!G58 * 1000</f>
        <v>140085.071</v>
      </c>
      <c r="F4" s="333">
        <f>EIA_electricity_aeo2014!H58 * 1000</f>
        <v>138596.17300000001</v>
      </c>
      <c r="G4" s="333">
        <f>EIA_electricity_aeo2014!I58 * 1000</f>
        <v>142454.807</v>
      </c>
      <c r="H4" s="21">
        <f>EIA_electricity_aeo2014!J58 * 1000</f>
        <v>139430.435</v>
      </c>
      <c r="I4" s="21">
        <f>EIA_electricity_aeo2014!K58 * 1000</f>
        <v>139528.28899999999</v>
      </c>
      <c r="J4" s="21">
        <f>EIA_electricity_aeo2014!L58 * 1000</f>
        <v>135063.649</v>
      </c>
      <c r="K4" s="21">
        <f>EIA_electricity_aeo2014!M58 * 1000</f>
        <v>132791.45000000001</v>
      </c>
      <c r="L4" s="21">
        <f>EIA_electricity_aeo2014!N58 * 1000</f>
        <v>135515.36200000002</v>
      </c>
      <c r="M4" s="21">
        <f>EIA_electricity_aeo2014!O58 * 1000</f>
        <v>134797.25700000001</v>
      </c>
      <c r="N4" s="393">
        <f>EIA_electricity_aeo2014!P58 * 1000</f>
        <v>134120.73200000002</v>
      </c>
      <c r="O4" s="21">
        <f>EIA_electricity_aeo2014!Q58 * 1000</f>
        <v>133783.70699999999</v>
      </c>
      <c r="P4" s="21">
        <f>EIA_electricity_aeo2014!R58 * 1000</f>
        <v>132902.01500000001</v>
      </c>
      <c r="Q4" s="21">
        <f>EIA_electricity_aeo2014!S58 * 1000</f>
        <v>133256.46599999999</v>
      </c>
      <c r="R4" s="21">
        <f>EIA_electricity_aeo2014!T58 * 1000</f>
        <v>134634.17000000001</v>
      </c>
      <c r="S4" s="21">
        <f>EIA_electricity_aeo2014!U58 * 1000</f>
        <v>134787.90699999998</v>
      </c>
      <c r="T4" s="21">
        <f>EIA_electricity_aeo2014!V58 * 1000</f>
        <v>134169.76</v>
      </c>
      <c r="U4" s="21">
        <f>EIA_electricity_aeo2014!W58 * 1000</f>
        <v>131781.20600000001</v>
      </c>
      <c r="V4" s="21">
        <f>EIA_electricity_aeo2014!X58 * 1000</f>
        <v>133174.69400000002</v>
      </c>
      <c r="W4" s="21">
        <f>EIA_electricity_aeo2014!Y58 * 1000</f>
        <v>131728.80299999996</v>
      </c>
      <c r="X4" s="393">
        <f>EIA_electricity_aeo2014!Z58 * 1000</f>
        <v>132789.986</v>
      </c>
      <c r="Y4" s="21">
        <f>EIA_electricity_aeo2014!AA58 * 1000</f>
        <v>132500.182</v>
      </c>
      <c r="Z4" s="21">
        <f>EIA_electricity_aeo2014!AB58 * 1000</f>
        <v>135245.32800000001</v>
      </c>
      <c r="AA4" s="21">
        <f>EIA_electricity_aeo2014!AC58 * 1000</f>
        <v>136946.05600000001</v>
      </c>
      <c r="AB4" s="21">
        <f>EIA_electricity_aeo2014!AD58 * 1000</f>
        <v>137143.541</v>
      </c>
      <c r="AC4" s="21">
        <f>EIA_electricity_aeo2014!AE58 * 1000</f>
        <v>139220.63700000002</v>
      </c>
      <c r="AD4" s="21">
        <f>EIA_electricity_aeo2014!AF58 * 1000</f>
        <v>139478.79699999999</v>
      </c>
      <c r="AE4" s="21">
        <f>EIA_electricity_aeo2014!AG58 * 1000</f>
        <v>140450.136</v>
      </c>
      <c r="AF4" s="21">
        <f>EIA_electricity_aeo2014!AH58 * 1000</f>
        <v>140298.592</v>
      </c>
      <c r="AG4" s="21">
        <f>EIA_electricity_aeo2014!AI58 * 1000</f>
        <v>141282.64200000002</v>
      </c>
      <c r="AH4" s="21">
        <f>EIA_electricity_aeo2014!AJ58 * 1000</f>
        <v>141915.022</v>
      </c>
    </row>
    <row r="5" spans="1:34">
      <c r="A5" s="9" t="s">
        <v>63</v>
      </c>
      <c r="B5" s="34">
        <v>0</v>
      </c>
      <c r="C5" s="334">
        <v>0</v>
      </c>
      <c r="D5" s="334"/>
      <c r="E5" s="334"/>
      <c r="F5" s="334"/>
      <c r="G5" s="334"/>
      <c r="H5" s="3"/>
      <c r="I5" s="3"/>
      <c r="J5" s="3"/>
      <c r="K5" s="3"/>
      <c r="L5" s="3"/>
      <c r="M5" s="3"/>
      <c r="N5" s="393"/>
      <c r="O5" s="3"/>
      <c r="P5" s="3"/>
      <c r="Q5" s="3"/>
      <c r="R5" s="3"/>
      <c r="S5" s="3"/>
      <c r="T5" s="3"/>
      <c r="U5" s="3"/>
      <c r="V5" s="3"/>
      <c r="W5" s="3"/>
      <c r="X5" s="185"/>
    </row>
    <row r="6" spans="1:34">
      <c r="A6" s="9" t="s">
        <v>62</v>
      </c>
      <c r="B6" s="34">
        <v>0</v>
      </c>
      <c r="C6" s="334">
        <v>0</v>
      </c>
      <c r="D6" s="334"/>
      <c r="E6" s="399" t="s">
        <v>0</v>
      </c>
      <c r="F6" s="334"/>
      <c r="G6" s="334"/>
      <c r="H6" s="3"/>
      <c r="I6" s="3"/>
      <c r="J6" s="3"/>
      <c r="K6" s="3"/>
      <c r="L6" s="3"/>
      <c r="M6" s="3"/>
      <c r="N6" s="393"/>
      <c r="O6" s="3"/>
      <c r="P6" s="3"/>
      <c r="Q6" s="3"/>
      <c r="R6" s="3"/>
      <c r="S6" s="3"/>
      <c r="T6" s="3"/>
      <c r="U6" s="3"/>
      <c r="V6" s="3"/>
      <c r="W6" s="3"/>
      <c r="X6" s="185"/>
    </row>
    <row r="7" spans="1:34">
      <c r="A7" s="9" t="s">
        <v>51</v>
      </c>
      <c r="B7" s="34">
        <v>0</v>
      </c>
      <c r="C7" s="334">
        <f>EIA_RE_aeo2014!E73*1000-C15</f>
        <v>27614.999899999999</v>
      </c>
      <c r="D7" s="334">
        <f>EIA_RE_aeo2014!F73*1000-D15</f>
        <v>25471.999899999999</v>
      </c>
      <c r="E7" s="334">
        <f>EIA_RE_aeo2014!G73*1000-E15</f>
        <v>27987.072900000003</v>
      </c>
      <c r="F7" s="334">
        <f>EIA_RE_aeo2014!H73*1000-F15</f>
        <v>24643.388900000002</v>
      </c>
      <c r="G7" s="334">
        <f>EIA_RE_aeo2014!I73*1000-G15</f>
        <v>26887.490900000001</v>
      </c>
      <c r="H7" s="175">
        <f>EIA_RE_aeo2014!J73*1000-H15</f>
        <v>27478.017899999999</v>
      </c>
      <c r="I7" s="175">
        <f>EIA_RE_aeo2014!K73*1000-I15</f>
        <v>28038.938899999997</v>
      </c>
      <c r="J7" s="175">
        <f>EIA_RE_aeo2014!L73*1000-J15</f>
        <v>28626.042899999997</v>
      </c>
      <c r="K7" s="175">
        <f>EIA_RE_aeo2014!M73*1000-K15</f>
        <v>28938.744900000002</v>
      </c>
      <c r="L7" s="175">
        <f>EIA_RE_aeo2014!N73*1000-L15</f>
        <v>28938.744900000002</v>
      </c>
      <c r="M7" s="175">
        <f>EIA_RE_aeo2014!O73*1000-M15</f>
        <v>28938.744900000002</v>
      </c>
      <c r="N7" s="185">
        <f>EIA_RE_aeo2014!P73*1000-N15</f>
        <v>28938.744900000002</v>
      </c>
      <c r="O7" s="175">
        <f>EIA_RE_aeo2014!Q73*1000-O15</f>
        <v>28938.744900000002</v>
      </c>
      <c r="P7" s="175">
        <f>EIA_RE_aeo2014!R73*1000-P15</f>
        <v>28938.7379</v>
      </c>
      <c r="Q7" s="175">
        <f>EIA_RE_aeo2014!S73*1000-Q15</f>
        <v>29125.653900000001</v>
      </c>
      <c r="R7" s="175">
        <f>EIA_RE_aeo2014!T73*1000-R15</f>
        <v>29125.6499</v>
      </c>
      <c r="S7" s="83">
        <f>EIA_RE_aeo2014!U73*1000-S15</f>
        <v>29125.657900000002</v>
      </c>
      <c r="T7" s="83">
        <f>EIA_RE_aeo2014!V73*1000-T15</f>
        <v>29125.661899999996</v>
      </c>
      <c r="U7" s="83">
        <f>EIA_RE_aeo2014!W73*1000-U15</f>
        <v>29125.661899999996</v>
      </c>
      <c r="V7" s="83">
        <f>EIA_RE_aeo2014!X73*1000-V15</f>
        <v>29125.653900000001</v>
      </c>
      <c r="W7" s="83">
        <f>EIA_RE_aeo2014!Y73*1000-W15</f>
        <v>29125.661899999996</v>
      </c>
      <c r="X7" s="185">
        <f>EIA_RE_aeo2014!Z73*1000-X15</f>
        <v>29125.661899999996</v>
      </c>
      <c r="Y7" s="175">
        <f>EIA_RE_aeo2014!AA73*1000-Y15</f>
        <v>29125.661899999996</v>
      </c>
      <c r="Z7" s="175">
        <f>EIA_RE_aeo2014!AB73*1000-Z15</f>
        <v>29125.661899999996</v>
      </c>
      <c r="AA7" s="175">
        <f>EIA_RE_aeo2014!AC73*1000-AA15</f>
        <v>29125.661899999996</v>
      </c>
      <c r="AB7" s="175">
        <f>EIA_RE_aeo2014!AD73*1000-AB15</f>
        <v>29125.661899999996</v>
      </c>
      <c r="AC7" s="175">
        <f>EIA_RE_aeo2014!AE73*1000-AC15</f>
        <v>29125.661899999996</v>
      </c>
      <c r="AD7" s="175">
        <f>EIA_RE_aeo2014!AF73*1000-AD15</f>
        <v>29125.661899999996</v>
      </c>
      <c r="AE7" s="175">
        <f>EIA_RE_aeo2014!AG73*1000-AE15</f>
        <v>29125.661899999996</v>
      </c>
      <c r="AF7" s="175">
        <f>EIA_RE_aeo2014!AH73*1000-AF15</f>
        <v>29125.661899999996</v>
      </c>
      <c r="AG7" s="175">
        <f>EIA_RE_aeo2014!AI73*1000-AG15</f>
        <v>29125.661899999996</v>
      </c>
      <c r="AH7" s="175">
        <f>EIA_RE_aeo2014!AJ73*1000-AH15</f>
        <v>29125.661899999996</v>
      </c>
    </row>
    <row r="8" spans="1:34">
      <c r="A8" s="9" t="s">
        <v>61</v>
      </c>
      <c r="B8" s="34">
        <v>0</v>
      </c>
      <c r="C8" s="334">
        <f>EIA_electricity_aeo2014!E52*1000</f>
        <v>43485</v>
      </c>
      <c r="D8" s="334">
        <f>EIA_electricity_aeo2014!F52*1000</f>
        <v>41870</v>
      </c>
      <c r="E8" s="334">
        <f>EIA_electricity_aeo2014!G52*1000</f>
        <v>42694.998999999996</v>
      </c>
      <c r="F8" s="334">
        <f>EIA_electricity_aeo2014!H52*1000</f>
        <v>40774.999000000003</v>
      </c>
      <c r="G8" s="334">
        <f>EIA_electricity_aeo2014!I52*1000</f>
        <v>40658.596000000005</v>
      </c>
      <c r="H8" s="3">
        <f>EIA_electricity_aeo2014!J52*1000</f>
        <v>40658.596000000005</v>
      </c>
      <c r="I8" s="3">
        <f>EIA_electricity_aeo2014!K52*1000</f>
        <v>37986.177999999993</v>
      </c>
      <c r="J8" s="3">
        <f>EIA_electricity_aeo2014!L52*1000</f>
        <v>38377.161</v>
      </c>
      <c r="K8" s="3">
        <f>EIA_electricity_aeo2014!M52*1000</f>
        <v>38377.161</v>
      </c>
      <c r="L8" s="3">
        <f>EIA_electricity_aeo2014!N52*1000</f>
        <v>38377.161</v>
      </c>
      <c r="M8" s="3">
        <f>EIA_electricity_aeo2014!O52*1000</f>
        <v>38377.161</v>
      </c>
      <c r="N8" s="393">
        <f>EIA_electricity_aeo2014!P52*1000</f>
        <v>38377.161</v>
      </c>
      <c r="O8" s="3">
        <f>EIA_electricity_aeo2014!Q52*1000</f>
        <v>38377.161</v>
      </c>
      <c r="P8" s="3">
        <f>EIA_electricity_aeo2014!R52*1000</f>
        <v>38377.161</v>
      </c>
      <c r="Q8" s="3">
        <f>EIA_electricity_aeo2014!S52*1000</f>
        <v>38377.161</v>
      </c>
      <c r="R8" s="3">
        <f>EIA_electricity_aeo2014!T52*1000</f>
        <v>38377.161</v>
      </c>
      <c r="S8" s="3">
        <f>EIA_electricity_aeo2014!U52*1000</f>
        <v>38377.161</v>
      </c>
      <c r="T8" s="3">
        <f>EIA_electricity_aeo2014!V52*1000</f>
        <v>38377.161</v>
      </c>
      <c r="U8" s="3">
        <f>EIA_electricity_aeo2014!W52*1000</f>
        <v>38377.161</v>
      </c>
      <c r="V8" s="3">
        <f>EIA_electricity_aeo2014!X52*1000</f>
        <v>38377.161</v>
      </c>
      <c r="W8" s="3">
        <f>EIA_electricity_aeo2014!Y52*1000</f>
        <v>38377.161</v>
      </c>
      <c r="X8" s="185">
        <f>EIA_electricity_aeo2014!Z52*1000</f>
        <v>38377.161</v>
      </c>
      <c r="Y8" s="175">
        <f>EIA_electricity_aeo2014!AA52*1000</f>
        <v>38377.161</v>
      </c>
      <c r="Z8" s="175">
        <f>EIA_electricity_aeo2014!AB52*1000</f>
        <v>38377.161</v>
      </c>
      <c r="AA8" s="175">
        <f>EIA_electricity_aeo2014!AC52*1000</f>
        <v>38377.161</v>
      </c>
      <c r="AB8" s="175">
        <f>EIA_electricity_aeo2014!AD52*1000</f>
        <v>38377.161</v>
      </c>
      <c r="AC8" s="175">
        <f>EIA_electricity_aeo2014!AE52*1000</f>
        <v>38377.161</v>
      </c>
      <c r="AD8" s="175">
        <f>EIA_electricity_aeo2014!AF52*1000</f>
        <v>38377.161</v>
      </c>
      <c r="AE8" s="175">
        <f>EIA_electricity_aeo2014!AG52*1000</f>
        <v>38377.161</v>
      </c>
      <c r="AF8" s="175">
        <f>EIA_electricity_aeo2014!AH52*1000</f>
        <v>38377.161</v>
      </c>
      <c r="AG8" s="175">
        <f>EIA_electricity_aeo2014!AI52*1000</f>
        <v>38377.161</v>
      </c>
      <c r="AH8" s="175">
        <f>EIA_electricity_aeo2014!AJ52*1000</f>
        <v>38377.161</v>
      </c>
    </row>
    <row r="9" spans="1:34">
      <c r="A9" s="9"/>
      <c r="B9" s="34"/>
      <c r="C9" s="334"/>
      <c r="D9" s="334"/>
      <c r="E9" s="334"/>
      <c r="F9" s="334"/>
      <c r="G9" s="334"/>
      <c r="H9" s="118"/>
      <c r="I9" s="118"/>
      <c r="J9" s="118"/>
      <c r="K9" s="118"/>
      <c r="L9" s="118"/>
      <c r="M9" s="118"/>
      <c r="N9" s="393"/>
      <c r="O9" s="118"/>
      <c r="P9" s="118"/>
      <c r="Q9" s="118"/>
      <c r="R9" s="118"/>
      <c r="S9" s="118"/>
      <c r="T9" s="118"/>
      <c r="U9" s="118"/>
      <c r="V9" s="118"/>
      <c r="W9" s="118"/>
      <c r="X9" s="185"/>
    </row>
    <row r="10" spans="1:34" s="20" customFormat="1">
      <c r="A10" s="9" t="s">
        <v>131</v>
      </c>
      <c r="B10" s="35">
        <v>1</v>
      </c>
      <c r="C10" s="334">
        <f>EIA_RE_aeo2014!E76*1000</f>
        <v>536</v>
      </c>
      <c r="D10" s="334">
        <f>EIA_RE_aeo2014!F76*1000</f>
        <v>547</v>
      </c>
      <c r="E10" s="334">
        <f>EIA_RE_aeo2014!G76*1000</f>
        <v>442.24799999999999</v>
      </c>
      <c r="F10" s="334">
        <f>EIA_RE_aeo2014!H76*1000</f>
        <v>481.98</v>
      </c>
      <c r="G10" s="334">
        <f>EIA_RE_aeo2014!I76*1000</f>
        <v>633.5809999999999</v>
      </c>
      <c r="H10" s="83">
        <f>EIA_RE_aeo2014!J76*1000</f>
        <v>681.25100000000009</v>
      </c>
      <c r="I10" s="175">
        <f>EIA_RE_aeo2014!K76*1000</f>
        <v>780.68999999999994</v>
      </c>
      <c r="J10" s="175">
        <f>EIA_RE_aeo2014!L76*1000</f>
        <v>806.13</v>
      </c>
      <c r="K10" s="175">
        <f>EIA_RE_aeo2014!M76*1000</f>
        <v>1227.9639999999999</v>
      </c>
      <c r="L10" s="175">
        <f>EIA_RE_aeo2014!N76*1000</f>
        <v>1256.521</v>
      </c>
      <c r="M10" s="175">
        <f>EIA_RE_aeo2014!O76*1000</f>
        <v>1312.48</v>
      </c>
      <c r="N10" s="185">
        <f>EIA_RE_aeo2014!P76*1000</f>
        <v>1338.8679999999999</v>
      </c>
      <c r="O10" s="175">
        <f>EIA_RE_aeo2014!Q76*1000</f>
        <v>1502.489</v>
      </c>
      <c r="P10" s="175">
        <f>EIA_RE_aeo2014!R76*1000</f>
        <v>1758.953</v>
      </c>
      <c r="Q10" s="175">
        <f>EIA_RE_aeo2014!S76*1000</f>
        <v>1816.364</v>
      </c>
      <c r="R10" s="175">
        <f>EIA_RE_aeo2014!T76*1000</f>
        <v>1845.2070000000001</v>
      </c>
      <c r="S10" s="83">
        <f>EIA_RE_aeo2014!U76*1000</f>
        <v>1645.7180000000001</v>
      </c>
      <c r="T10" s="83">
        <f>EIA_RE_aeo2014!V76*1000</f>
        <v>1650.877</v>
      </c>
      <c r="U10" s="83">
        <f>EIA_RE_aeo2014!W76*1000</f>
        <v>1660.896</v>
      </c>
      <c r="V10" s="83">
        <f>EIA_RE_aeo2014!X76*1000</f>
        <v>1599.1130000000001</v>
      </c>
      <c r="W10" s="83">
        <f>EIA_RE_aeo2014!Y76*1000</f>
        <v>1642.7830000000001</v>
      </c>
      <c r="X10" s="185">
        <f>EIA_RE_aeo2014!Z76*1000</f>
        <v>1661.366</v>
      </c>
      <c r="Y10" s="175">
        <f>EIA_RE_aeo2014!AA76*1000</f>
        <v>1680.1200000000001</v>
      </c>
      <c r="Z10" s="175">
        <f>EIA_RE_aeo2014!AB76*1000</f>
        <v>1666.6469999999999</v>
      </c>
      <c r="AA10" s="175">
        <f>EIA_RE_aeo2014!AC76*1000</f>
        <v>1683.7940000000001</v>
      </c>
      <c r="AB10" s="175">
        <f>EIA_RE_aeo2014!AD76*1000</f>
        <v>1703.875</v>
      </c>
      <c r="AC10" s="175">
        <f>EIA_RE_aeo2014!AE76*1000</f>
        <v>1721.3780000000002</v>
      </c>
      <c r="AD10" s="175">
        <f>EIA_RE_aeo2014!AF76*1000</f>
        <v>1809.155</v>
      </c>
      <c r="AE10" s="175">
        <f>EIA_RE_aeo2014!AG76*1000</f>
        <v>1785.6780000000001</v>
      </c>
      <c r="AF10" s="175">
        <f>EIA_RE_aeo2014!AH76*1000</f>
        <v>1805.3110000000001</v>
      </c>
      <c r="AG10" s="175">
        <f>EIA_RE_aeo2014!AI76*1000</f>
        <v>1828.357</v>
      </c>
      <c r="AH10" s="175">
        <f>EIA_RE_aeo2014!AJ76*1000</f>
        <v>1847.375</v>
      </c>
    </row>
    <row r="11" spans="1:34" s="20" customFormat="1">
      <c r="A11" s="9" t="s">
        <v>52</v>
      </c>
      <c r="B11" s="35">
        <v>1</v>
      </c>
      <c r="C11" s="334">
        <f>EIA_RE_aeo2014!E74*1000</f>
        <v>0.1</v>
      </c>
      <c r="D11" s="334">
        <f>EIA_RE_aeo2014!F74*1000</f>
        <v>0.1</v>
      </c>
      <c r="E11" s="334">
        <f>EIA_RE_aeo2014!G74*1000</f>
        <v>0.1</v>
      </c>
      <c r="F11" s="334">
        <f>EIA_RE_aeo2014!H74*1000</f>
        <v>0.1</v>
      </c>
      <c r="G11" s="334">
        <f>EIA_RE_aeo2014!I74*1000</f>
        <v>0.1</v>
      </c>
      <c r="H11" s="83">
        <f>EIA_RE_aeo2014!J74*1000</f>
        <v>0.1</v>
      </c>
      <c r="I11" s="83">
        <f>EIA_RE_aeo2014!K74*1000</f>
        <v>0.1</v>
      </c>
      <c r="J11" s="83">
        <f>EIA_RE_aeo2014!L74*1000</f>
        <v>0.1</v>
      </c>
      <c r="K11" s="83">
        <f>EIA_RE_aeo2014!M74*1000</f>
        <v>0.1</v>
      </c>
      <c r="L11" s="83">
        <f>EIA_RE_aeo2014!N74*1000</f>
        <v>0.1</v>
      </c>
      <c r="M11" s="83">
        <f>EIA_RE_aeo2014!O74*1000</f>
        <v>0.1</v>
      </c>
      <c r="N11" s="393">
        <f>EIA_RE_aeo2014!P74*1000</f>
        <v>0.1</v>
      </c>
      <c r="O11" s="83">
        <f>EIA_RE_aeo2014!Q74*1000</f>
        <v>0.1</v>
      </c>
      <c r="P11" s="83">
        <f>EIA_RE_aeo2014!R74*1000</f>
        <v>0.1</v>
      </c>
      <c r="Q11" s="83">
        <f>EIA_RE_aeo2014!S74*1000</f>
        <v>0.1</v>
      </c>
      <c r="R11" s="83">
        <f>EIA_RE_aeo2014!T74*1000</f>
        <v>0.1</v>
      </c>
      <c r="S11" s="83">
        <f>EIA_RE_aeo2014!U74*1000</f>
        <v>0.1</v>
      </c>
      <c r="T11" s="83">
        <f>EIA_RE_aeo2014!V74*1000</f>
        <v>0.1</v>
      </c>
      <c r="U11" s="83">
        <f>EIA_RE_aeo2014!W74*1000</f>
        <v>0.1</v>
      </c>
      <c r="V11" s="83">
        <f>EIA_RE_aeo2014!X74*1000</f>
        <v>0.1</v>
      </c>
      <c r="W11" s="83">
        <f>EIA_RE_aeo2014!Y74*1000</f>
        <v>0.1</v>
      </c>
      <c r="X11" s="185">
        <f>EIA_RE_aeo2014!Z74*1000</f>
        <v>0.1</v>
      </c>
      <c r="Y11" s="175">
        <f>EIA_RE_aeo2014!AA74*1000</f>
        <v>0.1</v>
      </c>
      <c r="Z11" s="175">
        <f>EIA_RE_aeo2014!AB74*1000</f>
        <v>0.1</v>
      </c>
      <c r="AA11" s="175">
        <f>EIA_RE_aeo2014!AC74*1000</f>
        <v>0.1</v>
      </c>
      <c r="AB11" s="175">
        <f>EIA_RE_aeo2014!AD74*1000</f>
        <v>0.1</v>
      </c>
      <c r="AC11" s="175">
        <f>EIA_RE_aeo2014!AE74*1000</f>
        <v>0.1</v>
      </c>
      <c r="AD11" s="175">
        <f>EIA_RE_aeo2014!AF74*1000</f>
        <v>0.1</v>
      </c>
      <c r="AE11" s="175">
        <f>EIA_RE_aeo2014!AG74*1000</f>
        <v>0.1</v>
      </c>
      <c r="AF11" s="175">
        <f>EIA_RE_aeo2014!AH74*1000</f>
        <v>0.1</v>
      </c>
      <c r="AG11" s="175">
        <f>EIA_RE_aeo2014!AI74*1000</f>
        <v>0.1</v>
      </c>
      <c r="AH11" s="175">
        <f>EIA_RE_aeo2014!AJ74*1000</f>
        <v>0.1</v>
      </c>
    </row>
    <row r="12" spans="1:34" s="20" customFormat="1">
      <c r="A12" s="9" t="s">
        <v>53</v>
      </c>
      <c r="B12" s="35">
        <v>1</v>
      </c>
      <c r="C12" s="334">
        <f>EIA_RE_aeo2014!E75*1000</f>
        <v>1665</v>
      </c>
      <c r="D12" s="334">
        <f>EIA_RE_aeo2014!F75*1000</f>
        <v>1671</v>
      </c>
      <c r="E12" s="334">
        <f>EIA_RE_aeo2014!G75*1000</f>
        <v>1278.905</v>
      </c>
      <c r="F12" s="334">
        <f>EIA_RE_aeo2014!H75*1000</f>
        <v>1508.5790000000002</v>
      </c>
      <c r="G12" s="334">
        <f>EIA_RE_aeo2014!I75*1000</f>
        <v>1797.1</v>
      </c>
      <c r="H12" s="83">
        <f>EIA_RE_aeo2014!J75*1000</f>
        <v>1790.778</v>
      </c>
      <c r="I12" s="175">
        <f>EIA_RE_aeo2014!K75*1000</f>
        <v>1790.9899999999998</v>
      </c>
      <c r="J12" s="175">
        <f>EIA_RE_aeo2014!L75*1000</f>
        <v>1791.529</v>
      </c>
      <c r="K12" s="175">
        <f>EIA_RE_aeo2014!M75*1000</f>
        <v>1792.0920000000001</v>
      </c>
      <c r="L12" s="175">
        <f>EIA_RE_aeo2014!N75*1000</f>
        <v>1786.692</v>
      </c>
      <c r="M12" s="175">
        <f>EIA_RE_aeo2014!O75*1000</f>
        <v>1786.6489999999999</v>
      </c>
      <c r="N12" s="185">
        <f>EIA_RE_aeo2014!P75*1000</f>
        <v>1787.0279999999998</v>
      </c>
      <c r="O12" s="175">
        <f>EIA_RE_aeo2014!Q75*1000</f>
        <v>1787.154</v>
      </c>
      <c r="P12" s="175">
        <f>EIA_RE_aeo2014!R75*1000</f>
        <v>1787.0550000000001</v>
      </c>
      <c r="Q12" s="175">
        <f>EIA_RE_aeo2014!S75*1000</f>
        <v>1786.902</v>
      </c>
      <c r="R12" s="175">
        <f>EIA_RE_aeo2014!T75*1000</f>
        <v>1786.6580000000001</v>
      </c>
      <c r="S12" s="83">
        <f>EIA_RE_aeo2014!U75*1000</f>
        <v>1786.424</v>
      </c>
      <c r="T12" s="83">
        <f>EIA_RE_aeo2014!V75*1000</f>
        <v>1786.1659999999999</v>
      </c>
      <c r="U12" s="83">
        <f>EIA_RE_aeo2014!W75*1000</f>
        <v>1785.8679999999999</v>
      </c>
      <c r="V12" s="83">
        <f>EIA_RE_aeo2014!X75*1000</f>
        <v>1785.5379999999998</v>
      </c>
      <c r="W12" s="83">
        <f>EIA_RE_aeo2014!Y75*1000</f>
        <v>1785.26</v>
      </c>
      <c r="X12" s="185">
        <f>EIA_RE_aeo2014!Z75*1000</f>
        <v>1785.067</v>
      </c>
      <c r="Y12" s="175">
        <f>EIA_RE_aeo2014!AA75*1000</f>
        <v>1784.8790000000001</v>
      </c>
      <c r="Z12" s="175">
        <f>EIA_RE_aeo2014!AB75*1000</f>
        <v>1784.672</v>
      </c>
      <c r="AA12" s="175">
        <f>EIA_RE_aeo2014!AC75*1000</f>
        <v>1784.473</v>
      </c>
      <c r="AB12" s="175">
        <f>EIA_RE_aeo2014!AD75*1000</f>
        <v>1784.278</v>
      </c>
      <c r="AC12" s="175">
        <f>EIA_RE_aeo2014!AE75*1000</f>
        <v>1784.0669999999998</v>
      </c>
      <c r="AD12" s="175">
        <f>EIA_RE_aeo2014!AF75*1000</f>
        <v>1783.867</v>
      </c>
      <c r="AE12" s="175">
        <f>EIA_RE_aeo2014!AG75*1000</f>
        <v>1783.684</v>
      </c>
      <c r="AF12" s="175">
        <f>EIA_RE_aeo2014!AH75*1000</f>
        <v>1783.5160000000001</v>
      </c>
      <c r="AG12" s="175">
        <f>EIA_RE_aeo2014!AI75*1000</f>
        <v>1783.3410000000001</v>
      </c>
      <c r="AH12" s="175">
        <f>EIA_RE_aeo2014!AJ75*1000</f>
        <v>1875.9639999999997</v>
      </c>
    </row>
    <row r="13" spans="1:34">
      <c r="A13" s="9" t="s">
        <v>353</v>
      </c>
      <c r="B13" s="34">
        <v>1</v>
      </c>
      <c r="C13" s="334">
        <f>(EIA_RE_aeo2014!E34+EIA_RE_aeo2014!E54)*1000</f>
        <v>0</v>
      </c>
      <c r="D13" s="334">
        <f>(EIA_RE_aeo2014!F34+EIA_RE_aeo2014!F54)*1000</f>
        <v>0</v>
      </c>
      <c r="E13" s="334">
        <f>(EIA_RE_aeo2014!G34+EIA_RE_aeo2014!G54)*1000</f>
        <v>111.151</v>
      </c>
      <c r="F13" s="334">
        <f>(EIA_RE_aeo2014!H34+EIA_RE_aeo2014!H54)*1000</f>
        <v>234.75099999999998</v>
      </c>
      <c r="G13" s="334">
        <f>(EIA_RE_aeo2014!I34+EIA_RE_aeo2014!I54)*1000</f>
        <v>310.40300000000002</v>
      </c>
      <c r="H13" s="83">
        <f>(EIA_RE_aeo2014!J34+EIA_RE_aeo2014!J54)*1000</f>
        <v>375.49200000000008</v>
      </c>
      <c r="I13" s="83">
        <f>(EIA_RE_aeo2014!K34+EIA_RE_aeo2014!K54)*1000</f>
        <v>433.48</v>
      </c>
      <c r="J13" s="83">
        <f>(EIA_RE_aeo2014!L34+EIA_RE_aeo2014!L54)*1000</f>
        <v>483.63900000000001</v>
      </c>
      <c r="K13" s="83">
        <f>(EIA_RE_aeo2014!M34+EIA_RE_aeo2014!M54)*1000</f>
        <v>487.12799999999993</v>
      </c>
      <c r="L13" s="83">
        <f>(EIA_RE_aeo2014!N34+EIA_RE_aeo2014!N54)*1000</f>
        <v>492.69299999999998</v>
      </c>
      <c r="M13" s="83">
        <f>(EIA_RE_aeo2014!O34+EIA_RE_aeo2014!O54)*1000</f>
        <v>502.11099999999999</v>
      </c>
      <c r="N13" s="393">
        <f>(EIA_RE_aeo2014!P34+EIA_RE_aeo2014!P54)*1000</f>
        <v>516.51900000000001</v>
      </c>
      <c r="O13" s="83">
        <f>(EIA_RE_aeo2014!Q34+EIA_RE_aeo2014!Q54)*1000</f>
        <v>532.61300000000006</v>
      </c>
      <c r="P13" s="83">
        <f>(EIA_RE_aeo2014!R34+EIA_RE_aeo2014!R54)*1000</f>
        <v>549.524</v>
      </c>
      <c r="Q13" s="83">
        <f>(EIA_RE_aeo2014!S34+EIA_RE_aeo2014!S54)*1000</f>
        <v>567.70100000000002</v>
      </c>
      <c r="R13" s="83">
        <f>(EIA_RE_aeo2014!T34+EIA_RE_aeo2014!T54)*1000</f>
        <v>588.35699999999997</v>
      </c>
      <c r="S13" s="83">
        <f>(EIA_RE_aeo2014!U34+EIA_RE_aeo2014!U54)*1000</f>
        <v>611.87</v>
      </c>
      <c r="T13" s="83">
        <f>(EIA_RE_aeo2014!V34+EIA_RE_aeo2014!V54)*1000</f>
        <v>636.63800000000003</v>
      </c>
      <c r="U13" s="83">
        <f>(EIA_RE_aeo2014!W34+EIA_RE_aeo2014!W54)*1000</f>
        <v>663.05400000000009</v>
      </c>
      <c r="V13" s="83">
        <f>(EIA_RE_aeo2014!X34+EIA_RE_aeo2014!X54)*1000</f>
        <v>690.44299999999998</v>
      </c>
      <c r="W13" s="83">
        <f>(EIA_RE_aeo2014!Y34+EIA_RE_aeo2014!Y54)*1000</f>
        <v>719.30700000000002</v>
      </c>
      <c r="X13" s="185">
        <f>(EIA_RE_aeo2014!Z34+EIA_RE_aeo2014!Z54)*1000</f>
        <v>750.60799999999995</v>
      </c>
      <c r="Y13" s="175">
        <f>(EIA_RE_aeo2014!AA34+EIA_RE_aeo2014!AA54)*1000</f>
        <v>782.41600000000005</v>
      </c>
      <c r="Z13" s="175">
        <f>(EIA_RE_aeo2014!AB34+EIA_RE_aeo2014!AB54)*1000</f>
        <v>814.04</v>
      </c>
      <c r="AA13" s="175">
        <f>(EIA_RE_aeo2014!AC34+EIA_RE_aeo2014!AC54)*1000</f>
        <v>845.48400000000004</v>
      </c>
      <c r="AB13" s="175">
        <f>(EIA_RE_aeo2014!AD34+EIA_RE_aeo2014!AD54)*1000</f>
        <v>877.22099999999989</v>
      </c>
      <c r="AC13" s="175">
        <f>(EIA_RE_aeo2014!AE34+EIA_RE_aeo2014!AE54)*1000</f>
        <v>909.64200000000005</v>
      </c>
      <c r="AD13" s="175">
        <f>(EIA_RE_aeo2014!AF34+EIA_RE_aeo2014!AF54)*1000</f>
        <v>942.56699999999989</v>
      </c>
      <c r="AE13" s="175">
        <f>(EIA_RE_aeo2014!AG34+EIA_RE_aeo2014!AG54)*1000</f>
        <v>975.76499999999999</v>
      </c>
      <c r="AF13" s="175">
        <f>(EIA_RE_aeo2014!AH34+EIA_RE_aeo2014!AH54)*1000</f>
        <v>1009.114</v>
      </c>
      <c r="AG13" s="175">
        <f>(EIA_RE_aeo2014!AI34+EIA_RE_aeo2014!AI54)*1000</f>
        <v>1043.0239999999999</v>
      </c>
      <c r="AH13" s="175">
        <f>EIA_RE_aeo2014!AJ77*1000</f>
        <v>1246.7199999999998</v>
      </c>
    </row>
    <row r="14" spans="1:34">
      <c r="A14" s="9" t="s">
        <v>354</v>
      </c>
      <c r="B14" s="34">
        <v>1</v>
      </c>
      <c r="C14" s="334">
        <f>EIA_RE_aeo2014!E33*1000</f>
        <v>0</v>
      </c>
      <c r="D14" s="334">
        <f>EIA_RE_aeo2014!F33*1000</f>
        <v>0</v>
      </c>
      <c r="E14" s="334">
        <f>EIA_RE_aeo2014!G33*1000</f>
        <v>1</v>
      </c>
      <c r="F14" s="334">
        <f>EIA_RE_aeo2014!H33*1000</f>
        <v>1</v>
      </c>
      <c r="G14" s="334">
        <f>EIA_RE_aeo2014!I33*1000</f>
        <v>1</v>
      </c>
      <c r="H14" s="83">
        <f>EIA_RE_aeo2014!J33*1000</f>
        <v>1</v>
      </c>
      <c r="I14" s="83">
        <f>EIA_RE_aeo2014!K33*1000</f>
        <v>1</v>
      </c>
      <c r="J14" s="83">
        <f>EIA_RE_aeo2014!L33*1000</f>
        <v>1</v>
      </c>
      <c r="K14" s="83">
        <f>EIA_RE_aeo2014!M33*1000</f>
        <v>1</v>
      </c>
      <c r="L14" s="83">
        <f>EIA_RE_aeo2014!N33*1000</f>
        <v>1</v>
      </c>
      <c r="M14" s="83">
        <f>EIA_RE_aeo2014!O33*1000</f>
        <v>1</v>
      </c>
      <c r="N14" s="393">
        <f>EIA_RE_aeo2014!P33*1000</f>
        <v>1</v>
      </c>
      <c r="O14" s="83">
        <f>EIA_RE_aeo2014!Q33*1000</f>
        <v>1</v>
      </c>
      <c r="P14" s="83">
        <f>EIA_RE_aeo2014!R33*1000</f>
        <v>1</v>
      </c>
      <c r="Q14" s="83">
        <f>EIA_RE_aeo2014!S33*1000</f>
        <v>1</v>
      </c>
      <c r="R14" s="83">
        <f>EIA_RE_aeo2014!T33*1000</f>
        <v>1</v>
      </c>
      <c r="S14" s="83">
        <f>EIA_RE_aeo2014!U33*1000</f>
        <v>1</v>
      </c>
      <c r="T14" s="83">
        <f>EIA_RE_aeo2014!V33*1000</f>
        <v>1</v>
      </c>
      <c r="U14" s="83">
        <f>EIA_RE_aeo2014!W33*1000</f>
        <v>1</v>
      </c>
      <c r="V14" s="83">
        <f>EIA_RE_aeo2014!X33*1000</f>
        <v>1</v>
      </c>
      <c r="W14" s="83">
        <f>EIA_RE_aeo2014!Y33*1000</f>
        <v>1</v>
      </c>
      <c r="X14" s="185">
        <f>EIA_RE_aeo2014!Z33*1000</f>
        <v>1</v>
      </c>
      <c r="Y14" s="175">
        <f>EIA_RE_aeo2014!AA33*1000</f>
        <v>1</v>
      </c>
      <c r="Z14" s="175">
        <f>EIA_RE_aeo2014!AB33*1000</f>
        <v>1</v>
      </c>
      <c r="AA14" s="175">
        <f>EIA_RE_aeo2014!AC33*1000</f>
        <v>1</v>
      </c>
      <c r="AB14" s="175">
        <f>EIA_RE_aeo2014!AD33*1000</f>
        <v>1</v>
      </c>
      <c r="AC14" s="175">
        <f>EIA_RE_aeo2014!AE33*1000</f>
        <v>1</v>
      </c>
      <c r="AD14" s="175">
        <f>EIA_RE_aeo2014!AF33*1000</f>
        <v>1</v>
      </c>
      <c r="AE14" s="175">
        <f>EIA_RE_aeo2014!AG33*1000</f>
        <v>1</v>
      </c>
      <c r="AF14" s="175">
        <f>EIA_RE_aeo2014!AH33*1000</f>
        <v>1</v>
      </c>
      <c r="AG14" s="175">
        <f>EIA_RE_aeo2014!AI33*1000</f>
        <v>1</v>
      </c>
      <c r="AH14" s="175">
        <f>EIA_RE_aeo2014!AJ33*1000</f>
        <v>1</v>
      </c>
    </row>
    <row r="15" spans="1:34" s="503" customFormat="1">
      <c r="A15" s="501" t="s">
        <v>727</v>
      </c>
      <c r="B15" s="502">
        <v>1</v>
      </c>
      <c r="C15" s="511">
        <v>1E-4</v>
      </c>
      <c r="D15" s="511">
        <v>1E-4</v>
      </c>
      <c r="E15" s="511">
        <v>1E-4</v>
      </c>
      <c r="F15" s="511">
        <v>1E-4</v>
      </c>
      <c r="G15" s="511">
        <v>1E-4</v>
      </c>
      <c r="H15" s="511">
        <v>1E-4</v>
      </c>
      <c r="I15" s="511">
        <v>1E-4</v>
      </c>
      <c r="J15" s="511">
        <v>1E-4</v>
      </c>
      <c r="K15" s="511">
        <v>1E-4</v>
      </c>
      <c r="L15" s="511">
        <v>1E-4</v>
      </c>
      <c r="M15" s="511">
        <v>1E-4</v>
      </c>
      <c r="N15" s="511">
        <v>1E-4</v>
      </c>
      <c r="O15" s="511">
        <v>1E-4</v>
      </c>
      <c r="P15" s="511">
        <v>1E-4</v>
      </c>
      <c r="Q15" s="511">
        <v>1E-4</v>
      </c>
      <c r="R15" s="511">
        <v>1E-4</v>
      </c>
      <c r="S15" s="511">
        <v>1E-4</v>
      </c>
      <c r="T15" s="511">
        <v>1E-4</v>
      </c>
      <c r="U15" s="511">
        <v>1E-4</v>
      </c>
      <c r="V15" s="511">
        <v>1E-4</v>
      </c>
      <c r="W15" s="511">
        <v>1E-4</v>
      </c>
      <c r="X15" s="511">
        <v>1E-4</v>
      </c>
      <c r="Y15" s="511">
        <v>1E-4</v>
      </c>
      <c r="Z15" s="511">
        <v>1E-4</v>
      </c>
      <c r="AA15" s="511">
        <v>1E-4</v>
      </c>
      <c r="AB15" s="511">
        <v>1E-4</v>
      </c>
      <c r="AC15" s="511">
        <v>1E-4</v>
      </c>
      <c r="AD15" s="511">
        <v>1E-4</v>
      </c>
      <c r="AE15" s="511">
        <v>1E-4</v>
      </c>
      <c r="AF15" s="511">
        <v>1E-4</v>
      </c>
      <c r="AG15" s="511">
        <v>1E-4</v>
      </c>
      <c r="AH15" s="511">
        <v>1E-4</v>
      </c>
    </row>
    <row r="16" spans="1:34">
      <c r="A16" s="9" t="s">
        <v>55</v>
      </c>
      <c r="B16" s="34">
        <v>1</v>
      </c>
      <c r="C16" s="334">
        <f>EIA_RE_aeo2014!E78*1000</f>
        <v>536</v>
      </c>
      <c r="D16" s="334">
        <f>EIA_RE_aeo2014!F78*1000</f>
        <v>547</v>
      </c>
      <c r="E16" s="334">
        <f>EIA_RE_aeo2014!G78*1000</f>
        <v>2833.6169999999997</v>
      </c>
      <c r="F16" s="334">
        <f>EIA_RE_aeo2014!H78*1000</f>
        <v>3015.3599999999997</v>
      </c>
      <c r="G16" s="334">
        <f>EIA_RE_aeo2014!I78*1000</f>
        <v>3493.4239999999995</v>
      </c>
      <c r="H16" s="3">
        <f>EIA_RE_aeo2014!J78*1000</f>
        <v>3734.0509999999999</v>
      </c>
      <c r="I16" s="3">
        <f>EIA_RE_aeo2014!K78*1000</f>
        <v>3834.05</v>
      </c>
      <c r="J16" s="3">
        <f>EIA_RE_aeo2014!L78*1000</f>
        <v>3895.3490000000002</v>
      </c>
      <c r="K16" s="3">
        <f>EIA_RE_aeo2014!M78*1000</f>
        <v>3895.8120000000004</v>
      </c>
      <c r="L16" s="3">
        <f>EIA_RE_aeo2014!N78*1000</f>
        <v>3895.5290000000005</v>
      </c>
      <c r="M16" s="3">
        <f>EIA_RE_aeo2014!O78*1000</f>
        <v>3895.1469999999995</v>
      </c>
      <c r="N16" s="393">
        <f>EIA_RE_aeo2014!P78*1000</f>
        <v>3896.5240000000003</v>
      </c>
      <c r="O16" s="3">
        <f>EIA_RE_aeo2014!Q78*1000</f>
        <v>3896.8780000000002</v>
      </c>
      <c r="P16" s="3">
        <f>EIA_RE_aeo2014!R78*1000</f>
        <v>3898.17</v>
      </c>
      <c r="Q16" s="3">
        <f>EIA_RE_aeo2014!S78*1000</f>
        <v>3900.5350000000003</v>
      </c>
      <c r="R16" s="3">
        <f>EIA_RE_aeo2014!T78*1000</f>
        <v>3906.2359999999999</v>
      </c>
      <c r="S16" s="3">
        <f>EIA_RE_aeo2014!U78*1000</f>
        <v>3916.1950000000002</v>
      </c>
      <c r="T16" s="3">
        <f>EIA_RE_aeo2014!V78*1000</f>
        <v>3929.114</v>
      </c>
      <c r="U16" s="3">
        <f>EIA_RE_aeo2014!W78*1000</f>
        <v>3944.5140000000001</v>
      </c>
      <c r="V16" s="3">
        <f>EIA_RE_aeo2014!X78*1000</f>
        <v>3960.8679999999999</v>
      </c>
      <c r="W16" s="3">
        <f>EIA_RE_aeo2014!Y78*1000</f>
        <v>3977.2299999999996</v>
      </c>
      <c r="X16" s="185">
        <f>EIA_RE_aeo2014!Z78*1000</f>
        <v>3994.0540000000001</v>
      </c>
      <c r="Y16" s="175">
        <f>EIA_RE_aeo2014!AA78*1000</f>
        <v>4010.5360000000001</v>
      </c>
      <c r="Z16" s="175">
        <f>EIA_RE_aeo2014!AB78*1000</f>
        <v>4026.6349999999998</v>
      </c>
      <c r="AA16" s="175">
        <f>EIA_RE_aeo2014!AC78*1000</f>
        <v>4042.1219999999998</v>
      </c>
      <c r="AB16" s="175">
        <f>EIA_RE_aeo2014!AD78*1000</f>
        <v>4058.884</v>
      </c>
      <c r="AC16" s="175">
        <f>EIA_RE_aeo2014!AE78*1000</f>
        <v>4076.8009999999995</v>
      </c>
      <c r="AD16" s="175">
        <f>EIA_RE_aeo2014!AF78*1000</f>
        <v>4096.1100000000006</v>
      </c>
      <c r="AE16" s="175">
        <f>EIA_RE_aeo2014!AG78*1000</f>
        <v>4114.2349999999997</v>
      </c>
      <c r="AF16" s="175">
        <f>EIA_RE_aeo2014!AH78*1000</f>
        <v>4132.4679999999998</v>
      </c>
      <c r="AG16" s="175">
        <f>EIA_RE_aeo2014!AI78*1000</f>
        <v>4153.1580000000004</v>
      </c>
      <c r="AH16" s="175">
        <f>EIA_RE_aeo2014!AJ78*1000</f>
        <v>4174.5309999999999</v>
      </c>
    </row>
    <row r="17" spans="1:34">
      <c r="A17" s="11" t="s">
        <v>333</v>
      </c>
      <c r="B17" s="36"/>
      <c r="C17" s="334">
        <f t="shared" ref="C17:AH17" si="0">SUM(C7:C16)</f>
        <v>73837.100000000006</v>
      </c>
      <c r="D17" s="334">
        <f t="shared" si="0"/>
        <v>70107.100000000006</v>
      </c>
      <c r="E17" s="334">
        <f t="shared" si="0"/>
        <v>75349.093000000008</v>
      </c>
      <c r="F17" s="334">
        <f t="shared" si="0"/>
        <v>70660.15800000001</v>
      </c>
      <c r="G17" s="334">
        <f t="shared" si="0"/>
        <v>73781.695000000036</v>
      </c>
      <c r="H17" s="3">
        <f t="shared" si="0"/>
        <v>74719.286000000022</v>
      </c>
      <c r="I17" s="3">
        <f t="shared" si="0"/>
        <v>72865.427000000011</v>
      </c>
      <c r="J17" s="3">
        <f t="shared" si="0"/>
        <v>73980.951000000001</v>
      </c>
      <c r="K17" s="3">
        <f t="shared" si="0"/>
        <v>74720.002000000008</v>
      </c>
      <c r="L17" s="3">
        <f t="shared" si="0"/>
        <v>74748.440999999992</v>
      </c>
      <c r="M17" s="3">
        <f t="shared" si="0"/>
        <v>74813.393000000011</v>
      </c>
      <c r="N17" s="393">
        <f t="shared" si="0"/>
        <v>74855.945000000022</v>
      </c>
      <c r="O17" s="3">
        <f t="shared" si="0"/>
        <v>75036.14</v>
      </c>
      <c r="P17" s="3">
        <f t="shared" si="0"/>
        <v>75310.701000000001</v>
      </c>
      <c r="Q17" s="3">
        <f t="shared" si="0"/>
        <v>75575.417000000016</v>
      </c>
      <c r="R17" s="3">
        <f t="shared" si="0"/>
        <v>75630.369000000006</v>
      </c>
      <c r="S17" s="3">
        <f t="shared" si="0"/>
        <v>75464.126000000004</v>
      </c>
      <c r="T17" s="3">
        <f t="shared" si="0"/>
        <v>75506.718000000008</v>
      </c>
      <c r="U17" s="3">
        <f t="shared" si="0"/>
        <v>75558.255000000005</v>
      </c>
      <c r="V17" s="3">
        <f t="shared" si="0"/>
        <v>75539.877000000008</v>
      </c>
      <c r="W17" s="3">
        <f t="shared" si="0"/>
        <v>75628.502999999997</v>
      </c>
      <c r="X17" s="185">
        <f t="shared" si="0"/>
        <v>75695.017999999996</v>
      </c>
      <c r="Y17" s="175">
        <f t="shared" si="0"/>
        <v>75761.874000000011</v>
      </c>
      <c r="Z17" s="175">
        <f t="shared" si="0"/>
        <v>75795.917000000001</v>
      </c>
      <c r="AA17" s="175">
        <f t="shared" si="0"/>
        <v>75859.796000000002</v>
      </c>
      <c r="AB17" s="175">
        <f t="shared" si="0"/>
        <v>75928.181000000026</v>
      </c>
      <c r="AC17" s="175">
        <f t="shared" si="0"/>
        <v>75995.811000000016</v>
      </c>
      <c r="AD17" s="175">
        <f t="shared" si="0"/>
        <v>76135.622000000003</v>
      </c>
      <c r="AE17" s="175">
        <f t="shared" si="0"/>
        <v>76163.285000000003</v>
      </c>
      <c r="AF17" s="175">
        <f t="shared" si="0"/>
        <v>76234.332000000009</v>
      </c>
      <c r="AG17" s="175">
        <f t="shared" si="0"/>
        <v>76311.803000000014</v>
      </c>
      <c r="AH17" s="175">
        <f t="shared" si="0"/>
        <v>76648.513000000006</v>
      </c>
    </row>
    <row r="18" spans="1:34">
      <c r="A18" s="10" t="s">
        <v>132</v>
      </c>
      <c r="B18" s="37"/>
      <c r="C18" s="335">
        <f t="shared" ref="C18:AH18" si="1">SUMPRODUCT($B7:$B16,C7:C16)</f>
        <v>2737.1001000000001</v>
      </c>
      <c r="D18" s="335">
        <f t="shared" si="1"/>
        <v>2765.1001000000001</v>
      </c>
      <c r="E18" s="335">
        <f t="shared" si="1"/>
        <v>4667.0210999999999</v>
      </c>
      <c r="F18" s="335">
        <f t="shared" si="1"/>
        <v>5241.7700999999997</v>
      </c>
      <c r="G18" s="335">
        <f t="shared" si="1"/>
        <v>6235.6080999999995</v>
      </c>
      <c r="H18" s="14">
        <f t="shared" si="1"/>
        <v>6582.6720999999998</v>
      </c>
      <c r="I18" s="14">
        <f t="shared" si="1"/>
        <v>6840.3101000000006</v>
      </c>
      <c r="J18" s="14">
        <f t="shared" si="1"/>
        <v>6977.7471000000005</v>
      </c>
      <c r="K18" s="14">
        <f t="shared" si="1"/>
        <v>7404.0961000000007</v>
      </c>
      <c r="L18" s="14">
        <f t="shared" si="1"/>
        <v>7432.535100000001</v>
      </c>
      <c r="M18" s="14">
        <f t="shared" si="1"/>
        <v>7497.4870999999994</v>
      </c>
      <c r="N18" s="191">
        <f t="shared" si="1"/>
        <v>7540.0391</v>
      </c>
      <c r="O18" s="14">
        <f t="shared" si="1"/>
        <v>7720.2340999999997</v>
      </c>
      <c r="P18" s="14">
        <f t="shared" si="1"/>
        <v>7994.8020999999999</v>
      </c>
      <c r="Q18" s="14">
        <f t="shared" si="1"/>
        <v>8072.6021000000001</v>
      </c>
      <c r="R18" s="14">
        <f t="shared" si="1"/>
        <v>8127.5581000000002</v>
      </c>
      <c r="S18" s="14">
        <f t="shared" si="1"/>
        <v>7961.3071</v>
      </c>
      <c r="T18" s="14">
        <f t="shared" si="1"/>
        <v>8003.8950999999997</v>
      </c>
      <c r="U18" s="14">
        <f t="shared" si="1"/>
        <v>8055.4321</v>
      </c>
      <c r="V18" s="14">
        <f t="shared" si="1"/>
        <v>8037.0620999999992</v>
      </c>
      <c r="W18" s="14">
        <f t="shared" si="1"/>
        <v>8125.6800999999996</v>
      </c>
      <c r="X18" s="188">
        <f t="shared" si="1"/>
        <v>8192.1951000000008</v>
      </c>
      <c r="Y18" s="14">
        <f t="shared" si="1"/>
        <v>8259.0511000000006</v>
      </c>
      <c r="Z18" s="14">
        <f t="shared" si="1"/>
        <v>8293.0941000000003</v>
      </c>
      <c r="AA18" s="14">
        <f t="shared" si="1"/>
        <v>8356.9731000000011</v>
      </c>
      <c r="AB18" s="14">
        <f t="shared" si="1"/>
        <v>8425.3580999999995</v>
      </c>
      <c r="AC18" s="14">
        <f t="shared" si="1"/>
        <v>8492.9880999999987</v>
      </c>
      <c r="AD18" s="14">
        <f t="shared" si="1"/>
        <v>8632.7991000000002</v>
      </c>
      <c r="AE18" s="14">
        <f t="shared" si="1"/>
        <v>8660.4621000000006</v>
      </c>
      <c r="AF18" s="14">
        <f t="shared" si="1"/>
        <v>8731.5090999999993</v>
      </c>
      <c r="AG18" s="14">
        <f t="shared" si="1"/>
        <v>8808.9801000000007</v>
      </c>
      <c r="AH18" s="14">
        <f t="shared" si="1"/>
        <v>9145.6900999999998</v>
      </c>
    </row>
    <row r="19" spans="1:34">
      <c r="A19" s="10" t="s">
        <v>118</v>
      </c>
      <c r="B19" s="37"/>
      <c r="C19" s="336">
        <f t="shared" ref="C19:AH19" si="2">C18/C4</f>
        <v>2.0482523516249972E-2</v>
      </c>
      <c r="D19" s="336">
        <f t="shared" si="2"/>
        <v>2.011098900299654E-2</v>
      </c>
      <c r="E19" s="336">
        <f t="shared" si="2"/>
        <v>3.3315620763043334E-2</v>
      </c>
      <c r="F19" s="336">
        <f t="shared" si="2"/>
        <v>3.78204533829372E-2</v>
      </c>
      <c r="G19" s="336">
        <f t="shared" si="2"/>
        <v>4.3772535524196104E-2</v>
      </c>
      <c r="H19" s="23">
        <f t="shared" si="2"/>
        <v>4.7211156588588425E-2</v>
      </c>
      <c r="I19" s="23">
        <f t="shared" si="2"/>
        <v>4.9024539389284714E-2</v>
      </c>
      <c r="J19" s="23">
        <f t="shared" si="2"/>
        <v>5.1662657951733561E-2</v>
      </c>
      <c r="K19" s="23">
        <f t="shared" si="2"/>
        <v>5.5757325490458913E-2</v>
      </c>
      <c r="L19" s="23">
        <f t="shared" si="2"/>
        <v>5.4846439475990917E-2</v>
      </c>
      <c r="M19" s="23">
        <f t="shared" si="2"/>
        <v>5.5620472306791811E-2</v>
      </c>
      <c r="N19" s="184">
        <f t="shared" si="2"/>
        <v>5.6218296661249945E-2</v>
      </c>
      <c r="O19" s="23">
        <f t="shared" si="2"/>
        <v>5.7706833463659367E-2</v>
      </c>
      <c r="P19" s="23">
        <f t="shared" si="2"/>
        <v>6.0155612388570624E-2</v>
      </c>
      <c r="Q19" s="23">
        <f t="shared" si="2"/>
        <v>6.0579440100114922E-2</v>
      </c>
      <c r="R19" s="23">
        <f t="shared" si="2"/>
        <v>6.0367721656396735E-2</v>
      </c>
      <c r="S19" s="23">
        <f t="shared" si="2"/>
        <v>5.9065440492372966E-2</v>
      </c>
      <c r="T19" s="23">
        <f t="shared" si="2"/>
        <v>5.9654985594369395E-2</v>
      </c>
      <c r="U19" s="23">
        <f t="shared" si="2"/>
        <v>6.1127321144716189E-2</v>
      </c>
      <c r="V19" s="23">
        <f t="shared" si="2"/>
        <v>6.0349769604126129E-2</v>
      </c>
      <c r="W19" s="23">
        <f t="shared" si="2"/>
        <v>6.168491563686343E-2</v>
      </c>
      <c r="X19" s="186">
        <f t="shared" si="2"/>
        <v>6.1692868165525681E-2</v>
      </c>
      <c r="Y19" s="173">
        <f t="shared" si="2"/>
        <v>6.2332375513265335E-2</v>
      </c>
      <c r="Z19" s="173">
        <f t="shared" si="2"/>
        <v>6.1318895244943321E-2</v>
      </c>
      <c r="AA19" s="173">
        <f t="shared" si="2"/>
        <v>6.1023831894800977E-2</v>
      </c>
      <c r="AB19" s="173">
        <f t="shared" si="2"/>
        <v>6.1434596471444468E-2</v>
      </c>
      <c r="AC19" s="173">
        <f t="shared" si="2"/>
        <v>6.100380146946173E-2</v>
      </c>
      <c r="AD19" s="173">
        <f t="shared" si="2"/>
        <v>6.1893271849770837E-2</v>
      </c>
      <c r="AE19" s="173">
        <f t="shared" si="2"/>
        <v>6.1662183794539013E-2</v>
      </c>
      <c r="AF19" s="173">
        <f t="shared" si="2"/>
        <v>6.2235186936159696E-2</v>
      </c>
      <c r="AG19" s="173">
        <f t="shared" si="2"/>
        <v>6.2350052174137569E-2</v>
      </c>
      <c r="AH19" s="173">
        <f t="shared" si="2"/>
        <v>6.444483445875096E-2</v>
      </c>
    </row>
    <row r="20" spans="1:34">
      <c r="A20" s="10" t="s">
        <v>148</v>
      </c>
      <c r="B20" s="37"/>
      <c r="C20" s="335">
        <f>EIA_electricity_aeo2014!E49*1000</f>
        <v>12759</v>
      </c>
      <c r="D20" s="335">
        <f>EIA_electricity_aeo2014!F49*1000</f>
        <v>13583</v>
      </c>
      <c r="E20" s="335">
        <f>EIA_electricity_aeo2014!G49*1000</f>
        <v>9061.4310000000005</v>
      </c>
      <c r="F20" s="335">
        <f>EIA_electricity_aeo2014!H49*1000</f>
        <v>4235.7750000000005</v>
      </c>
      <c r="G20" s="335">
        <f>EIA_electricity_aeo2014!I49*1000</f>
        <v>7041.6860000000006</v>
      </c>
      <c r="H20" s="14">
        <f>EIA_electricity_aeo2014!J49*1000</f>
        <v>5819.6890000000003</v>
      </c>
      <c r="I20" s="14">
        <f>EIA_electricity_aeo2014!K49*1000</f>
        <v>7263.5949999999993</v>
      </c>
      <c r="J20" s="14">
        <f>EIA_electricity_aeo2014!L49*1000</f>
        <v>6825.991</v>
      </c>
      <c r="K20" s="14">
        <f>EIA_electricity_aeo2014!M49*1000</f>
        <v>6756.4049999999997</v>
      </c>
      <c r="L20" s="14">
        <f>EIA_electricity_aeo2014!N49*1000</f>
        <v>7366.9779999999992</v>
      </c>
      <c r="M20" s="14">
        <f>EIA_electricity_aeo2014!O49*1000</f>
        <v>7910.6540000000005</v>
      </c>
      <c r="N20" s="191">
        <f>EIA_electricity_aeo2014!P49*1000</f>
        <v>7979.4009999999998</v>
      </c>
      <c r="O20" s="14">
        <f>EIA_electricity_aeo2014!Q49*1000</f>
        <v>10540.893</v>
      </c>
      <c r="P20" s="14">
        <f>EIA_electricity_aeo2014!R49*1000</f>
        <v>11765.393</v>
      </c>
      <c r="Q20" s="14">
        <f>EIA_electricity_aeo2014!S49*1000</f>
        <v>11816.5</v>
      </c>
      <c r="R20" s="14">
        <f>EIA_electricity_aeo2014!T49*1000</f>
        <v>11892.491</v>
      </c>
      <c r="S20" s="14">
        <f>EIA_electricity_aeo2014!U49*1000</f>
        <v>12194.421</v>
      </c>
      <c r="T20" s="14">
        <f>EIA_electricity_aeo2014!V49*1000</f>
        <v>12193.718000000001</v>
      </c>
      <c r="U20" s="14">
        <f>EIA_electricity_aeo2014!W49*1000</f>
        <v>12185.571</v>
      </c>
      <c r="V20" s="14">
        <f>EIA_electricity_aeo2014!X49*1000</f>
        <v>12247.645999999999</v>
      </c>
      <c r="W20" s="14">
        <f>EIA_electricity_aeo2014!Y49*1000</f>
        <v>12331.964</v>
      </c>
      <c r="X20" s="188">
        <f>EIA_electricity_aeo2014!Z49*1000</f>
        <v>12316.667000000001</v>
      </c>
      <c r="Y20" s="14">
        <f>EIA_electricity_aeo2014!AA49*1000</f>
        <v>12303.418000000001</v>
      </c>
      <c r="Z20" s="14">
        <f>EIA_electricity_aeo2014!AB49*1000</f>
        <v>12196.657999999999</v>
      </c>
      <c r="AA20" s="14">
        <f>EIA_electricity_aeo2014!AC49*1000</f>
        <v>12183.372000000001</v>
      </c>
      <c r="AB20" s="14">
        <f>EIA_electricity_aeo2014!AD49*1000</f>
        <v>12171.982</v>
      </c>
      <c r="AC20" s="14">
        <f>EIA_electricity_aeo2014!AE49*1000</f>
        <v>12160.871999999999</v>
      </c>
      <c r="AD20" s="14">
        <f>EIA_electricity_aeo2014!AF49*1000</f>
        <v>12079.190999999999</v>
      </c>
      <c r="AE20" s="14">
        <f>EIA_electricity_aeo2014!AG49*1000</f>
        <v>12139.499</v>
      </c>
      <c r="AF20" s="14">
        <f>EIA_electricity_aeo2014!AH49*1000</f>
        <v>12130.689</v>
      </c>
      <c r="AG20" s="14">
        <f>EIA_electricity_aeo2014!AI49*1000</f>
        <v>12164.114</v>
      </c>
      <c r="AH20" s="14">
        <f>EIA_electricity_aeo2014!AJ49*1000</f>
        <v>12155.637000000001</v>
      </c>
    </row>
    <row r="21" spans="1:34">
      <c r="A21" s="10" t="s">
        <v>228</v>
      </c>
      <c r="B21" s="37"/>
      <c r="C21" s="335">
        <f>EIA_electricity_aeo2014!E51*1000</f>
        <v>41780</v>
      </c>
      <c r="D21" s="335">
        <f>EIA_electricity_aeo2014!F51*1000</f>
        <v>48916</v>
      </c>
      <c r="E21" s="335">
        <f>EIA_electricity_aeo2014!G51*1000</f>
        <v>54493.49</v>
      </c>
      <c r="F21" s="335">
        <f>EIA_electricity_aeo2014!H51*1000</f>
        <v>63122.802000000003</v>
      </c>
      <c r="G21" s="335">
        <f>EIA_electricity_aeo2014!I51*1000</f>
        <v>60428.4</v>
      </c>
      <c r="H21" s="14">
        <f>EIA_electricity_aeo2014!J51*1000</f>
        <v>57798.995999999992</v>
      </c>
      <c r="I21" s="14">
        <f>EIA_electricity_aeo2014!K51*1000</f>
        <v>58435.998000000007</v>
      </c>
      <c r="J21" s="14">
        <f>EIA_electricity_aeo2014!L51*1000</f>
        <v>53582.616000000002</v>
      </c>
      <c r="K21" s="14">
        <f>EIA_electricity_aeo2014!M51*1000</f>
        <v>51209.479999999996</v>
      </c>
      <c r="L21" s="14">
        <f>EIA_electricity_aeo2014!N51*1000</f>
        <v>53308.199000000001</v>
      </c>
      <c r="M21" s="14">
        <f>EIA_electricity_aeo2014!O51*1000</f>
        <v>52250.561000000002</v>
      </c>
      <c r="N21" s="191">
        <f>EIA_electricity_aeo2014!P51*1000</f>
        <v>51511.445999999996</v>
      </c>
      <c r="O21" s="14">
        <f>EIA_electricity_aeo2014!Q51*1000</f>
        <v>48453.777999999998</v>
      </c>
      <c r="P21" s="14">
        <f>EIA_electricity_aeo2014!R51*1000</f>
        <v>46106.728999999999</v>
      </c>
      <c r="Q21" s="14">
        <f>EIA_electricity_aeo2014!S51*1000</f>
        <v>46184.591</v>
      </c>
      <c r="R21" s="14">
        <f>EIA_electricity_aeo2014!T51*1000</f>
        <v>47471.622999999992</v>
      </c>
      <c r="S21" s="14">
        <f>EIA_electricity_aeo2014!U51*1000</f>
        <v>47542.793000000005</v>
      </c>
      <c r="T21" s="14">
        <f>EIA_electricity_aeo2014!V51*1000</f>
        <v>46978.598000000005</v>
      </c>
      <c r="U21" s="14">
        <f>EIA_electricity_aeo2014!W51*1000</f>
        <v>44611.738000000005</v>
      </c>
      <c r="V21" s="14">
        <f>EIA_electricity_aeo2014!X51*1000</f>
        <v>46008.309000000001</v>
      </c>
      <c r="W21" s="14">
        <f>EIA_electricity_aeo2014!Y51*1000</f>
        <v>44446.008000000002</v>
      </c>
      <c r="X21" s="188">
        <f>EIA_electricity_aeo2014!Z51*1000</f>
        <v>45517.246999999996</v>
      </c>
      <c r="Y21" s="14">
        <f>EIA_electricity_aeo2014!AA51*1000</f>
        <v>45446.329999999994</v>
      </c>
      <c r="Z21" s="14">
        <f>EIA_electricity_aeo2014!AB51*1000</f>
        <v>48331.707000000002</v>
      </c>
      <c r="AA21" s="14">
        <f>EIA_electricity_aeo2014!AC51*1000</f>
        <v>50046.170999999995</v>
      </c>
      <c r="AB21" s="14">
        <f>EIA_electricity_aeo2014!AD51*1000</f>
        <v>50238.136999999995</v>
      </c>
      <c r="AC21" s="14">
        <f>EIA_electricity_aeo2014!AE51*1000</f>
        <v>52324.904999999999</v>
      </c>
      <c r="AD21" s="14">
        <f>EIA_electricity_aeo2014!AF51*1000</f>
        <v>52592.561999999998</v>
      </c>
      <c r="AE21" s="14">
        <f>EIA_electricity_aeo2014!AG51*1000</f>
        <v>53545.434999999998</v>
      </c>
      <c r="AF21" s="14">
        <f>EIA_electricity_aeo2014!AH51*1000</f>
        <v>53402.873</v>
      </c>
      <c r="AG21" s="14">
        <f>EIA_electricity_aeo2014!AI51*1000</f>
        <v>54352.26</v>
      </c>
      <c r="AH21" s="14">
        <f>EIA_electricity_aeo2014!AJ51*1000</f>
        <v>54899.661</v>
      </c>
    </row>
    <row r="22" spans="1:34">
      <c r="A22" s="10" t="s">
        <v>357</v>
      </c>
      <c r="B22" s="37"/>
      <c r="C22" s="334">
        <f>SUM(C17,C20:C21)</f>
        <v>128376.1</v>
      </c>
      <c r="D22" s="334">
        <f t="shared" ref="D22:AH22" si="3">SUM(D17,D20:D21)</f>
        <v>132606.1</v>
      </c>
      <c r="E22" s="334">
        <f t="shared" si="3"/>
        <v>138904.014</v>
      </c>
      <c r="F22" s="334">
        <f t="shared" si="3"/>
        <v>138018.73500000002</v>
      </c>
      <c r="G22" s="334">
        <f t="shared" si="3"/>
        <v>141251.78100000005</v>
      </c>
      <c r="H22" s="79">
        <f t="shared" si="3"/>
        <v>138337.97100000002</v>
      </c>
      <c r="I22" s="79">
        <f t="shared" si="3"/>
        <v>138565.02000000002</v>
      </c>
      <c r="J22" s="79">
        <f t="shared" si="3"/>
        <v>134389.55799999999</v>
      </c>
      <c r="K22" s="79">
        <f t="shared" si="3"/>
        <v>132685.88699999999</v>
      </c>
      <c r="L22" s="79">
        <f t="shared" si="3"/>
        <v>135423.61799999999</v>
      </c>
      <c r="M22" s="79">
        <f t="shared" si="3"/>
        <v>134974.60800000001</v>
      </c>
      <c r="N22" s="393">
        <f t="shared" si="3"/>
        <v>134346.79200000002</v>
      </c>
      <c r="O22" s="79">
        <f t="shared" si="3"/>
        <v>134030.81099999999</v>
      </c>
      <c r="P22" s="79">
        <f t="shared" si="3"/>
        <v>133182.823</v>
      </c>
      <c r="Q22" s="79">
        <f t="shared" si="3"/>
        <v>133576.50800000003</v>
      </c>
      <c r="R22" s="79">
        <f t="shared" si="3"/>
        <v>134994.48300000001</v>
      </c>
      <c r="S22" s="79">
        <f t="shared" si="3"/>
        <v>135201.34000000003</v>
      </c>
      <c r="T22" s="79">
        <f t="shared" si="3"/>
        <v>134679.03400000001</v>
      </c>
      <c r="U22" s="79">
        <f t="shared" si="3"/>
        <v>132355.56400000001</v>
      </c>
      <c r="V22" s="79">
        <f t="shared" si="3"/>
        <v>133795.83199999999</v>
      </c>
      <c r="W22" s="79">
        <f t="shared" si="3"/>
        <v>132406.47500000001</v>
      </c>
      <c r="X22" s="185">
        <f t="shared" si="3"/>
        <v>133528.932</v>
      </c>
      <c r="Y22" s="175">
        <f t="shared" si="3"/>
        <v>133511.622</v>
      </c>
      <c r="Z22" s="175">
        <f t="shared" si="3"/>
        <v>136324.28200000001</v>
      </c>
      <c r="AA22" s="175">
        <f t="shared" si="3"/>
        <v>138089.33900000001</v>
      </c>
      <c r="AB22" s="175">
        <f t="shared" si="3"/>
        <v>138338.30000000002</v>
      </c>
      <c r="AC22" s="175">
        <f t="shared" si="3"/>
        <v>140481.58800000002</v>
      </c>
      <c r="AD22" s="175">
        <f t="shared" si="3"/>
        <v>140807.375</v>
      </c>
      <c r="AE22" s="175">
        <f t="shared" si="3"/>
        <v>141848.21899999998</v>
      </c>
      <c r="AF22" s="175">
        <f t="shared" si="3"/>
        <v>141767.894</v>
      </c>
      <c r="AG22" s="175">
        <f t="shared" si="3"/>
        <v>142828.17700000003</v>
      </c>
      <c r="AH22" s="175">
        <f t="shared" si="3"/>
        <v>143703.81100000002</v>
      </c>
    </row>
    <row r="23" spans="1:34">
      <c r="A23" s="10" t="s">
        <v>334</v>
      </c>
      <c r="B23" s="37"/>
      <c r="C23" s="334">
        <f>EIA_electricity_aeo2014!E50*1000+EIA_electricity_aeo2014!E55*1000</f>
        <v>3525</v>
      </c>
      <c r="D23" s="334">
        <f>EIA_electricity_aeo2014!F50*1000+EIA_electricity_aeo2014!F55*1000</f>
        <v>2837</v>
      </c>
      <c r="E23" s="334">
        <f>EIA_electricity_aeo2014!G50*1000+EIA_electricity_aeo2014!G55*1000</f>
        <v>1759.5810000000001</v>
      </c>
      <c r="F23" s="334">
        <f>EIA_electricity_aeo2014!H50*1000+EIA_electricity_aeo2014!H55*1000</f>
        <v>1363.04</v>
      </c>
      <c r="G23" s="334">
        <f>EIA_electricity_aeo2014!I50*1000+EIA_electricity_aeo2014!I55*1000</f>
        <v>2091.9290000000001</v>
      </c>
      <c r="H23" s="334">
        <f>EIA_electricity_aeo2014!J50*1000+EIA_electricity_aeo2014!J55*1000</f>
        <v>2087.808</v>
      </c>
      <c r="I23" s="334">
        <f>EIA_electricity_aeo2014!K50*1000+EIA_electricity_aeo2014!K55*1000</f>
        <v>2095.5169999999998</v>
      </c>
      <c r="J23" s="334">
        <f>EIA_electricity_aeo2014!L50*1000+EIA_electricity_aeo2014!L55*1000</f>
        <v>1942.8790000000001</v>
      </c>
      <c r="K23" s="334">
        <f>EIA_electricity_aeo2014!M50*1000+EIA_electricity_aeo2014!M55*1000</f>
        <v>1396.8530000000001</v>
      </c>
      <c r="L23" s="334">
        <f>EIA_electricity_aeo2014!N50*1000+EIA_electricity_aeo2014!N55*1000</f>
        <v>1401.7649999999999</v>
      </c>
      <c r="M23" s="334">
        <f>EIA_electricity_aeo2014!O50*1000+EIA_electricity_aeo2014!O55*1000</f>
        <v>1159.172</v>
      </c>
      <c r="N23" s="334">
        <f>EIA_electricity_aeo2014!P50*1000+EIA_electricity_aeo2014!P55*1000</f>
        <v>1145.7429999999999</v>
      </c>
      <c r="O23" s="334">
        <f>EIA_electricity_aeo2014!Q50*1000+EIA_electricity_aeo2014!Q55*1000</f>
        <v>1164.518</v>
      </c>
      <c r="P23" s="334">
        <f>EIA_electricity_aeo2014!R50*1000+EIA_electricity_aeo2014!R55*1000</f>
        <v>1169.328</v>
      </c>
      <c r="Q23" s="334">
        <f>EIA_electricity_aeo2014!S50*1000+EIA_electricity_aeo2014!S55*1000</f>
        <v>1170.2049999999999</v>
      </c>
      <c r="R23" s="334">
        <f>EIA_electricity_aeo2014!T50*1000+EIA_electricity_aeo2014!T55*1000</f>
        <v>1172.7869999999998</v>
      </c>
      <c r="S23" s="334">
        <f>EIA_electricity_aeo2014!U50*1000+EIA_electricity_aeo2014!U55*1000</f>
        <v>1169.586</v>
      </c>
      <c r="T23" s="334">
        <f>EIA_electricity_aeo2014!V50*1000+EIA_electricity_aeo2014!V55*1000</f>
        <v>1131.739</v>
      </c>
      <c r="U23" s="334">
        <f>EIA_electricity_aeo2014!W50*1000+EIA_electricity_aeo2014!W55*1000</f>
        <v>1125.173</v>
      </c>
      <c r="V23" s="334">
        <f>EIA_electricity_aeo2014!X50*1000+EIA_electricity_aeo2014!X55*1000</f>
        <v>1138.0990000000002</v>
      </c>
      <c r="W23" s="334">
        <f>EIA_electricity_aeo2014!Y50*1000+EIA_electricity_aeo2014!Y55*1000</f>
        <v>1142.941</v>
      </c>
      <c r="X23" s="334">
        <f>EIA_electricity_aeo2014!Z50*1000+EIA_electricity_aeo2014!Z55*1000</f>
        <v>1146.1970000000001</v>
      </c>
      <c r="Y23" s="334">
        <f>EIA_electricity_aeo2014!AA50*1000+EIA_electricity_aeo2014!AA55*1000</f>
        <v>940.06799999999998</v>
      </c>
      <c r="Z23" s="334">
        <f>EIA_electricity_aeo2014!AB50*1000+EIA_electricity_aeo2014!AB55*1000</f>
        <v>935.30600000000004</v>
      </c>
      <c r="AA23" s="334">
        <f>EIA_electricity_aeo2014!AC50*1000+EIA_electricity_aeo2014!AC55*1000</f>
        <v>936.52399999999989</v>
      </c>
      <c r="AB23" s="334">
        <f>EIA_electricity_aeo2014!AD50*1000+EIA_electricity_aeo2014!AD55*1000</f>
        <v>954.03300000000002</v>
      </c>
      <c r="AC23" s="334">
        <f>EIA_electricity_aeo2014!AE50*1000+EIA_electricity_aeo2014!AE55*1000</f>
        <v>955.36599999999999</v>
      </c>
      <c r="AD23" s="334">
        <f>EIA_electricity_aeo2014!AF50*1000+EIA_electricity_aeo2014!AF55*1000</f>
        <v>956.07899999999995</v>
      </c>
      <c r="AE23" s="334">
        <f>EIA_electricity_aeo2014!AG50*1000+EIA_electricity_aeo2014!AG55*1000</f>
        <v>956.85199999999986</v>
      </c>
      <c r="AF23" s="334">
        <f>EIA_electricity_aeo2014!AH50*1000+EIA_electricity_aeo2014!AH55*1000</f>
        <v>956.79899999999998</v>
      </c>
      <c r="AG23" s="334">
        <f>EIA_electricity_aeo2014!AI50*1000+EIA_electricity_aeo2014!AI55*1000</f>
        <v>954.6450000000001</v>
      </c>
      <c r="AH23" s="334">
        <f>EIA_electricity_aeo2014!AJ50*1000+EIA_electricity_aeo2014!AJ55*1000</f>
        <v>954.7109999999999</v>
      </c>
    </row>
    <row r="24" spans="1:34">
      <c r="A24" s="10" t="s">
        <v>351</v>
      </c>
      <c r="B24" s="37"/>
      <c r="C24" s="334">
        <f>SUM(C22:C23)</f>
        <v>131901.1</v>
      </c>
      <c r="D24" s="334">
        <f t="shared" ref="D24:AH24" si="4">SUM(D22:D23)</f>
        <v>135443.1</v>
      </c>
      <c r="E24" s="334">
        <f t="shared" si="4"/>
        <v>140663.595</v>
      </c>
      <c r="F24" s="334">
        <f t="shared" si="4"/>
        <v>139381.77500000002</v>
      </c>
      <c r="G24" s="334">
        <f t="shared" si="4"/>
        <v>143343.71000000005</v>
      </c>
      <c r="H24" s="83">
        <f t="shared" si="4"/>
        <v>140425.77900000001</v>
      </c>
      <c r="I24" s="83">
        <f t="shared" si="4"/>
        <v>140660.53700000001</v>
      </c>
      <c r="J24" s="83">
        <f t="shared" si="4"/>
        <v>136332.43699999998</v>
      </c>
      <c r="K24" s="83">
        <f t="shared" si="4"/>
        <v>134082.74</v>
      </c>
      <c r="L24" s="83">
        <f t="shared" si="4"/>
        <v>136825.383</v>
      </c>
      <c r="M24" s="83">
        <f t="shared" si="4"/>
        <v>136133.78</v>
      </c>
      <c r="N24" s="393">
        <f t="shared" si="4"/>
        <v>135492.535</v>
      </c>
      <c r="O24" s="83">
        <f t="shared" si="4"/>
        <v>135195.329</v>
      </c>
      <c r="P24" s="83">
        <f t="shared" si="4"/>
        <v>134352.15100000001</v>
      </c>
      <c r="Q24" s="83">
        <f t="shared" si="4"/>
        <v>134746.71300000002</v>
      </c>
      <c r="R24" s="83">
        <f t="shared" si="4"/>
        <v>136167.27000000002</v>
      </c>
      <c r="S24" s="83">
        <f t="shared" si="4"/>
        <v>136370.92600000004</v>
      </c>
      <c r="T24" s="83">
        <f t="shared" si="4"/>
        <v>135810.77300000002</v>
      </c>
      <c r="U24" s="83">
        <f t="shared" si="4"/>
        <v>133480.73700000002</v>
      </c>
      <c r="V24" s="83">
        <f t="shared" si="4"/>
        <v>134933.93099999998</v>
      </c>
      <c r="W24" s="83">
        <f t="shared" si="4"/>
        <v>133549.416</v>
      </c>
      <c r="X24" s="185">
        <f t="shared" si="4"/>
        <v>134675.12900000002</v>
      </c>
      <c r="Y24" s="175">
        <f t="shared" si="4"/>
        <v>134451.69</v>
      </c>
      <c r="Z24" s="175">
        <f t="shared" si="4"/>
        <v>137259.58800000002</v>
      </c>
      <c r="AA24" s="175">
        <f t="shared" si="4"/>
        <v>139025.86300000001</v>
      </c>
      <c r="AB24" s="175">
        <f t="shared" si="4"/>
        <v>139292.33300000001</v>
      </c>
      <c r="AC24" s="175">
        <f t="shared" si="4"/>
        <v>141436.95400000003</v>
      </c>
      <c r="AD24" s="175">
        <f t="shared" si="4"/>
        <v>141763.454</v>
      </c>
      <c r="AE24" s="175">
        <f t="shared" si="4"/>
        <v>142805.071</v>
      </c>
      <c r="AF24" s="175">
        <f t="shared" si="4"/>
        <v>142724.693</v>
      </c>
      <c r="AG24" s="175">
        <f t="shared" si="4"/>
        <v>143782.82200000001</v>
      </c>
      <c r="AH24" s="175">
        <f t="shared" si="4"/>
        <v>144658.52200000003</v>
      </c>
    </row>
    <row r="25" spans="1:34">
      <c r="A25" s="10" t="s">
        <v>352</v>
      </c>
      <c r="B25" s="37"/>
      <c r="C25" s="336">
        <f t="shared" ref="C25:AH25" si="5">C24/C4-1</f>
        <v>-1.2945349507225035E-2</v>
      </c>
      <c r="D25" s="336">
        <f t="shared" si="5"/>
        <v>-1.4901957932097809E-2</v>
      </c>
      <c r="E25" s="336">
        <f t="shared" si="5"/>
        <v>4.1298048098217244E-3</v>
      </c>
      <c r="F25" s="336">
        <f t="shared" si="5"/>
        <v>5.6682806097396732E-3</v>
      </c>
      <c r="G25" s="336">
        <f t="shared" si="5"/>
        <v>6.239894733773621E-3</v>
      </c>
      <c r="H25" s="82">
        <f t="shared" si="5"/>
        <v>7.1386422914050396E-3</v>
      </c>
      <c r="I25" s="82">
        <f t="shared" si="5"/>
        <v>8.1148275243310142E-3</v>
      </c>
      <c r="J25" s="82">
        <f t="shared" si="5"/>
        <v>9.3940006018937705E-3</v>
      </c>
      <c r="K25" s="82">
        <f t="shared" si="5"/>
        <v>9.7241953454079155E-3</v>
      </c>
      <c r="L25" s="82">
        <f t="shared" si="5"/>
        <v>9.6669556917095001E-3</v>
      </c>
      <c r="M25" s="82">
        <f t="shared" si="5"/>
        <v>9.915060808692866E-3</v>
      </c>
      <c r="N25" s="200">
        <f t="shared" si="5"/>
        <v>1.0228120437040245E-2</v>
      </c>
      <c r="O25" s="82">
        <f t="shared" si="5"/>
        <v>1.0551524035733229E-2</v>
      </c>
      <c r="P25" s="82">
        <f t="shared" si="5"/>
        <v>1.0911316882592059E-2</v>
      </c>
      <c r="Q25" s="82">
        <f t="shared" si="5"/>
        <v>1.1183299728209972E-2</v>
      </c>
      <c r="R25" s="82">
        <f t="shared" si="5"/>
        <v>1.1387153796098115E-2</v>
      </c>
      <c r="S25" s="82">
        <f t="shared" si="5"/>
        <v>1.1744518000417203E-2</v>
      </c>
      <c r="T25" s="82">
        <f t="shared" si="5"/>
        <v>1.2230870801289484E-2</v>
      </c>
      <c r="U25" s="82">
        <f t="shared" si="5"/>
        <v>1.2896611372641642E-2</v>
      </c>
      <c r="V25" s="82">
        <f t="shared" si="5"/>
        <v>1.320999468562678E-2</v>
      </c>
      <c r="W25" s="82">
        <f t="shared" si="5"/>
        <v>1.3820918117657621E-2</v>
      </c>
      <c r="X25" s="186">
        <f t="shared" si="5"/>
        <v>1.4196424420136688E-2</v>
      </c>
      <c r="Y25" s="173">
        <f t="shared" si="5"/>
        <v>1.472834203352269E-2</v>
      </c>
      <c r="Z25" s="173">
        <f t="shared" si="5"/>
        <v>1.4893379533228668E-2</v>
      </c>
      <c r="AA25" s="173">
        <f t="shared" si="5"/>
        <v>1.5187052922502664E-2</v>
      </c>
      <c r="AB25" s="173">
        <f t="shared" si="5"/>
        <v>1.5668196871189366E-2</v>
      </c>
      <c r="AC25" s="173">
        <f t="shared" si="5"/>
        <v>1.5919457400557668E-2</v>
      </c>
      <c r="AD25" s="173">
        <f t="shared" si="5"/>
        <v>1.6379959170425007E-2</v>
      </c>
      <c r="AE25" s="173">
        <f t="shared" si="5"/>
        <v>1.6767053895910822E-2</v>
      </c>
      <c r="AF25" s="173">
        <f t="shared" si="5"/>
        <v>1.7292411601678825E-2</v>
      </c>
      <c r="AG25" s="173">
        <f t="shared" si="5"/>
        <v>1.7696299875252786E-2</v>
      </c>
      <c r="AH25" s="173">
        <f t="shared" si="5"/>
        <v>1.9331991506861268E-2</v>
      </c>
    </row>
    <row r="26" spans="1:34">
      <c r="A26" s="10"/>
      <c r="B26" s="37"/>
      <c r="C26" s="336"/>
      <c r="D26" s="336"/>
      <c r="E26" s="336"/>
      <c r="F26" s="336"/>
      <c r="G26" s="336"/>
      <c r="H26" s="82"/>
      <c r="I26" s="82"/>
      <c r="J26" s="82"/>
      <c r="K26" s="82"/>
      <c r="L26" s="82"/>
      <c r="M26" s="82"/>
      <c r="N26" s="184" t="s">
        <v>0</v>
      </c>
      <c r="O26" s="91" t="s">
        <v>0</v>
      </c>
      <c r="P26" s="82"/>
      <c r="Q26" s="82"/>
      <c r="R26" s="82"/>
      <c r="S26" s="82"/>
      <c r="T26" s="82"/>
      <c r="U26" s="82"/>
      <c r="V26" s="82"/>
      <c r="W26" s="82"/>
      <c r="X26" s="186" t="s">
        <v>0</v>
      </c>
    </row>
    <row r="27" spans="1:34">
      <c r="A27" s="10"/>
      <c r="B27" s="37"/>
      <c r="C27" s="336"/>
      <c r="D27" s="336"/>
      <c r="E27" s="336"/>
      <c r="F27" s="336"/>
      <c r="G27" s="336"/>
      <c r="H27" s="165"/>
      <c r="I27" s="165"/>
      <c r="J27" s="165"/>
      <c r="K27" s="165"/>
      <c r="L27" s="165"/>
      <c r="M27" s="165"/>
      <c r="N27" s="184"/>
      <c r="O27" s="165"/>
      <c r="P27" s="165"/>
      <c r="Q27" s="165"/>
      <c r="R27" s="165"/>
      <c r="S27" s="165"/>
      <c r="T27" s="165"/>
      <c r="U27" s="165"/>
      <c r="V27" s="165"/>
      <c r="W27" s="165"/>
      <c r="X27" s="186"/>
    </row>
    <row r="28" spans="1:34">
      <c r="A28" s="9" t="s">
        <v>131</v>
      </c>
      <c r="B28" s="37"/>
      <c r="C28" s="336">
        <f t="shared" ref="C28:K28" si="6">C10/C$18</f>
        <v>0.19582769369669745</v>
      </c>
      <c r="D28" s="336">
        <f t="shared" si="6"/>
        <v>0.19782285639496378</v>
      </c>
      <c r="E28" s="336">
        <f t="shared" si="6"/>
        <v>9.4760231531843722E-2</v>
      </c>
      <c r="F28" s="336">
        <f t="shared" si="6"/>
        <v>9.1949854878221396E-2</v>
      </c>
      <c r="G28" s="336">
        <f t="shared" si="6"/>
        <v>0.10160693068571772</v>
      </c>
      <c r="H28" s="165">
        <f t="shared" si="6"/>
        <v>0.10349155930157908</v>
      </c>
      <c r="I28" s="165">
        <f t="shared" si="6"/>
        <v>0.11413079064938882</v>
      </c>
      <c r="J28" s="165">
        <f t="shared" si="6"/>
        <v>0.11552869263490503</v>
      </c>
      <c r="K28" s="165">
        <f t="shared" si="6"/>
        <v>0.16584927902272903</v>
      </c>
      <c r="L28" s="165">
        <f t="shared" ref="L28:L34" si="7">L10/L$18</f>
        <v>0.16905685383174307</v>
      </c>
      <c r="M28" s="165">
        <f t="shared" ref="M28:AH28" si="8">M10/M$18</f>
        <v>0.17505598642510503</v>
      </c>
      <c r="N28" s="186">
        <f t="shared" si="8"/>
        <v>0.17756777945620997</v>
      </c>
      <c r="O28" s="165">
        <f t="shared" si="8"/>
        <v>0.19461702592671382</v>
      </c>
      <c r="P28" s="165">
        <f t="shared" si="8"/>
        <v>0.22001207509564247</v>
      </c>
      <c r="Q28" s="165">
        <f t="shared" si="8"/>
        <v>0.22500353386673178</v>
      </c>
      <c r="R28" s="165">
        <f t="shared" si="8"/>
        <v>0.22703092088631149</v>
      </c>
      <c r="S28" s="165">
        <f t="shared" si="8"/>
        <v>0.20671454816759927</v>
      </c>
      <c r="T28" s="165">
        <f t="shared" si="8"/>
        <v>0.20625919997377276</v>
      </c>
      <c r="U28" s="165">
        <f t="shared" si="8"/>
        <v>0.20618335296997911</v>
      </c>
      <c r="V28" s="165">
        <f t="shared" si="8"/>
        <v>0.19896735649211922</v>
      </c>
      <c r="W28" s="165">
        <f t="shared" si="8"/>
        <v>0.20217175421414882</v>
      </c>
      <c r="X28" s="186">
        <f t="shared" si="8"/>
        <v>0.20279863696117292</v>
      </c>
      <c r="Y28" s="173">
        <f t="shared" si="8"/>
        <v>0.2034277279141668</v>
      </c>
      <c r="Z28" s="173">
        <f t="shared" si="8"/>
        <v>0.20096805606004156</v>
      </c>
      <c r="AA28" s="173">
        <f t="shared" si="8"/>
        <v>0.20148371663419617</v>
      </c>
      <c r="AB28" s="173">
        <f t="shared" si="8"/>
        <v>0.20223176033313053</v>
      </c>
      <c r="AC28" s="173">
        <f t="shared" si="8"/>
        <v>0.20268225737888418</v>
      </c>
      <c r="AD28" s="173">
        <f t="shared" si="8"/>
        <v>0.20956760131253371</v>
      </c>
      <c r="AE28" s="173">
        <f t="shared" si="8"/>
        <v>0.206187381156024</v>
      </c>
      <c r="AF28" s="173">
        <f t="shared" si="8"/>
        <v>0.20675818799753645</v>
      </c>
      <c r="AG28" s="173">
        <f t="shared" si="8"/>
        <v>0.20755603704905631</v>
      </c>
      <c r="AH28" s="173">
        <f t="shared" si="8"/>
        <v>0.20199405182119609</v>
      </c>
    </row>
    <row r="29" spans="1:34">
      <c r="A29" s="9" t="s">
        <v>52</v>
      </c>
      <c r="B29" s="37"/>
      <c r="C29" s="336">
        <f t="shared" ref="C29:K29" si="9">C11/C$18</f>
        <v>3.653501748072714E-5</v>
      </c>
      <c r="D29" s="336">
        <f t="shared" si="9"/>
        <v>3.6165056013704529E-5</v>
      </c>
      <c r="E29" s="336">
        <f t="shared" si="9"/>
        <v>2.1426944052170667E-5</v>
      </c>
      <c r="F29" s="336">
        <f t="shared" si="9"/>
        <v>1.907752497577107E-5</v>
      </c>
      <c r="G29" s="336">
        <f t="shared" si="9"/>
        <v>1.6036928298941687E-5</v>
      </c>
      <c r="H29" s="165">
        <f t="shared" si="9"/>
        <v>1.5191399249553993E-5</v>
      </c>
      <c r="I29" s="165">
        <f t="shared" si="9"/>
        <v>1.4619220260204285E-5</v>
      </c>
      <c r="J29" s="165">
        <f t="shared" si="9"/>
        <v>1.4331273198479778E-5</v>
      </c>
      <c r="K29" s="165">
        <f t="shared" si="9"/>
        <v>1.3506037556697839E-5</v>
      </c>
      <c r="L29" s="165">
        <f t="shared" si="7"/>
        <v>1.3454359603360634E-5</v>
      </c>
      <c r="M29" s="165">
        <f t="shared" ref="M29:AH29" si="10">M11/M$18</f>
        <v>1.3337802208422608E-5</v>
      </c>
      <c r="N29" s="186">
        <f t="shared" si="10"/>
        <v>1.3262530694303695E-5</v>
      </c>
      <c r="O29" s="165">
        <f t="shared" si="10"/>
        <v>1.295297509177863E-5</v>
      </c>
      <c r="P29" s="165">
        <f t="shared" si="10"/>
        <v>1.2508126999166122E-5</v>
      </c>
      <c r="Q29" s="165">
        <f t="shared" si="10"/>
        <v>1.2387579464618973E-5</v>
      </c>
      <c r="R29" s="165">
        <f t="shared" si="10"/>
        <v>1.2303818535606654E-5</v>
      </c>
      <c r="S29" s="165">
        <f t="shared" si="10"/>
        <v>1.2560751487654584E-5</v>
      </c>
      <c r="T29" s="165">
        <f t="shared" si="10"/>
        <v>1.2493916868050907E-5</v>
      </c>
      <c r="U29" s="165">
        <f t="shared" si="10"/>
        <v>1.2413983354164205E-5</v>
      </c>
      <c r="V29" s="165">
        <f t="shared" si="10"/>
        <v>1.2442357512703556E-5</v>
      </c>
      <c r="W29" s="165">
        <f t="shared" si="10"/>
        <v>1.230666218326759E-5</v>
      </c>
      <c r="X29" s="186">
        <f t="shared" si="10"/>
        <v>1.2206740535268746E-5</v>
      </c>
      <c r="Y29" s="173">
        <f t="shared" si="10"/>
        <v>1.21079284761902E-5</v>
      </c>
      <c r="Z29" s="173">
        <f t="shared" si="10"/>
        <v>1.2058225650665173E-5</v>
      </c>
      <c r="AA29" s="173">
        <f t="shared" si="10"/>
        <v>1.1966055030140038E-5</v>
      </c>
      <c r="AB29" s="173">
        <f t="shared" si="10"/>
        <v>1.1868931719353272E-5</v>
      </c>
      <c r="AC29" s="173">
        <f t="shared" si="10"/>
        <v>1.1774418946848639E-5</v>
      </c>
      <c r="AD29" s="173">
        <f t="shared" si="10"/>
        <v>1.15837283877022E-5</v>
      </c>
      <c r="AE29" s="173">
        <f t="shared" si="10"/>
        <v>1.1546727974249781E-5</v>
      </c>
      <c r="AF29" s="173">
        <f t="shared" si="10"/>
        <v>1.1452773954046501E-5</v>
      </c>
      <c r="AG29" s="173">
        <f t="shared" si="10"/>
        <v>1.1352051981590923E-5</v>
      </c>
      <c r="AH29" s="173">
        <f t="shared" si="10"/>
        <v>1.0934112014138769E-5</v>
      </c>
    </row>
    <row r="30" spans="1:34">
      <c r="A30" s="9" t="s">
        <v>53</v>
      </c>
      <c r="B30" s="37"/>
      <c r="C30" s="336">
        <f t="shared" ref="C30:K30" si="11">C12/C$18</f>
        <v>0.60830804105410685</v>
      </c>
      <c r="D30" s="336">
        <f t="shared" si="11"/>
        <v>0.60431808598900272</v>
      </c>
      <c r="E30" s="336">
        <f t="shared" si="11"/>
        <v>0.27403025883041326</v>
      </c>
      <c r="F30" s="336">
        <f t="shared" si="11"/>
        <v>0.28779953550423742</v>
      </c>
      <c r="G30" s="336">
        <f t="shared" si="11"/>
        <v>0.28819963846028107</v>
      </c>
      <c r="H30" s="165">
        <f t="shared" si="11"/>
        <v>0.27204423565317798</v>
      </c>
      <c r="I30" s="165">
        <f t="shared" si="11"/>
        <v>0.26182877293823265</v>
      </c>
      <c r="J30" s="165">
        <f t="shared" si="11"/>
        <v>0.25674891541999278</v>
      </c>
      <c r="K30" s="165">
        <f t="shared" si="11"/>
        <v>0.24204061857057743</v>
      </c>
      <c r="L30" s="165">
        <f t="shared" si="7"/>
        <v>0.24038796668447618</v>
      </c>
      <c r="M30" s="165">
        <f t="shared" ref="M30:AH30" si="12">M12/M$18</f>
        <v>0.23829970977876042</v>
      </c>
      <c r="N30" s="186">
        <f t="shared" si="12"/>
        <v>0.23700513701580139</v>
      </c>
      <c r="O30" s="165">
        <f t="shared" si="12"/>
        <v>0.23148961247172545</v>
      </c>
      <c r="P30" s="165">
        <f t="shared" si="12"/>
        <v>0.22352710894494812</v>
      </c>
      <c r="Q30" s="165">
        <f t="shared" si="12"/>
        <v>0.22135390520486573</v>
      </c>
      <c r="R30" s="165">
        <f t="shared" si="12"/>
        <v>0.21982715817189916</v>
      </c>
      <c r="S30" s="165">
        <f t="shared" si="12"/>
        <v>0.22438827915581852</v>
      </c>
      <c r="T30" s="165">
        <f t="shared" si="12"/>
        <v>0.22316209516539015</v>
      </c>
      <c r="U30" s="165">
        <f t="shared" si="12"/>
        <v>0.22169735624734518</v>
      </c>
      <c r="V30" s="165">
        <f t="shared" si="12"/>
        <v>0.22216302148517678</v>
      </c>
      <c r="W30" s="165">
        <f t="shared" si="12"/>
        <v>0.21970591729300296</v>
      </c>
      <c r="X30" s="186">
        <f t="shared" si="12"/>
        <v>0.21789849707070572</v>
      </c>
      <c r="Y30" s="173">
        <f t="shared" si="12"/>
        <v>0.21611187270653889</v>
      </c>
      <c r="Z30" s="173">
        <f t="shared" si="12"/>
        <v>0.21519977688423914</v>
      </c>
      <c r="AA30" s="173">
        <f t="shared" si="12"/>
        <v>0.21353102117799083</v>
      </c>
      <c r="AB30" s="173">
        <f t="shared" si="12"/>
        <v>0.21177473750344217</v>
      </c>
      <c r="AC30" s="173">
        <f t="shared" si="12"/>
        <v>0.21006352287247407</v>
      </c>
      <c r="AD30" s="173">
        <f t="shared" si="12"/>
        <v>0.20663830807785158</v>
      </c>
      <c r="AE30" s="173">
        <f t="shared" si="12"/>
        <v>0.20595713940021743</v>
      </c>
      <c r="AF30" s="173">
        <f t="shared" si="12"/>
        <v>0.20426205591425201</v>
      </c>
      <c r="AG30" s="173">
        <f t="shared" si="12"/>
        <v>0.20244579732902337</v>
      </c>
      <c r="AH30" s="173">
        <f t="shared" si="12"/>
        <v>0.20512000510491818</v>
      </c>
    </row>
    <row r="31" spans="1:34">
      <c r="A31" s="9" t="s">
        <v>353</v>
      </c>
      <c r="B31" s="37"/>
      <c r="C31" s="336">
        <f t="shared" ref="C31:K31" si="13">C13/C$18</f>
        <v>0</v>
      </c>
      <c r="D31" s="336">
        <f t="shared" si="13"/>
        <v>0</v>
      </c>
      <c r="E31" s="336">
        <f t="shared" si="13"/>
        <v>2.3816262583428217E-2</v>
      </c>
      <c r="F31" s="336">
        <f t="shared" si="13"/>
        <v>4.4784680655872336E-2</v>
      </c>
      <c r="G31" s="336">
        <f t="shared" si="13"/>
        <v>4.977910654776397E-2</v>
      </c>
      <c r="H31" s="165">
        <f t="shared" si="13"/>
        <v>5.7042488870135286E-2</v>
      </c>
      <c r="I31" s="165">
        <f t="shared" si="13"/>
        <v>6.3371395983933529E-2</v>
      </c>
      <c r="J31" s="165">
        <f t="shared" si="13"/>
        <v>6.9311626384395614E-2</v>
      </c>
      <c r="K31" s="165">
        <f t="shared" si="13"/>
        <v>6.5791690629191033E-2</v>
      </c>
      <c r="L31" s="165">
        <f t="shared" si="7"/>
        <v>6.628868796058561E-2</v>
      </c>
      <c r="M31" s="165">
        <f t="shared" ref="M31:AH31" si="14">M13/M$18</f>
        <v>6.6970572046732832E-2</v>
      </c>
      <c r="N31" s="186">
        <f t="shared" si="14"/>
        <v>6.8503490916910492E-2</v>
      </c>
      <c r="O31" s="165">
        <f t="shared" si="14"/>
        <v>6.8989229225574919E-2</v>
      </c>
      <c r="P31" s="165">
        <f t="shared" si="14"/>
        <v>6.8735159810897631E-2</v>
      </c>
      <c r="Q31" s="165">
        <f t="shared" si="14"/>
        <v>7.0324412496436561E-2</v>
      </c>
      <c r="R31" s="165">
        <f t="shared" si="14"/>
        <v>7.2390377621539242E-2</v>
      </c>
      <c r="S31" s="165">
        <f t="shared" si="14"/>
        <v>7.6855470127512107E-2</v>
      </c>
      <c r="T31" s="165">
        <f t="shared" si="14"/>
        <v>7.954102247042194E-2</v>
      </c>
      <c r="U31" s="165">
        <f t="shared" si="14"/>
        <v>8.2311413189119928E-2</v>
      </c>
      <c r="V31" s="165">
        <f t="shared" si="14"/>
        <v>8.590738648143581E-2</v>
      </c>
      <c r="W31" s="165">
        <f t="shared" si="14"/>
        <v>8.8522682550596601E-2</v>
      </c>
      <c r="X31" s="186">
        <f t="shared" si="14"/>
        <v>9.1624770996970015E-2</v>
      </c>
      <c r="Y31" s="173">
        <f t="shared" si="14"/>
        <v>9.4734369666268317E-2</v>
      </c>
      <c r="Z31" s="173">
        <f t="shared" si="14"/>
        <v>9.8158780086674766E-2</v>
      </c>
      <c r="AA31" s="173">
        <f t="shared" si="14"/>
        <v>0.1011710807110292</v>
      </c>
      <c r="AB31" s="173">
        <f t="shared" si="14"/>
        <v>0.10411676151782794</v>
      </c>
      <c r="AC31" s="173">
        <f t="shared" si="14"/>
        <v>0.10710505999649289</v>
      </c>
      <c r="AD31" s="173">
        <f t="shared" si="14"/>
        <v>0.10918440115211298</v>
      </c>
      <c r="AE31" s="173">
        <f t="shared" si="14"/>
        <v>0.11266893021793836</v>
      </c>
      <c r="AF31" s="173">
        <f t="shared" si="14"/>
        <v>0.11557154535863681</v>
      </c>
      <c r="AG31" s="173">
        <f t="shared" si="14"/>
        <v>0.11840462666046887</v>
      </c>
      <c r="AH31" s="173">
        <f t="shared" si="14"/>
        <v>0.13631776130267084</v>
      </c>
    </row>
    <row r="32" spans="1:34">
      <c r="A32" s="9" t="s">
        <v>354</v>
      </c>
      <c r="B32" s="37"/>
      <c r="C32" s="336">
        <f t="shared" ref="C32:K32" si="15">C14/C$18</f>
        <v>0</v>
      </c>
      <c r="D32" s="336">
        <f t="shared" si="15"/>
        <v>0</v>
      </c>
      <c r="E32" s="336">
        <f t="shared" si="15"/>
        <v>2.1426944052170666E-4</v>
      </c>
      <c r="F32" s="336">
        <f t="shared" si="15"/>
        <v>1.9077524975771068E-4</v>
      </c>
      <c r="G32" s="336">
        <f t="shared" si="15"/>
        <v>1.6036928298941689E-4</v>
      </c>
      <c r="H32" s="165">
        <f t="shared" si="15"/>
        <v>1.5191399249553993E-4</v>
      </c>
      <c r="I32" s="165">
        <f t="shared" si="15"/>
        <v>1.4619220260204285E-4</v>
      </c>
      <c r="J32" s="165">
        <f t="shared" si="15"/>
        <v>1.4331273198479777E-4</v>
      </c>
      <c r="K32" s="165">
        <f t="shared" si="15"/>
        <v>1.3506037556697839E-4</v>
      </c>
      <c r="L32" s="165">
        <f t="shared" si="7"/>
        <v>1.3454359603360633E-4</v>
      </c>
      <c r="M32" s="165">
        <f t="shared" ref="M32:AH32" si="16">M14/M$18</f>
        <v>1.3337802208422607E-4</v>
      </c>
      <c r="N32" s="186">
        <f t="shared" si="16"/>
        <v>1.3262530694303694E-4</v>
      </c>
      <c r="O32" s="165">
        <f t="shared" si="16"/>
        <v>1.2952975091778628E-4</v>
      </c>
      <c r="P32" s="165">
        <f t="shared" si="16"/>
        <v>1.2508126999166122E-4</v>
      </c>
      <c r="Q32" s="165">
        <f t="shared" si="16"/>
        <v>1.2387579464618974E-4</v>
      </c>
      <c r="R32" s="165">
        <f t="shared" si="16"/>
        <v>1.2303818535606652E-4</v>
      </c>
      <c r="S32" s="165">
        <f t="shared" si="16"/>
        <v>1.2560751487654585E-4</v>
      </c>
      <c r="T32" s="165">
        <f t="shared" si="16"/>
        <v>1.2493916868050909E-4</v>
      </c>
      <c r="U32" s="165">
        <f t="shared" si="16"/>
        <v>1.2413983354164204E-4</v>
      </c>
      <c r="V32" s="165">
        <f t="shared" si="16"/>
        <v>1.2442357512703554E-4</v>
      </c>
      <c r="W32" s="165">
        <f t="shared" si="16"/>
        <v>1.2306662183267589E-4</v>
      </c>
      <c r="X32" s="186">
        <f t="shared" si="16"/>
        <v>1.2206740535268745E-4</v>
      </c>
      <c r="Y32" s="173">
        <f t="shared" si="16"/>
        <v>1.21079284761902E-4</v>
      </c>
      <c r="Z32" s="173">
        <f t="shared" si="16"/>
        <v>1.2058225650665171E-4</v>
      </c>
      <c r="AA32" s="173">
        <f t="shared" si="16"/>
        <v>1.1966055030140038E-4</v>
      </c>
      <c r="AB32" s="173">
        <f t="shared" si="16"/>
        <v>1.1868931719353271E-4</v>
      </c>
      <c r="AC32" s="173">
        <f t="shared" si="16"/>
        <v>1.1774418946848638E-4</v>
      </c>
      <c r="AD32" s="173">
        <f t="shared" si="16"/>
        <v>1.15837283877022E-4</v>
      </c>
      <c r="AE32" s="173">
        <f t="shared" si="16"/>
        <v>1.154672797424978E-4</v>
      </c>
      <c r="AF32" s="173">
        <f t="shared" si="16"/>
        <v>1.1452773954046501E-4</v>
      </c>
      <c r="AG32" s="173">
        <f t="shared" si="16"/>
        <v>1.1352051981590921E-4</v>
      </c>
      <c r="AH32" s="173">
        <f t="shared" si="16"/>
        <v>1.0934112014138769E-4</v>
      </c>
    </row>
    <row r="33" spans="1:36">
      <c r="A33" s="9" t="s">
        <v>350</v>
      </c>
      <c r="B33" s="37"/>
      <c r="C33" s="336">
        <f t="shared" ref="C33:K33" si="17">C15/C$18</f>
        <v>3.6535017480727142E-8</v>
      </c>
      <c r="D33" s="336">
        <f t="shared" si="17"/>
        <v>3.6165056013704534E-8</v>
      </c>
      <c r="E33" s="336">
        <f t="shared" si="17"/>
        <v>2.1426944052170668E-8</v>
      </c>
      <c r="F33" s="336">
        <f t="shared" si="17"/>
        <v>1.9077524975771067E-8</v>
      </c>
      <c r="G33" s="336">
        <f t="shared" si="17"/>
        <v>1.6036928298941687E-8</v>
      </c>
      <c r="H33" s="165">
        <f t="shared" si="17"/>
        <v>1.5191399249553993E-8</v>
      </c>
      <c r="I33" s="165">
        <f t="shared" si="17"/>
        <v>1.4619220260204285E-8</v>
      </c>
      <c r="J33" s="165">
        <f t="shared" si="17"/>
        <v>1.4331273198479778E-8</v>
      </c>
      <c r="K33" s="165">
        <f t="shared" si="17"/>
        <v>1.3506037556697838E-8</v>
      </c>
      <c r="L33" s="165">
        <f t="shared" si="7"/>
        <v>1.3454359603360634E-8</v>
      </c>
      <c r="M33" s="165">
        <f t="shared" ref="M33:AH33" si="18">M15/M$18</f>
        <v>1.3337802208422608E-8</v>
      </c>
      <c r="N33" s="186">
        <f t="shared" si="18"/>
        <v>1.3262530694303695E-8</v>
      </c>
      <c r="O33" s="165">
        <f t="shared" si="18"/>
        <v>1.2952975091778629E-8</v>
      </c>
      <c r="P33" s="165">
        <f t="shared" si="18"/>
        <v>1.2508126999166122E-8</v>
      </c>
      <c r="Q33" s="165">
        <f t="shared" si="18"/>
        <v>1.2387579464618974E-8</v>
      </c>
      <c r="R33" s="165">
        <f t="shared" si="18"/>
        <v>1.2303818535606655E-8</v>
      </c>
      <c r="S33" s="165">
        <f t="shared" si="18"/>
        <v>1.2560751487654585E-8</v>
      </c>
      <c r="T33" s="165">
        <f t="shared" si="18"/>
        <v>1.2493916868050907E-8</v>
      </c>
      <c r="U33" s="165">
        <f t="shared" si="18"/>
        <v>1.2413983354164204E-8</v>
      </c>
      <c r="V33" s="165">
        <f t="shared" si="18"/>
        <v>1.2442357512703555E-8</v>
      </c>
      <c r="W33" s="165">
        <f t="shared" si="18"/>
        <v>1.2306662183267591E-8</v>
      </c>
      <c r="X33" s="186">
        <f t="shared" si="18"/>
        <v>1.2206740535268746E-8</v>
      </c>
      <c r="Y33" s="173">
        <f t="shared" si="18"/>
        <v>1.21079284761902E-8</v>
      </c>
      <c r="Z33" s="173">
        <f t="shared" si="18"/>
        <v>1.2058225650665172E-8</v>
      </c>
      <c r="AA33" s="173">
        <f t="shared" si="18"/>
        <v>1.1966055030140038E-8</v>
      </c>
      <c r="AB33" s="173">
        <f t="shared" si="18"/>
        <v>1.1868931719353272E-8</v>
      </c>
      <c r="AC33" s="173">
        <f t="shared" si="18"/>
        <v>1.1774418946848639E-8</v>
      </c>
      <c r="AD33" s="173">
        <f t="shared" si="18"/>
        <v>1.1583728387702201E-8</v>
      </c>
      <c r="AE33" s="173">
        <f t="shared" si="18"/>
        <v>1.154672797424978E-8</v>
      </c>
      <c r="AF33" s="173">
        <f t="shared" si="18"/>
        <v>1.1452773954046501E-8</v>
      </c>
      <c r="AG33" s="173">
        <f t="shared" si="18"/>
        <v>1.1352051981590921E-8</v>
      </c>
      <c r="AH33" s="173">
        <f t="shared" si="18"/>
        <v>1.093411201413877E-8</v>
      </c>
    </row>
    <row r="34" spans="1:36">
      <c r="A34" s="9" t="s">
        <v>55</v>
      </c>
      <c r="B34" s="37"/>
      <c r="C34" s="336">
        <f t="shared" ref="C34:K34" si="19">C16/C$18</f>
        <v>0.19582769369669745</v>
      </c>
      <c r="D34" s="336">
        <f t="shared" si="19"/>
        <v>0.19782285639496378</v>
      </c>
      <c r="E34" s="336">
        <f t="shared" si="19"/>
        <v>0.60715752924279687</v>
      </c>
      <c r="F34" s="336">
        <f t="shared" si="19"/>
        <v>0.57525605710941041</v>
      </c>
      <c r="G34" s="336">
        <f t="shared" si="19"/>
        <v>0.5602379020580206</v>
      </c>
      <c r="H34" s="165">
        <f t="shared" si="19"/>
        <v>0.56725459559196334</v>
      </c>
      <c r="I34" s="165">
        <f t="shared" si="19"/>
        <v>0.56050821438636234</v>
      </c>
      <c r="J34" s="165">
        <f t="shared" si="19"/>
        <v>0.55825310722425003</v>
      </c>
      <c r="K34" s="165">
        <f t="shared" si="19"/>
        <v>0.52616983185834121</v>
      </c>
      <c r="L34" s="165">
        <f t="shared" si="7"/>
        <v>0.5241184801131985</v>
      </c>
      <c r="M34" s="165">
        <f t="shared" ref="M34:AH34" si="20">M16/M$18</f>
        <v>0.51952700258730689</v>
      </c>
      <c r="N34" s="186">
        <f t="shared" si="20"/>
        <v>0.51677769151091013</v>
      </c>
      <c r="O34" s="165">
        <f t="shared" si="20"/>
        <v>0.50476163669700125</v>
      </c>
      <c r="P34" s="165">
        <f t="shared" si="20"/>
        <v>0.48758805424339396</v>
      </c>
      <c r="Q34" s="165">
        <f t="shared" si="20"/>
        <v>0.48318187267027568</v>
      </c>
      <c r="R34" s="165">
        <f t="shared" si="20"/>
        <v>0.48061618901253994</v>
      </c>
      <c r="S34" s="165">
        <f t="shared" si="20"/>
        <v>0.49190352172195445</v>
      </c>
      <c r="T34" s="165">
        <f t="shared" si="20"/>
        <v>0.49090023681094974</v>
      </c>
      <c r="U34" s="165">
        <f t="shared" si="20"/>
        <v>0.48967131136267666</v>
      </c>
      <c r="V34" s="165">
        <f t="shared" si="20"/>
        <v>0.49282535716627102</v>
      </c>
      <c r="W34" s="165">
        <f t="shared" si="20"/>
        <v>0.48946426035157348</v>
      </c>
      <c r="X34" s="186">
        <f t="shared" si="20"/>
        <v>0.48754380861852276</v>
      </c>
      <c r="Y34" s="173">
        <f t="shared" si="20"/>
        <v>0.48559283039185941</v>
      </c>
      <c r="Z34" s="173">
        <f t="shared" si="20"/>
        <v>0.48554073442866152</v>
      </c>
      <c r="AA34" s="173">
        <f t="shared" si="20"/>
        <v>0.48368254290539708</v>
      </c>
      <c r="AB34" s="173">
        <f t="shared" si="20"/>
        <v>0.48174617052775481</v>
      </c>
      <c r="AC34" s="173">
        <f t="shared" si="20"/>
        <v>0.48001962936931469</v>
      </c>
      <c r="AD34" s="173">
        <f t="shared" si="20"/>
        <v>0.47448225686150863</v>
      </c>
      <c r="AE34" s="173">
        <f t="shared" si="20"/>
        <v>0.47505952367137538</v>
      </c>
      <c r="AF34" s="173">
        <f t="shared" si="20"/>
        <v>0.47328221876330634</v>
      </c>
      <c r="AG34" s="173">
        <f t="shared" si="20"/>
        <v>0.47146865503760194</v>
      </c>
      <c r="AH34" s="173">
        <f t="shared" si="20"/>
        <v>0.45644789560494731</v>
      </c>
    </row>
    <row r="35" spans="1:36">
      <c r="A35" s="10"/>
      <c r="B35" s="37"/>
      <c r="C35" s="336"/>
      <c r="D35" s="336"/>
      <c r="E35" s="336"/>
      <c r="F35" s="336"/>
      <c r="G35" s="336"/>
      <c r="H35" s="165"/>
      <c r="I35" s="165"/>
      <c r="J35" s="165"/>
      <c r="K35" s="165"/>
      <c r="L35" s="165"/>
      <c r="M35" s="165"/>
      <c r="N35" s="184"/>
      <c r="O35" s="165"/>
      <c r="P35" s="165"/>
      <c r="Q35" s="165"/>
      <c r="R35" s="165"/>
      <c r="S35" s="165"/>
      <c r="T35" s="165"/>
      <c r="U35" s="165"/>
      <c r="V35" s="165"/>
      <c r="W35" s="165"/>
      <c r="X35" s="186"/>
    </row>
    <row r="36" spans="1:36">
      <c r="A36" s="10"/>
      <c r="B36" s="37"/>
      <c r="C36" s="336"/>
      <c r="D36" s="336"/>
      <c r="E36" s="336"/>
      <c r="F36" s="336"/>
      <c r="G36" s="336"/>
      <c r="H36" s="165"/>
      <c r="I36" s="165"/>
      <c r="J36" s="165"/>
      <c r="K36" s="165"/>
      <c r="L36" s="165"/>
      <c r="M36" s="165"/>
      <c r="N36" s="184"/>
      <c r="O36" s="165"/>
      <c r="P36" s="165"/>
      <c r="Q36" s="165"/>
      <c r="R36" s="165"/>
      <c r="S36" s="165"/>
      <c r="T36" s="165"/>
      <c r="U36" s="165"/>
      <c r="V36" s="165"/>
      <c r="W36" s="165"/>
      <c r="X36" s="186"/>
    </row>
    <row r="37" spans="1:36">
      <c r="A37" s="10"/>
      <c r="B37" s="37"/>
      <c r="C37" s="336"/>
      <c r="D37" s="336"/>
      <c r="E37" s="336"/>
      <c r="F37" s="336"/>
      <c r="G37" s="336"/>
      <c r="H37" s="165"/>
      <c r="I37" s="165"/>
      <c r="J37" s="165"/>
      <c r="K37" s="165"/>
      <c r="L37" s="165"/>
      <c r="M37" s="165"/>
      <c r="N37" s="184"/>
      <c r="O37" s="165"/>
      <c r="P37" s="165"/>
      <c r="Q37" s="165"/>
      <c r="R37" s="165"/>
      <c r="S37" s="165"/>
      <c r="T37" s="165"/>
      <c r="U37" s="165"/>
      <c r="V37" s="165"/>
      <c r="W37" s="165"/>
      <c r="X37" s="186"/>
    </row>
    <row r="38" spans="1:36">
      <c r="A38" s="10"/>
      <c r="B38" s="37"/>
      <c r="C38" s="336"/>
      <c r="D38" s="336"/>
      <c r="E38" s="336"/>
      <c r="F38" s="336"/>
      <c r="G38" s="336"/>
      <c r="H38" s="165"/>
      <c r="I38" s="165"/>
      <c r="J38" s="165"/>
      <c r="K38" s="165"/>
      <c r="L38" s="165"/>
      <c r="M38" s="165"/>
      <c r="N38" s="184"/>
      <c r="O38" s="165"/>
      <c r="P38" s="165"/>
      <c r="Q38" s="165"/>
      <c r="R38" s="165"/>
      <c r="S38" s="165"/>
      <c r="T38" s="165"/>
      <c r="U38" s="165"/>
      <c r="V38" s="165"/>
      <c r="W38" s="165"/>
      <c r="X38" s="186"/>
    </row>
    <row r="39" spans="1:36">
      <c r="A39" s="1" t="s">
        <v>145</v>
      </c>
      <c r="B39" s="13"/>
      <c r="D39" s="337"/>
      <c r="E39" s="337"/>
      <c r="F39" s="337"/>
      <c r="G39" s="337"/>
      <c r="H39" s="16"/>
      <c r="I39" s="16"/>
      <c r="J39" s="16"/>
      <c r="K39" s="16"/>
      <c r="L39" s="16"/>
      <c r="M39" s="16"/>
      <c r="N39" s="394" t="s">
        <v>0</v>
      </c>
    </row>
    <row r="40" spans="1:36" ht="15">
      <c r="A40" s="8" t="s">
        <v>63</v>
      </c>
      <c r="B40" s="34">
        <v>0</v>
      </c>
      <c r="C40" s="335">
        <f>C5*Inputs!$C$44</f>
        <v>0</v>
      </c>
      <c r="D40" s="335">
        <f>D5*Inputs!$C$44</f>
        <v>0</v>
      </c>
      <c r="E40" s="335">
        <f>E5*Inputs!$C$44</f>
        <v>0</v>
      </c>
      <c r="F40" s="335">
        <f>F5*Inputs!$C$44</f>
        <v>0</v>
      </c>
      <c r="G40" s="335">
        <f>G5*Inputs!$C$44</f>
        <v>0</v>
      </c>
      <c r="H40" s="14">
        <f>H5*Inputs!$C$44</f>
        <v>0</v>
      </c>
      <c r="I40" s="14">
        <f>I5*Inputs!$C$44</f>
        <v>0</v>
      </c>
      <c r="J40" s="14">
        <f>J5*Inputs!$C$44</f>
        <v>0</v>
      </c>
      <c r="K40" s="14">
        <f>K5*Inputs!$C$44</f>
        <v>0</v>
      </c>
      <c r="L40" s="14">
        <f>L5*Inputs!$C$44</f>
        <v>0</v>
      </c>
      <c r="M40" s="14">
        <f>M5*Inputs!$C$44</f>
        <v>0</v>
      </c>
      <c r="N40" s="191">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8">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62</v>
      </c>
      <c r="B41" s="34">
        <v>0</v>
      </c>
      <c r="C41" s="335">
        <f>C6*Inputs!$C$47</f>
        <v>0</v>
      </c>
      <c r="D41" s="335">
        <f>D6*Inputs!$C$47</f>
        <v>0</v>
      </c>
      <c r="E41" s="335" t="s">
        <v>383</v>
      </c>
      <c r="F41" s="335">
        <f>F6*Inputs!$C$47</f>
        <v>0</v>
      </c>
      <c r="G41" s="335">
        <f>G6*Inputs!$C$47</f>
        <v>0</v>
      </c>
      <c r="H41" s="14">
        <f>H6*Inputs!$C$47</f>
        <v>0</v>
      </c>
      <c r="I41" s="14">
        <f>I6*Inputs!$C$47</f>
        <v>0</v>
      </c>
      <c r="J41" s="14">
        <f>J6*Inputs!$C$47</f>
        <v>0</v>
      </c>
      <c r="K41" s="14">
        <f>K6*Inputs!$C$47</f>
        <v>0</v>
      </c>
      <c r="L41" s="14">
        <f>L6*Inputs!$C$47</f>
        <v>0</v>
      </c>
      <c r="M41" s="14">
        <f>M6*Inputs!$C$47</f>
        <v>0</v>
      </c>
      <c r="N41" s="191">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8">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51</v>
      </c>
      <c r="B42" s="34">
        <v>0</v>
      </c>
      <c r="C42" s="335">
        <f>C7*Inputs!$C$48</f>
        <v>4142.2499849999995</v>
      </c>
      <c r="D42" s="335">
        <f>D7*Inputs!$C$48</f>
        <v>3820.7999849999997</v>
      </c>
      <c r="E42" s="335">
        <f>E7*Inputs!$C$48</f>
        <v>4198.0609350000004</v>
      </c>
      <c r="F42" s="335">
        <f>F7*Inputs!$C$48</f>
        <v>3696.508335</v>
      </c>
      <c r="G42" s="335">
        <f>G7*Inputs!$C$48</f>
        <v>4033.1236349999999</v>
      </c>
      <c r="H42" s="14">
        <f>H7*Inputs!$C$48</f>
        <v>4121.7026849999993</v>
      </c>
      <c r="I42" s="14">
        <f>I7*Inputs!$C$48</f>
        <v>4205.8408349999991</v>
      </c>
      <c r="J42" s="14">
        <f>J7*Inputs!$C$48</f>
        <v>4293.906434999999</v>
      </c>
      <c r="K42" s="14">
        <f>K7*Inputs!$C$48</f>
        <v>4340.8117350000002</v>
      </c>
      <c r="L42" s="14">
        <f>L7*Inputs!$C$48</f>
        <v>4340.8117350000002</v>
      </c>
      <c r="M42" s="14">
        <f>M7*Inputs!$C$48</f>
        <v>4340.8117350000002</v>
      </c>
      <c r="N42" s="191">
        <f>N7*Inputs!$C$48</f>
        <v>4340.8117350000002</v>
      </c>
      <c r="O42" s="14">
        <f>O7*Inputs!$C$48</f>
        <v>4340.8117350000002</v>
      </c>
      <c r="P42" s="14">
        <f>P7*Inputs!$C$48</f>
        <v>4340.8106849999995</v>
      </c>
      <c r="Q42" s="14">
        <f>Q7*Inputs!$C$48</f>
        <v>4368.8480849999996</v>
      </c>
      <c r="R42" s="14">
        <f>R7*Inputs!$C$48</f>
        <v>4368.8474850000002</v>
      </c>
      <c r="S42" s="14">
        <f>S7*Inputs!$C$48</f>
        <v>4368.8486849999999</v>
      </c>
      <c r="T42" s="14">
        <f>T7*Inputs!$C$48</f>
        <v>4368.8492849999993</v>
      </c>
      <c r="U42" s="14">
        <f>U7*Inputs!$C$48</f>
        <v>4368.8492849999993</v>
      </c>
      <c r="V42" s="14">
        <f>V7*Inputs!$C$48</f>
        <v>4368.8480849999996</v>
      </c>
      <c r="W42" s="14">
        <f>W7*Inputs!$C$48</f>
        <v>4368.8492849999993</v>
      </c>
      <c r="X42" s="188">
        <f>X7*Inputs!$C$48</f>
        <v>4368.8492849999993</v>
      </c>
      <c r="Y42" s="14">
        <f>Y7*Inputs!$C$48</f>
        <v>4368.8492849999993</v>
      </c>
      <c r="Z42" s="14">
        <f>Z7*Inputs!$C$48</f>
        <v>4368.8492849999993</v>
      </c>
      <c r="AA42" s="14">
        <f>AA7*Inputs!$C$48</f>
        <v>4368.8492849999993</v>
      </c>
      <c r="AB42" s="14">
        <f>AB7*Inputs!$C$48</f>
        <v>4368.8492849999993</v>
      </c>
      <c r="AC42" s="14">
        <f>AC7*Inputs!$C$48</f>
        <v>4368.8492849999993</v>
      </c>
      <c r="AD42" s="14">
        <f>AD7*Inputs!$C$48</f>
        <v>4368.8492849999993</v>
      </c>
      <c r="AE42" s="14">
        <f>AE7*Inputs!$C$48</f>
        <v>4368.8492849999993</v>
      </c>
      <c r="AF42" s="14">
        <f>AF7*Inputs!$C$48</f>
        <v>4368.8492849999993</v>
      </c>
      <c r="AG42" s="14">
        <f>AG7*Inputs!$C$48</f>
        <v>4368.8492849999993</v>
      </c>
      <c r="AH42" s="14">
        <f>AH7*Inputs!$C$48</f>
        <v>4368.8492849999993</v>
      </c>
    </row>
    <row r="43" spans="1:36" ht="15">
      <c r="A43" s="8" t="s">
        <v>61</v>
      </c>
      <c r="B43" s="34">
        <v>0</v>
      </c>
      <c r="C43" s="335">
        <f>C8*Inputs!$C$53</f>
        <v>6087.9000000000005</v>
      </c>
      <c r="D43" s="335">
        <f>D8*Inputs!$C$53</f>
        <v>5861.8</v>
      </c>
      <c r="E43" s="335">
        <f>E8*Inputs!$C$53</f>
        <v>5977.2998600000001</v>
      </c>
      <c r="F43" s="335">
        <f>F8*Inputs!$C$53</f>
        <v>5708.4998600000008</v>
      </c>
      <c r="G43" s="335">
        <f>G8*Inputs!$C$53</f>
        <v>5692.2034400000011</v>
      </c>
      <c r="H43" s="14">
        <f>H8*Inputs!$C$53</f>
        <v>5692.2034400000011</v>
      </c>
      <c r="I43" s="14">
        <f>I8*Inputs!$C$53</f>
        <v>5318.0649199999998</v>
      </c>
      <c r="J43" s="14">
        <f>J8*Inputs!$C$53</f>
        <v>5372.8025400000006</v>
      </c>
      <c r="K43" s="14">
        <f>K8*Inputs!$C$53</f>
        <v>5372.8025400000006</v>
      </c>
      <c r="L43" s="14">
        <f>L8*Inputs!$C$53</f>
        <v>5372.8025400000006</v>
      </c>
      <c r="M43" s="14">
        <f>M8*Inputs!$C$53</f>
        <v>5372.8025400000006</v>
      </c>
      <c r="N43" s="191">
        <f>N8*Inputs!$C$53</f>
        <v>5372.8025400000006</v>
      </c>
      <c r="O43" s="14">
        <f>O8*Inputs!$C$53</f>
        <v>5372.8025400000006</v>
      </c>
      <c r="P43" s="14">
        <f>P8*Inputs!$C$53</f>
        <v>5372.8025400000006</v>
      </c>
      <c r="Q43" s="14">
        <f>Q8*Inputs!$C$53</f>
        <v>5372.8025400000006</v>
      </c>
      <c r="R43" s="14">
        <f>R8*Inputs!$C$53</f>
        <v>5372.8025400000006</v>
      </c>
      <c r="S43" s="14">
        <f>S8*Inputs!$C$53</f>
        <v>5372.8025400000006</v>
      </c>
      <c r="T43" s="14">
        <f>T8*Inputs!$C$53</f>
        <v>5372.8025400000006</v>
      </c>
      <c r="U43" s="14">
        <f>U8*Inputs!$C$53</f>
        <v>5372.8025400000006</v>
      </c>
      <c r="V43" s="14">
        <f>V8*Inputs!$C$53</f>
        <v>5372.8025400000006</v>
      </c>
      <c r="W43" s="14">
        <f>W8*Inputs!$C$53</f>
        <v>5372.8025400000006</v>
      </c>
      <c r="X43" s="188">
        <f>X8*Inputs!$C$53</f>
        <v>5372.8025400000006</v>
      </c>
      <c r="Y43" s="14">
        <f>Y8*Inputs!$C$53</f>
        <v>5372.8025400000006</v>
      </c>
      <c r="Z43" s="14">
        <f>Z8*Inputs!$C$53</f>
        <v>5372.8025400000006</v>
      </c>
      <c r="AA43" s="14">
        <f>AA8*Inputs!$C$53</f>
        <v>5372.8025400000006</v>
      </c>
      <c r="AB43" s="14">
        <f>AB8*Inputs!$C$53</f>
        <v>5372.8025400000006</v>
      </c>
      <c r="AC43" s="14">
        <f>AC8*Inputs!$C$53</f>
        <v>5372.8025400000006</v>
      </c>
      <c r="AD43" s="14">
        <f>AD8*Inputs!$C$53</f>
        <v>5372.8025400000006</v>
      </c>
      <c r="AE43" s="14">
        <f>AE8*Inputs!$C$53</f>
        <v>5372.8025400000006</v>
      </c>
      <c r="AF43" s="14">
        <f>AF8*Inputs!$C$53</f>
        <v>5372.8025400000006</v>
      </c>
      <c r="AG43" s="14">
        <f>AG8*Inputs!$C$53</f>
        <v>5372.8025400000006</v>
      </c>
      <c r="AH43" s="14">
        <f>AH8*Inputs!$C$53</f>
        <v>5372.8025400000006</v>
      </c>
    </row>
    <row r="44" spans="1:36" ht="15">
      <c r="A44" s="8" t="s">
        <v>127</v>
      </c>
      <c r="B44" s="34">
        <v>1</v>
      </c>
      <c r="C44" s="335">
        <f>C10*Inputs!$C$46</f>
        <v>112.56</v>
      </c>
      <c r="D44" s="335">
        <f>D10*Inputs!$C$46</f>
        <v>114.86999999999999</v>
      </c>
      <c r="E44" s="335">
        <f>E10*Inputs!$C$46</f>
        <v>92.872079999999997</v>
      </c>
      <c r="F44" s="335">
        <f>F10*Inputs!$C$46</f>
        <v>101.2158</v>
      </c>
      <c r="G44" s="335">
        <f>G10*Inputs!$C$46</f>
        <v>133.05200999999997</v>
      </c>
      <c r="H44" s="14">
        <f>H10*Inputs!$C$46</f>
        <v>143.06271000000001</v>
      </c>
      <c r="I44" s="14">
        <f>I10*Inputs!$C$46</f>
        <v>163.94489999999999</v>
      </c>
      <c r="J44" s="14">
        <f>J10*Inputs!$C$46</f>
        <v>169.28729999999999</v>
      </c>
      <c r="K44" s="14">
        <f>K10*Inputs!$C$46</f>
        <v>257.87243999999998</v>
      </c>
      <c r="L44" s="14">
        <f>L10*Inputs!$C$46</f>
        <v>263.86940999999996</v>
      </c>
      <c r="M44" s="14">
        <f>M10*Inputs!$C$46</f>
        <v>275.62079999999997</v>
      </c>
      <c r="N44" s="191">
        <f>N10*Inputs!$C$46</f>
        <v>281.16227999999995</v>
      </c>
      <c r="O44" s="14">
        <f>O10*Inputs!$C$46</f>
        <v>315.52269000000001</v>
      </c>
      <c r="P44" s="14">
        <f>P10*Inputs!$C$46</f>
        <v>369.38013000000001</v>
      </c>
      <c r="Q44" s="14">
        <f>Q10*Inputs!$C$46</f>
        <v>381.43644</v>
      </c>
      <c r="R44" s="14">
        <f>R10*Inputs!$C$46</f>
        <v>387.49347</v>
      </c>
      <c r="S44" s="14">
        <f>S10*Inputs!$C$46</f>
        <v>345.60077999999999</v>
      </c>
      <c r="T44" s="14">
        <f>T10*Inputs!$C$46</f>
        <v>346.68416999999999</v>
      </c>
      <c r="U44" s="14">
        <f>U10*Inputs!$C$46</f>
        <v>348.78816</v>
      </c>
      <c r="V44" s="14">
        <f>V10*Inputs!$C$46</f>
        <v>335.81373000000002</v>
      </c>
      <c r="W44" s="14">
        <f>W10*Inputs!$C$46</f>
        <v>344.98443000000003</v>
      </c>
      <c r="X44" s="188">
        <f>X10*Inputs!$C$46</f>
        <v>348.88685999999996</v>
      </c>
      <c r="Y44" s="14">
        <f>Y10*Inputs!$C$46</f>
        <v>352.8252</v>
      </c>
      <c r="Z44" s="14">
        <f>Z10*Inputs!$C$46</f>
        <v>349.99586999999997</v>
      </c>
      <c r="AA44" s="14">
        <f>AA10*Inputs!$C$46</f>
        <v>353.59674000000001</v>
      </c>
      <c r="AB44" s="14">
        <f>AB10*Inputs!$C$46</f>
        <v>357.81374999999997</v>
      </c>
      <c r="AC44" s="14">
        <f>AC10*Inputs!$C$46</f>
        <v>361.48938000000004</v>
      </c>
      <c r="AD44" s="14">
        <f>AD10*Inputs!$C$46</f>
        <v>379.92255</v>
      </c>
      <c r="AE44" s="14">
        <f>AE10*Inputs!$C$46</f>
        <v>374.99238000000003</v>
      </c>
      <c r="AF44" s="14">
        <f>AF10*Inputs!$C$46</f>
        <v>379.11531000000002</v>
      </c>
      <c r="AG44" s="14">
        <f>AG10*Inputs!$C$46</f>
        <v>383.95497</v>
      </c>
      <c r="AH44" s="14">
        <f>AH10*Inputs!$C$46</f>
        <v>387.94874999999996</v>
      </c>
    </row>
    <row r="45" spans="1:36" ht="15">
      <c r="A45" s="8" t="s">
        <v>52</v>
      </c>
      <c r="B45" s="34">
        <v>1</v>
      </c>
      <c r="C45" s="335">
        <f>C11*Inputs!$C$49</f>
        <v>2.5000000000000001E-2</v>
      </c>
      <c r="D45" s="335">
        <f>D11*Inputs!$C$49</f>
        <v>2.5000000000000001E-2</v>
      </c>
      <c r="E45" s="335">
        <f>E11*Inputs!$C$49</f>
        <v>2.5000000000000001E-2</v>
      </c>
      <c r="F45" s="335">
        <f>F11*Inputs!$C$49</f>
        <v>2.5000000000000001E-2</v>
      </c>
      <c r="G45" s="335">
        <f>G11*Inputs!$C$49</f>
        <v>2.5000000000000001E-2</v>
      </c>
      <c r="H45" s="14">
        <f>H11*Inputs!$C$49</f>
        <v>2.5000000000000001E-2</v>
      </c>
      <c r="I45" s="14">
        <f>I11*Inputs!$C$49</f>
        <v>2.5000000000000001E-2</v>
      </c>
      <c r="J45" s="14">
        <f>J11*Inputs!$C$49</f>
        <v>2.5000000000000001E-2</v>
      </c>
      <c r="K45" s="14">
        <f>K11*Inputs!$C$49</f>
        <v>2.5000000000000001E-2</v>
      </c>
      <c r="L45" s="14">
        <f>L11*Inputs!$C$49</f>
        <v>2.5000000000000001E-2</v>
      </c>
      <c r="M45" s="14">
        <f>M11*Inputs!$C$49</f>
        <v>2.5000000000000001E-2</v>
      </c>
      <c r="N45" s="191">
        <f>N11*Inputs!$C$49</f>
        <v>2.5000000000000001E-2</v>
      </c>
      <c r="O45" s="14">
        <f>O11*Inputs!$C$49</f>
        <v>2.5000000000000001E-2</v>
      </c>
      <c r="P45" s="14">
        <f>P11*Inputs!$C$49</f>
        <v>2.5000000000000001E-2</v>
      </c>
      <c r="Q45" s="14">
        <f>Q11*Inputs!$C$49</f>
        <v>2.5000000000000001E-2</v>
      </c>
      <c r="R45" s="14">
        <f>R11*Inputs!$C$49</f>
        <v>2.5000000000000001E-2</v>
      </c>
      <c r="S45" s="14">
        <f>S11*Inputs!$C$49</f>
        <v>2.5000000000000001E-2</v>
      </c>
      <c r="T45" s="14">
        <f>T11*Inputs!$C$49</f>
        <v>2.5000000000000001E-2</v>
      </c>
      <c r="U45" s="14">
        <f>U11*Inputs!$C$49</f>
        <v>2.5000000000000001E-2</v>
      </c>
      <c r="V45" s="14">
        <f>V11*Inputs!$C$49</f>
        <v>2.5000000000000001E-2</v>
      </c>
      <c r="W45" s="14">
        <f>W11*Inputs!$C$49</f>
        <v>2.5000000000000001E-2</v>
      </c>
      <c r="X45" s="188">
        <f>X11*Inputs!$C$49</f>
        <v>2.5000000000000001E-2</v>
      </c>
      <c r="Y45" s="14">
        <f>Y11*Inputs!$C$49</f>
        <v>2.5000000000000001E-2</v>
      </c>
      <c r="Z45" s="14">
        <f>Z11*Inputs!$C$49</f>
        <v>2.5000000000000001E-2</v>
      </c>
      <c r="AA45" s="14">
        <f>AA11*Inputs!$C$49</f>
        <v>2.5000000000000001E-2</v>
      </c>
      <c r="AB45" s="14">
        <f>AB11*Inputs!$C$49</f>
        <v>2.5000000000000001E-2</v>
      </c>
      <c r="AC45" s="14">
        <f>AC11*Inputs!$C$49</f>
        <v>2.5000000000000001E-2</v>
      </c>
      <c r="AD45" s="14">
        <f>AD11*Inputs!$C$49</f>
        <v>2.5000000000000001E-2</v>
      </c>
      <c r="AE45" s="14">
        <f>AE11*Inputs!$C$49</f>
        <v>2.5000000000000001E-2</v>
      </c>
      <c r="AF45" s="14">
        <f>AF11*Inputs!$C$49</f>
        <v>2.5000000000000001E-2</v>
      </c>
      <c r="AG45" s="14">
        <f>AG11*Inputs!$C$49</f>
        <v>2.5000000000000001E-2</v>
      </c>
      <c r="AH45" s="14">
        <f>AH11*Inputs!$C$49</f>
        <v>2.5000000000000001E-2</v>
      </c>
    </row>
    <row r="46" spans="1:36" ht="15">
      <c r="A46" s="8" t="s">
        <v>53</v>
      </c>
      <c r="B46" s="34">
        <v>1</v>
      </c>
      <c r="C46" s="335">
        <f>C12*Inputs!$C$52</f>
        <v>249.75</v>
      </c>
      <c r="D46" s="335">
        <f>D12*Inputs!$C$52</f>
        <v>250.64999999999998</v>
      </c>
      <c r="E46" s="335">
        <f>E12*Inputs!$C$52</f>
        <v>191.83574999999999</v>
      </c>
      <c r="F46" s="335">
        <f>F12*Inputs!$C$52</f>
        <v>226.28685000000002</v>
      </c>
      <c r="G46" s="335">
        <f>G12*Inputs!$C$52</f>
        <v>269.565</v>
      </c>
      <c r="H46" s="14">
        <f>H12*Inputs!$C$52</f>
        <v>268.61669999999998</v>
      </c>
      <c r="I46" s="14">
        <f>I12*Inputs!$C$52</f>
        <v>268.64849999999996</v>
      </c>
      <c r="J46" s="14">
        <f>J12*Inputs!$C$52</f>
        <v>268.72935000000001</v>
      </c>
      <c r="K46" s="14">
        <f>K12*Inputs!$C$52</f>
        <v>268.81380000000001</v>
      </c>
      <c r="L46" s="14">
        <f>L12*Inputs!$C$52</f>
        <v>268.00380000000001</v>
      </c>
      <c r="M46" s="14">
        <f>M12*Inputs!$C$52</f>
        <v>267.99734999999998</v>
      </c>
      <c r="N46" s="191">
        <f>N12*Inputs!$C$52</f>
        <v>268.05419999999998</v>
      </c>
      <c r="O46" s="14">
        <f>O12*Inputs!$C$52</f>
        <v>268.07310000000001</v>
      </c>
      <c r="P46" s="14">
        <f>P12*Inputs!$C$52</f>
        <v>268.05824999999999</v>
      </c>
      <c r="Q46" s="14">
        <f>Q12*Inputs!$C$52</f>
        <v>268.03530000000001</v>
      </c>
      <c r="R46" s="14">
        <f>R12*Inputs!$C$52</f>
        <v>267.99869999999999</v>
      </c>
      <c r="S46" s="14">
        <f>S12*Inputs!$C$52</f>
        <v>267.96359999999999</v>
      </c>
      <c r="T46" s="14">
        <f>T12*Inputs!$C$52</f>
        <v>267.92489999999998</v>
      </c>
      <c r="U46" s="14">
        <f>U12*Inputs!$C$52</f>
        <v>267.8802</v>
      </c>
      <c r="V46" s="14">
        <f>V12*Inputs!$C$52</f>
        <v>267.83069999999998</v>
      </c>
      <c r="W46" s="14">
        <f>W12*Inputs!$C$52</f>
        <v>267.78899999999999</v>
      </c>
      <c r="X46" s="188">
        <f>X12*Inputs!$C$52</f>
        <v>267.76004999999998</v>
      </c>
      <c r="Y46" s="14">
        <f>Y12*Inputs!$C$52</f>
        <v>267.73185000000001</v>
      </c>
      <c r="Z46" s="14">
        <f>Z12*Inputs!$C$52</f>
        <v>267.70080000000002</v>
      </c>
      <c r="AA46" s="14">
        <f>AA12*Inputs!$C$52</f>
        <v>267.67095</v>
      </c>
      <c r="AB46" s="14">
        <f>AB12*Inputs!$C$52</f>
        <v>267.64170000000001</v>
      </c>
      <c r="AC46" s="14">
        <f>AC12*Inputs!$C$52</f>
        <v>267.61004999999994</v>
      </c>
      <c r="AD46" s="14">
        <f>AD12*Inputs!$C$52</f>
        <v>267.58004999999997</v>
      </c>
      <c r="AE46" s="14">
        <f>AE12*Inputs!$C$52</f>
        <v>267.55259999999998</v>
      </c>
      <c r="AF46" s="14">
        <f>AF12*Inputs!$C$52</f>
        <v>267.5274</v>
      </c>
      <c r="AG46" s="14">
        <f>AG12*Inputs!$C$52</f>
        <v>267.50115</v>
      </c>
      <c r="AH46" s="14">
        <f>AH12*Inputs!$C$52</f>
        <v>281.39459999999997</v>
      </c>
    </row>
    <row r="47" spans="1:36" ht="15">
      <c r="A47" s="8" t="s">
        <v>353</v>
      </c>
      <c r="B47" s="34">
        <v>1</v>
      </c>
      <c r="C47" s="335">
        <f>C13*Inputs!$C$54</f>
        <v>0</v>
      </c>
      <c r="D47" s="335">
        <f>D13*Inputs!$C$54</f>
        <v>0</v>
      </c>
      <c r="E47" s="335">
        <f>E13*Inputs!$C$54</f>
        <v>87.809290000000004</v>
      </c>
      <c r="F47" s="335">
        <f>F13*Inputs!$C$54</f>
        <v>185.45328999999998</v>
      </c>
      <c r="G47" s="335">
        <f>G13*Inputs!$C$54</f>
        <v>245.21837000000002</v>
      </c>
      <c r="H47" s="14">
        <f>H13*Inputs!$C$54</f>
        <v>296.63868000000008</v>
      </c>
      <c r="I47" s="14">
        <f>I13*Inputs!$C$54</f>
        <v>342.44920000000002</v>
      </c>
      <c r="J47" s="14">
        <f>J13*Inputs!$C$54</f>
        <v>382.07481000000001</v>
      </c>
      <c r="K47" s="14">
        <f>K13*Inputs!$C$54</f>
        <v>384.83111999999994</v>
      </c>
      <c r="L47" s="14">
        <f>L13*Inputs!$C$54</f>
        <v>389.22746999999998</v>
      </c>
      <c r="M47" s="14">
        <f>M13*Inputs!$C$54</f>
        <v>396.66768999999999</v>
      </c>
      <c r="N47" s="191">
        <f>N13*Inputs!$C$54</f>
        <v>408.05001000000004</v>
      </c>
      <c r="O47" s="14">
        <f>O13*Inputs!$C$54</f>
        <v>420.76427000000007</v>
      </c>
      <c r="P47" s="14">
        <f>P13*Inputs!$C$54</f>
        <v>434.12396000000001</v>
      </c>
      <c r="Q47" s="14">
        <f>Q13*Inputs!$C$54</f>
        <v>448.48379000000006</v>
      </c>
      <c r="R47" s="14">
        <f>R13*Inputs!$C$54</f>
        <v>464.80203</v>
      </c>
      <c r="S47" s="14">
        <f>S13*Inputs!$C$54</f>
        <v>483.37730000000005</v>
      </c>
      <c r="T47" s="14">
        <f>T13*Inputs!$C$54</f>
        <v>502.94402000000002</v>
      </c>
      <c r="U47" s="14">
        <f>U13*Inputs!$C$54</f>
        <v>523.81266000000005</v>
      </c>
      <c r="V47" s="14">
        <f>V13*Inputs!$C$54</f>
        <v>545.44997000000001</v>
      </c>
      <c r="W47" s="14">
        <f>W13*Inputs!$C$54</f>
        <v>568.25253000000009</v>
      </c>
      <c r="X47" s="188">
        <f>X13*Inputs!$C$54</f>
        <v>592.98032000000001</v>
      </c>
      <c r="Y47" s="14">
        <f>Y13*Inputs!$C$54</f>
        <v>618.10864000000004</v>
      </c>
      <c r="Z47" s="14">
        <f>Z13*Inputs!$C$54</f>
        <v>643.09159999999997</v>
      </c>
      <c r="AA47" s="14">
        <f>AA13*Inputs!$C$54</f>
        <v>667.93236000000002</v>
      </c>
      <c r="AB47" s="14">
        <f>AB13*Inputs!$C$54</f>
        <v>693.00458999999989</v>
      </c>
      <c r="AC47" s="14">
        <f>AC13*Inputs!$C$54</f>
        <v>718.61718000000008</v>
      </c>
      <c r="AD47" s="14">
        <f>AD13*Inputs!$C$54</f>
        <v>744.62792999999999</v>
      </c>
      <c r="AE47" s="14">
        <f>AE13*Inputs!$C$54</f>
        <v>770.85435000000007</v>
      </c>
      <c r="AF47" s="14">
        <f>AF13*Inputs!$C$54</f>
        <v>797.20006000000001</v>
      </c>
      <c r="AG47" s="14">
        <f>AG13*Inputs!$C$54</f>
        <v>823.98895999999991</v>
      </c>
      <c r="AH47" s="14">
        <f>AH13*Inputs!$C$54</f>
        <v>984.90879999999993</v>
      </c>
    </row>
    <row r="48" spans="1:36" ht="15">
      <c r="A48" s="8" t="s">
        <v>354</v>
      </c>
      <c r="B48" s="34">
        <v>1</v>
      </c>
      <c r="C48" s="335">
        <f>C14*Inputs!$C$55</f>
        <v>0</v>
      </c>
      <c r="D48" s="335">
        <f>D14*Inputs!$C$55</f>
        <v>0</v>
      </c>
      <c r="E48" s="335">
        <f>E14*Inputs!$C$55</f>
        <v>0.23</v>
      </c>
      <c r="F48" s="335">
        <f>F14*Inputs!$C$55</f>
        <v>0.23</v>
      </c>
      <c r="G48" s="335">
        <f>G14*Inputs!$C$55</f>
        <v>0.23</v>
      </c>
      <c r="H48" s="14">
        <f>H14*Inputs!$C$55</f>
        <v>0.23</v>
      </c>
      <c r="I48" s="14">
        <f>I14*Inputs!$C$55</f>
        <v>0.23</v>
      </c>
      <c r="J48" s="14">
        <f>J14*Inputs!$C$55</f>
        <v>0.23</v>
      </c>
      <c r="K48" s="14">
        <f>K14*Inputs!$C$55</f>
        <v>0.23</v>
      </c>
      <c r="L48" s="14">
        <f>L14*Inputs!$C$55</f>
        <v>0.23</v>
      </c>
      <c r="M48" s="14">
        <f>M14*Inputs!$C$55</f>
        <v>0.23</v>
      </c>
      <c r="N48" s="191">
        <f>N14*Inputs!$C$55</f>
        <v>0.23</v>
      </c>
      <c r="O48" s="14">
        <f>O14*Inputs!$C$55</f>
        <v>0.23</v>
      </c>
      <c r="P48" s="14">
        <f>P14*Inputs!$C$55</f>
        <v>0.23</v>
      </c>
      <c r="Q48" s="14">
        <f>Q14*Inputs!$C$55</f>
        <v>0.23</v>
      </c>
      <c r="R48" s="14">
        <f>R14*Inputs!$C$55</f>
        <v>0.23</v>
      </c>
      <c r="S48" s="14">
        <f>S14*Inputs!$C$55</f>
        <v>0.23</v>
      </c>
      <c r="T48" s="14">
        <f>T14*Inputs!$C$55</f>
        <v>0.23</v>
      </c>
      <c r="U48" s="14">
        <f>U14*Inputs!$C$55</f>
        <v>0.23</v>
      </c>
      <c r="V48" s="14">
        <f>V14*Inputs!$C$55</f>
        <v>0.23</v>
      </c>
      <c r="W48" s="14">
        <f>W14*Inputs!$C$55</f>
        <v>0.23</v>
      </c>
      <c r="X48" s="188">
        <f>X14*Inputs!$C$55</f>
        <v>0.23</v>
      </c>
      <c r="Y48" s="14">
        <f>Y14*Inputs!$C$55</f>
        <v>0.23</v>
      </c>
      <c r="Z48" s="14">
        <f>Z14*Inputs!$C$55</f>
        <v>0.23</v>
      </c>
      <c r="AA48" s="14">
        <f>AA14*Inputs!$C$55</f>
        <v>0.23</v>
      </c>
      <c r="AB48" s="14">
        <f>AB14*Inputs!$C$55</f>
        <v>0.23</v>
      </c>
      <c r="AC48" s="14">
        <f>AC14*Inputs!$C$55</f>
        <v>0.23</v>
      </c>
      <c r="AD48" s="14">
        <f>AD14*Inputs!$C$55</f>
        <v>0.23</v>
      </c>
      <c r="AE48" s="14">
        <f>AE14*Inputs!$C$55</f>
        <v>0.23</v>
      </c>
      <c r="AF48" s="14">
        <f>AF14*Inputs!$C$55</f>
        <v>0.23</v>
      </c>
      <c r="AG48" s="14">
        <f>AG14*Inputs!$C$55</f>
        <v>0.23</v>
      </c>
      <c r="AH48" s="14">
        <f>AH14*Inputs!$C$55</f>
        <v>0.23</v>
      </c>
    </row>
    <row r="49" spans="1:34" ht="15">
      <c r="A49" s="8" t="s">
        <v>350</v>
      </c>
      <c r="B49" s="34">
        <v>1</v>
      </c>
      <c r="C49" s="335">
        <f>C15*Inputs!$C$51</f>
        <v>2.7000000000000002E-5</v>
      </c>
      <c r="D49" s="335">
        <f>D15*Inputs!$C$51</f>
        <v>2.7000000000000002E-5</v>
      </c>
      <c r="E49" s="335">
        <f>E15*Inputs!$C$51</f>
        <v>2.7000000000000002E-5</v>
      </c>
      <c r="F49" s="335">
        <f>F15*Inputs!$C$51</f>
        <v>2.7000000000000002E-5</v>
      </c>
      <c r="G49" s="335">
        <f>G15*Inputs!$C$51</f>
        <v>2.7000000000000002E-5</v>
      </c>
      <c r="H49" s="14">
        <f>H15*Inputs!$C$51</f>
        <v>2.7000000000000002E-5</v>
      </c>
      <c r="I49" s="14">
        <f>I15*Inputs!$C$51</f>
        <v>2.7000000000000002E-5</v>
      </c>
      <c r="J49" s="14">
        <f>J15*Inputs!$C$51</f>
        <v>2.7000000000000002E-5</v>
      </c>
      <c r="K49" s="14">
        <f>K15*Inputs!$C$51</f>
        <v>2.7000000000000002E-5</v>
      </c>
      <c r="L49" s="14">
        <f>L15*Inputs!$C$51</f>
        <v>2.7000000000000002E-5</v>
      </c>
      <c r="M49" s="14">
        <f>M15*Inputs!$C$51</f>
        <v>2.7000000000000002E-5</v>
      </c>
      <c r="N49" s="191">
        <f>N15*Inputs!$C$51</f>
        <v>2.7000000000000002E-5</v>
      </c>
      <c r="O49" s="14">
        <f>O15*Inputs!$C$51</f>
        <v>2.7000000000000002E-5</v>
      </c>
      <c r="P49" s="14">
        <f>P15*Inputs!$C$51</f>
        <v>2.7000000000000002E-5</v>
      </c>
      <c r="Q49" s="14">
        <f>Q15*Inputs!$C$51</f>
        <v>2.7000000000000002E-5</v>
      </c>
      <c r="R49" s="14">
        <f>R15*Inputs!$C$51</f>
        <v>2.7000000000000002E-5</v>
      </c>
      <c r="S49" s="14">
        <f>S15*Inputs!$C$51</f>
        <v>2.7000000000000002E-5</v>
      </c>
      <c r="T49" s="14">
        <f>T15*Inputs!$C$51</f>
        <v>2.7000000000000002E-5</v>
      </c>
      <c r="U49" s="14">
        <f>U15*Inputs!$C$51</f>
        <v>2.7000000000000002E-5</v>
      </c>
      <c r="V49" s="14">
        <f>V15*Inputs!$C$51</f>
        <v>2.7000000000000002E-5</v>
      </c>
      <c r="W49" s="14">
        <f>W15*Inputs!$C$51</f>
        <v>2.7000000000000002E-5</v>
      </c>
      <c r="X49" s="188">
        <f>X15*Inputs!$C$51</f>
        <v>2.7000000000000002E-5</v>
      </c>
      <c r="Y49" s="14">
        <f>Y15*Inputs!$C$51</f>
        <v>2.7000000000000002E-5</v>
      </c>
      <c r="Z49" s="14">
        <f>Z15*Inputs!$C$51</f>
        <v>2.7000000000000002E-5</v>
      </c>
      <c r="AA49" s="14">
        <f>AA15*Inputs!$C$51</f>
        <v>2.7000000000000002E-5</v>
      </c>
      <c r="AB49" s="14">
        <f>AB15*Inputs!$C$51</f>
        <v>2.7000000000000002E-5</v>
      </c>
      <c r="AC49" s="14">
        <f>AC15*Inputs!$C$51</f>
        <v>2.7000000000000002E-5</v>
      </c>
      <c r="AD49" s="14">
        <f>AD15*Inputs!$C$51</f>
        <v>2.7000000000000002E-5</v>
      </c>
      <c r="AE49" s="14">
        <f>AE15*Inputs!$C$51</f>
        <v>2.7000000000000002E-5</v>
      </c>
      <c r="AF49" s="14">
        <f>AF15*Inputs!$C$51</f>
        <v>2.7000000000000002E-5</v>
      </c>
      <c r="AG49" s="14">
        <f>AG15*Inputs!$C$51</f>
        <v>2.7000000000000002E-5</v>
      </c>
      <c r="AH49" s="14">
        <f>AH15*Inputs!$C$51</f>
        <v>2.7000000000000002E-5</v>
      </c>
    </row>
    <row r="50" spans="1:34" ht="15">
      <c r="A50" s="8" t="s">
        <v>55</v>
      </c>
      <c r="B50" s="34">
        <v>1</v>
      </c>
      <c r="C50" s="335">
        <f>C16*Inputs!$C$57</f>
        <v>91.12</v>
      </c>
      <c r="D50" s="335">
        <f>D16*Inputs!$C$57</f>
        <v>92.990000000000009</v>
      </c>
      <c r="E50" s="335">
        <f>E16*Inputs!$C$57</f>
        <v>481.71488999999997</v>
      </c>
      <c r="F50" s="335">
        <f>F16*Inputs!$C$57</f>
        <v>512.61119999999994</v>
      </c>
      <c r="G50" s="335">
        <f>G16*Inputs!$C$57</f>
        <v>593.88207999999997</v>
      </c>
      <c r="H50" s="14">
        <f>H16*Inputs!$C$57</f>
        <v>634.78867000000002</v>
      </c>
      <c r="I50" s="14">
        <f>I16*Inputs!$C$57</f>
        <v>651.78850000000011</v>
      </c>
      <c r="J50" s="14">
        <f>J16*Inputs!$C$57</f>
        <v>662.20933000000002</v>
      </c>
      <c r="K50" s="14">
        <f>K16*Inputs!$C$57</f>
        <v>662.28804000000014</v>
      </c>
      <c r="L50" s="14">
        <f>L16*Inputs!$C$57</f>
        <v>662.23993000000007</v>
      </c>
      <c r="M50" s="14">
        <f>M16*Inputs!$C$57</f>
        <v>662.17498999999998</v>
      </c>
      <c r="N50" s="191">
        <f>N16*Inputs!$C$57</f>
        <v>662.40908000000013</v>
      </c>
      <c r="O50" s="14">
        <f>O16*Inputs!$C$57</f>
        <v>662.46926000000008</v>
      </c>
      <c r="P50" s="14">
        <f>P16*Inputs!$C$57</f>
        <v>662.6889000000001</v>
      </c>
      <c r="Q50" s="14">
        <f>Q16*Inputs!$C$57</f>
        <v>663.09095000000013</v>
      </c>
      <c r="R50" s="14">
        <f>R16*Inputs!$C$57</f>
        <v>664.06011999999998</v>
      </c>
      <c r="S50" s="14">
        <f>S16*Inputs!$C$57</f>
        <v>665.75315000000012</v>
      </c>
      <c r="T50" s="14">
        <f>T16*Inputs!$C$57</f>
        <v>667.94938000000002</v>
      </c>
      <c r="U50" s="14">
        <f>U16*Inputs!$C$57</f>
        <v>670.56738000000007</v>
      </c>
      <c r="V50" s="14">
        <f>V16*Inputs!$C$57</f>
        <v>673.34756000000004</v>
      </c>
      <c r="W50" s="14">
        <f>W16*Inputs!$C$57</f>
        <v>676.12909999999999</v>
      </c>
      <c r="X50" s="188">
        <f>X16*Inputs!$C$57</f>
        <v>678.98918000000003</v>
      </c>
      <c r="Y50" s="14">
        <f>Y16*Inputs!$C$57</f>
        <v>681.79112000000009</v>
      </c>
      <c r="Z50" s="14">
        <f>Z16*Inputs!$C$57</f>
        <v>684.52795000000003</v>
      </c>
      <c r="AA50" s="14">
        <f>AA16*Inputs!$C$57</f>
        <v>687.16074000000003</v>
      </c>
      <c r="AB50" s="14">
        <f>AB16*Inputs!$C$57</f>
        <v>690.01028000000008</v>
      </c>
      <c r="AC50" s="14">
        <f>AC16*Inputs!$C$57</f>
        <v>693.05616999999995</v>
      </c>
      <c r="AD50" s="14">
        <f>AD16*Inputs!$C$57</f>
        <v>696.33870000000013</v>
      </c>
      <c r="AE50" s="14">
        <f>AE16*Inputs!$C$57</f>
        <v>699.41994999999997</v>
      </c>
      <c r="AF50" s="14">
        <f>AF16*Inputs!$C$57</f>
        <v>702.51956000000007</v>
      </c>
      <c r="AG50" s="14">
        <f>AG16*Inputs!$C$57</f>
        <v>706.03686000000016</v>
      </c>
      <c r="AH50" s="14">
        <f>AH16*Inputs!$C$57</f>
        <v>709.67027000000007</v>
      </c>
    </row>
    <row r="51" spans="1:34" s="20" customFormat="1" ht="15">
      <c r="A51" s="8" t="s">
        <v>134</v>
      </c>
      <c r="B51" s="38"/>
      <c r="C51" s="338">
        <f t="shared" ref="C51:AH51" si="21">SUMPRODUCT($B42:$B50,C42:C50)</f>
        <v>453.45502700000003</v>
      </c>
      <c r="D51" s="338">
        <f t="shared" si="21"/>
        <v>458.53502699999996</v>
      </c>
      <c r="E51" s="338">
        <f t="shared" si="21"/>
        <v>854.48703699999987</v>
      </c>
      <c r="F51" s="338">
        <f t="shared" si="21"/>
        <v>1025.8221669999998</v>
      </c>
      <c r="G51" s="338">
        <f t="shared" si="21"/>
        <v>1241.972487</v>
      </c>
      <c r="H51" s="19">
        <f t="shared" si="21"/>
        <v>1343.3617870000003</v>
      </c>
      <c r="I51" s="19">
        <f t="shared" si="21"/>
        <v>1427.086127</v>
      </c>
      <c r="J51" s="19">
        <f t="shared" si="21"/>
        <v>1482.5558169999999</v>
      </c>
      <c r="K51" s="19">
        <f t="shared" si="21"/>
        <v>1574.0604270000001</v>
      </c>
      <c r="L51" s="19">
        <f t="shared" si="21"/>
        <v>1583.5956369999999</v>
      </c>
      <c r="M51" s="19">
        <f t="shared" si="21"/>
        <v>1602.7158569999999</v>
      </c>
      <c r="N51" s="191">
        <f t="shared" si="21"/>
        <v>1619.930597</v>
      </c>
      <c r="O51" s="19">
        <f t="shared" si="21"/>
        <v>1667.0843470000002</v>
      </c>
      <c r="P51" s="19">
        <f t="shared" si="21"/>
        <v>1734.5062670000002</v>
      </c>
      <c r="Q51" s="19">
        <f t="shared" si="21"/>
        <v>1761.3015070000001</v>
      </c>
      <c r="R51" s="19">
        <f t="shared" si="21"/>
        <v>1784.6093470000001</v>
      </c>
      <c r="S51" s="19">
        <f t="shared" si="21"/>
        <v>1762.9498570000001</v>
      </c>
      <c r="T51" s="19">
        <f t="shared" si="21"/>
        <v>1785.7574970000001</v>
      </c>
      <c r="U51" s="19">
        <f t="shared" si="21"/>
        <v>1811.3034270000003</v>
      </c>
      <c r="V51" s="19">
        <f t="shared" si="21"/>
        <v>1822.6969870000003</v>
      </c>
      <c r="W51" s="19">
        <f t="shared" si="21"/>
        <v>1857.4100870000002</v>
      </c>
      <c r="X51" s="183">
        <f t="shared" si="21"/>
        <v>1888.871437</v>
      </c>
      <c r="Y51" s="19">
        <f t="shared" si="21"/>
        <v>1920.7118370000001</v>
      </c>
      <c r="Z51" s="19">
        <f t="shared" si="21"/>
        <v>1945.5712469999999</v>
      </c>
      <c r="AA51" s="19">
        <f t="shared" si="21"/>
        <v>1976.6158170000001</v>
      </c>
      <c r="AB51" s="19">
        <f t="shared" si="21"/>
        <v>2008.7253470000001</v>
      </c>
      <c r="AC51" s="19">
        <f t="shared" si="21"/>
        <v>2041.0278069999999</v>
      </c>
      <c r="AD51" s="19">
        <f t="shared" si="21"/>
        <v>2088.7242570000003</v>
      </c>
      <c r="AE51" s="19">
        <f t="shared" si="21"/>
        <v>2113.0743069999999</v>
      </c>
      <c r="AF51" s="19">
        <f t="shared" si="21"/>
        <v>2146.6173570000001</v>
      </c>
      <c r="AG51" s="19">
        <f t="shared" si="21"/>
        <v>2181.7369669999998</v>
      </c>
      <c r="AH51" s="19">
        <f t="shared" si="21"/>
        <v>2364.177447</v>
      </c>
    </row>
    <row r="52" spans="1:34" s="20" customFormat="1" ht="15">
      <c r="A52" s="27" t="s">
        <v>335</v>
      </c>
      <c r="B52" s="39"/>
      <c r="C52" s="338">
        <f>SUM(C40:C50)</f>
        <v>10683.605012</v>
      </c>
      <c r="D52" s="338">
        <f t="shared" ref="D52:I52" si="22">SUM(D42:D50)</f>
        <v>10141.135012000001</v>
      </c>
      <c r="E52" s="338">
        <f t="shared" si="22"/>
        <v>11029.847831999998</v>
      </c>
      <c r="F52" s="338">
        <f t="shared" si="22"/>
        <v>10430.830361999999</v>
      </c>
      <c r="G52" s="338">
        <f t="shared" si="22"/>
        <v>10967.299562</v>
      </c>
      <c r="H52" s="19">
        <f t="shared" si="22"/>
        <v>11157.267912000001</v>
      </c>
      <c r="I52" s="19">
        <f t="shared" si="22"/>
        <v>10950.991881999998</v>
      </c>
      <c r="J52" s="19">
        <f t="shared" ref="J52:AH52" si="23">SUM(J42:J50)</f>
        <v>11149.264791999998</v>
      </c>
      <c r="K52" s="19">
        <f t="shared" si="23"/>
        <v>11287.674701999998</v>
      </c>
      <c r="L52" s="19">
        <f t="shared" si="23"/>
        <v>11297.209911999998</v>
      </c>
      <c r="M52" s="19">
        <f t="shared" si="23"/>
        <v>11316.330131999999</v>
      </c>
      <c r="N52" s="191">
        <f t="shared" si="23"/>
        <v>11333.544872</v>
      </c>
      <c r="O52" s="19">
        <f t="shared" si="23"/>
        <v>11380.698621999998</v>
      </c>
      <c r="P52" s="19">
        <f t="shared" si="23"/>
        <v>11448.119492000002</v>
      </c>
      <c r="Q52" s="19">
        <f t="shared" si="23"/>
        <v>11502.952131999999</v>
      </c>
      <c r="R52" s="19">
        <f t="shared" si="23"/>
        <v>11526.259372</v>
      </c>
      <c r="S52" s="19">
        <f t="shared" si="23"/>
        <v>11504.601082000001</v>
      </c>
      <c r="T52" s="19">
        <f t="shared" si="23"/>
        <v>11527.409322000001</v>
      </c>
      <c r="U52" s="19">
        <f t="shared" si="23"/>
        <v>11552.955252</v>
      </c>
      <c r="V52" s="19">
        <f t="shared" si="23"/>
        <v>11564.347612</v>
      </c>
      <c r="W52" s="19">
        <f t="shared" si="23"/>
        <v>11599.061912000001</v>
      </c>
      <c r="X52" s="183">
        <f t="shared" si="23"/>
        <v>11630.523262000002</v>
      </c>
      <c r="Y52" s="19">
        <f t="shared" si="23"/>
        <v>11662.363662</v>
      </c>
      <c r="Z52" s="19">
        <f t="shared" si="23"/>
        <v>11687.223072000001</v>
      </c>
      <c r="AA52" s="19">
        <f t="shared" si="23"/>
        <v>11718.267642000001</v>
      </c>
      <c r="AB52" s="19">
        <f t="shared" si="23"/>
        <v>11750.377172</v>
      </c>
      <c r="AC52" s="19">
        <f t="shared" si="23"/>
        <v>11782.679631999999</v>
      </c>
      <c r="AD52" s="19">
        <f t="shared" si="23"/>
        <v>11830.376082000001</v>
      </c>
      <c r="AE52" s="19">
        <f t="shared" si="23"/>
        <v>11854.726132</v>
      </c>
      <c r="AF52" s="19">
        <f t="shared" si="23"/>
        <v>11888.269182</v>
      </c>
      <c r="AG52" s="19">
        <f t="shared" si="23"/>
        <v>11923.388792000002</v>
      </c>
      <c r="AH52" s="19">
        <f t="shared" si="23"/>
        <v>12105.829271999999</v>
      </c>
    </row>
    <row r="53" spans="1:34" s="20" customFormat="1" ht="15">
      <c r="A53" s="27" t="s">
        <v>336</v>
      </c>
      <c r="B53" s="39"/>
      <c r="C53" s="338">
        <f>C20*Inputs!$C$60</f>
        <v>1403.49</v>
      </c>
      <c r="D53" s="338">
        <f>D20*Inputs!$C$60</f>
        <v>1494.13</v>
      </c>
      <c r="E53" s="338">
        <f>E20*Inputs!$C$60</f>
        <v>996.75741000000005</v>
      </c>
      <c r="F53" s="338">
        <f>F20*Inputs!$C$60</f>
        <v>465.93525000000005</v>
      </c>
      <c r="G53" s="338">
        <f>G20*Inputs!$C$60</f>
        <v>774.58546000000013</v>
      </c>
      <c r="H53" s="19">
        <f>H20*Inputs!$C$60</f>
        <v>640.16579000000002</v>
      </c>
      <c r="I53" s="19">
        <f>I20*Inputs!$C$60</f>
        <v>798.99544999999989</v>
      </c>
      <c r="J53" s="19">
        <f>J20*Inputs!$C$60</f>
        <v>750.85901000000001</v>
      </c>
      <c r="K53" s="19">
        <f>K20*Inputs!$C$60</f>
        <v>743.20454999999993</v>
      </c>
      <c r="L53" s="19">
        <f>L20*Inputs!$C$60</f>
        <v>810.36757999999986</v>
      </c>
      <c r="M53" s="19">
        <f>M20*Inputs!$C$60</f>
        <v>870.17194000000006</v>
      </c>
      <c r="N53" s="191">
        <f>N20*Inputs!$C$60</f>
        <v>877.73410999999999</v>
      </c>
      <c r="O53" s="19">
        <f>O20*Inputs!$C$60</f>
        <v>1159.4982299999999</v>
      </c>
      <c r="P53" s="19">
        <f>P20*Inputs!$C$60</f>
        <v>1294.1932300000001</v>
      </c>
      <c r="Q53" s="19">
        <f>Q20*Inputs!$C$60</f>
        <v>1299.8150000000001</v>
      </c>
      <c r="R53" s="19">
        <f>R20*Inputs!$C$60</f>
        <v>1308.17401</v>
      </c>
      <c r="S53" s="19">
        <f>S20*Inputs!$C$60</f>
        <v>1341.3863100000001</v>
      </c>
      <c r="T53" s="19">
        <f>T20*Inputs!$C$60</f>
        <v>1341.30898</v>
      </c>
      <c r="U53" s="19">
        <f>U20*Inputs!$C$60</f>
        <v>1340.41281</v>
      </c>
      <c r="V53" s="19">
        <f>V20*Inputs!$C$60</f>
        <v>1347.2410599999998</v>
      </c>
      <c r="W53" s="19">
        <f>W20*Inputs!$C$60</f>
        <v>1356.51604</v>
      </c>
      <c r="X53" s="183">
        <f>X20*Inputs!$C$60</f>
        <v>1354.8333700000001</v>
      </c>
      <c r="Y53" s="19">
        <f>Y20*Inputs!$C$60</f>
        <v>1353.3759800000003</v>
      </c>
      <c r="Z53" s="19">
        <f>Z20*Inputs!$C$60</f>
        <v>1341.63238</v>
      </c>
      <c r="AA53" s="19">
        <f>AA20*Inputs!$C$60</f>
        <v>1340.1709200000003</v>
      </c>
      <c r="AB53" s="19">
        <f>AB20*Inputs!$C$60</f>
        <v>1338.9180200000001</v>
      </c>
      <c r="AC53" s="19">
        <f>AC20*Inputs!$C$60</f>
        <v>1337.6959199999999</v>
      </c>
      <c r="AD53" s="19">
        <f>AD20*Inputs!$C$60</f>
        <v>1328.71101</v>
      </c>
      <c r="AE53" s="19">
        <f>AE20*Inputs!$C$60</f>
        <v>1335.3448900000001</v>
      </c>
      <c r="AF53" s="19">
        <f>AF20*Inputs!$C$60</f>
        <v>1334.3757900000001</v>
      </c>
      <c r="AG53" s="19">
        <f>AG20*Inputs!$C$60</f>
        <v>1338.0525399999999</v>
      </c>
      <c r="AH53" s="19">
        <f>AH20*Inputs!$C$60</f>
        <v>1337.1200700000002</v>
      </c>
    </row>
    <row r="54" spans="1:34" s="20" customFormat="1" ht="15">
      <c r="A54" s="27" t="s">
        <v>228</v>
      </c>
      <c r="B54" s="39"/>
      <c r="C54" s="338">
        <f>C21*Inputs!$C$61</f>
        <v>4595.8</v>
      </c>
      <c r="D54" s="338">
        <f>D21*Inputs!$C$61</f>
        <v>5380.76</v>
      </c>
      <c r="E54" s="338">
        <f>E21*Inputs!$C$61</f>
        <v>5994.2838999999994</v>
      </c>
      <c r="F54" s="338">
        <f>F21*Inputs!$C$61</f>
        <v>6943.5082200000006</v>
      </c>
      <c r="G54" s="338">
        <f>G21*Inputs!$C$61</f>
        <v>6647.1239999999998</v>
      </c>
      <c r="H54" s="19">
        <f>H21*Inputs!$C$61</f>
        <v>6357.8895599999987</v>
      </c>
      <c r="I54" s="19">
        <f>I21*Inputs!$C$61</f>
        <v>6427.959780000001</v>
      </c>
      <c r="J54" s="19">
        <f>J21*Inputs!$C$61</f>
        <v>5894.0877600000003</v>
      </c>
      <c r="K54" s="19">
        <f>K21*Inputs!$C$61</f>
        <v>5633.0427999999993</v>
      </c>
      <c r="L54" s="19">
        <f>L21*Inputs!$C$61</f>
        <v>5863.9018900000001</v>
      </c>
      <c r="M54" s="19">
        <f>M21*Inputs!$C$61</f>
        <v>5747.5617099999999</v>
      </c>
      <c r="N54" s="191">
        <f>N21*Inputs!$C$61</f>
        <v>5666.2590599999994</v>
      </c>
      <c r="O54" s="19">
        <f>O21*Inputs!$C$61</f>
        <v>5329.9155799999999</v>
      </c>
      <c r="P54" s="19">
        <f>P21*Inputs!$C$61</f>
        <v>5071.7401899999995</v>
      </c>
      <c r="Q54" s="19">
        <f>Q21*Inputs!$C$61</f>
        <v>5080.30501</v>
      </c>
      <c r="R54" s="19">
        <f>R21*Inputs!$C$61</f>
        <v>5221.878529999999</v>
      </c>
      <c r="S54" s="19">
        <f>S21*Inputs!$C$61</f>
        <v>5229.7072300000009</v>
      </c>
      <c r="T54" s="19">
        <f>T21*Inputs!$C$61</f>
        <v>5167.6457800000007</v>
      </c>
      <c r="U54" s="19">
        <f>U21*Inputs!$C$61</f>
        <v>4907.2911800000002</v>
      </c>
      <c r="V54" s="19">
        <f>V21*Inputs!$C$61</f>
        <v>5060.91399</v>
      </c>
      <c r="W54" s="19">
        <f>W21*Inputs!$C$61</f>
        <v>4889.06088</v>
      </c>
      <c r="X54" s="183">
        <f>X21*Inputs!$C$61</f>
        <v>5006.8971699999993</v>
      </c>
      <c r="Y54" s="19">
        <f>Y21*Inputs!$C$61</f>
        <v>4999.0962999999992</v>
      </c>
      <c r="Z54" s="19">
        <f>Z21*Inputs!$C$61</f>
        <v>5316.4877700000006</v>
      </c>
      <c r="AA54" s="19">
        <f>AA21*Inputs!$C$61</f>
        <v>5505.0788099999991</v>
      </c>
      <c r="AB54" s="19">
        <f>AB21*Inputs!$C$61</f>
        <v>5526.1950699999998</v>
      </c>
      <c r="AC54" s="19">
        <f>AC21*Inputs!$C$61</f>
        <v>5755.7395500000002</v>
      </c>
      <c r="AD54" s="19">
        <f>AD21*Inputs!$C$61</f>
        <v>5785.1818199999998</v>
      </c>
      <c r="AE54" s="19">
        <f>AE21*Inputs!$C$61</f>
        <v>5889.9978499999997</v>
      </c>
      <c r="AF54" s="19">
        <f>AF21*Inputs!$C$61</f>
        <v>5874.31603</v>
      </c>
      <c r="AG54" s="19">
        <f>AG21*Inputs!$C$61</f>
        <v>5978.7485999999999</v>
      </c>
      <c r="AH54" s="19">
        <f>AH21*Inputs!$C$61</f>
        <v>6038.9627099999998</v>
      </c>
    </row>
    <row r="55" spans="1:34" s="20" customFormat="1" ht="15">
      <c r="A55" s="27" t="s">
        <v>60</v>
      </c>
      <c r="B55" s="39"/>
      <c r="C55" s="338">
        <f>SUM(C52:C54)</f>
        <v>16682.895012000001</v>
      </c>
      <c r="D55" s="338">
        <f t="shared" ref="D55:AH55" si="24">SUM(D52:D54)</f>
        <v>17016.025011999998</v>
      </c>
      <c r="E55" s="338">
        <f t="shared" si="24"/>
        <v>18020.889141999996</v>
      </c>
      <c r="F55" s="338">
        <f t="shared" si="24"/>
        <v>17840.273831999999</v>
      </c>
      <c r="G55" s="338">
        <f t="shared" si="24"/>
        <v>18389.009021999998</v>
      </c>
      <c r="H55" s="19">
        <f t="shared" si="24"/>
        <v>18155.323262000002</v>
      </c>
      <c r="I55" s="19">
        <f t="shared" si="24"/>
        <v>18177.947112000002</v>
      </c>
      <c r="J55" s="19">
        <f t="shared" si="24"/>
        <v>17794.211561999997</v>
      </c>
      <c r="K55" s="19">
        <f t="shared" si="24"/>
        <v>17663.922051999998</v>
      </c>
      <c r="L55" s="19">
        <f t="shared" si="24"/>
        <v>17971.479381999998</v>
      </c>
      <c r="M55" s="19">
        <f t="shared" si="24"/>
        <v>17934.063781999997</v>
      </c>
      <c r="N55" s="191">
        <f t="shared" si="24"/>
        <v>17877.538042</v>
      </c>
      <c r="O55" s="19">
        <f t="shared" si="24"/>
        <v>17870.112431999998</v>
      </c>
      <c r="P55" s="19">
        <f t="shared" si="24"/>
        <v>17814.052912000003</v>
      </c>
      <c r="Q55" s="19">
        <f t="shared" si="24"/>
        <v>17883.072141999997</v>
      </c>
      <c r="R55" s="19">
        <f t="shared" si="24"/>
        <v>18056.311912000001</v>
      </c>
      <c r="S55" s="19">
        <f t="shared" si="24"/>
        <v>18075.694622000003</v>
      </c>
      <c r="T55" s="19">
        <f t="shared" si="24"/>
        <v>18036.364082</v>
      </c>
      <c r="U55" s="19">
        <f t="shared" si="24"/>
        <v>17800.659242000002</v>
      </c>
      <c r="V55" s="19">
        <f t="shared" si="24"/>
        <v>17972.502661999999</v>
      </c>
      <c r="W55" s="19">
        <f t="shared" si="24"/>
        <v>17844.638832000001</v>
      </c>
      <c r="X55" s="183">
        <f t="shared" si="24"/>
        <v>17992.253802000003</v>
      </c>
      <c r="Y55" s="19">
        <f t="shared" si="24"/>
        <v>18014.835941999998</v>
      </c>
      <c r="Z55" s="19">
        <f t="shared" si="24"/>
        <v>18345.343222</v>
      </c>
      <c r="AA55" s="19">
        <f t="shared" si="24"/>
        <v>18563.517372000002</v>
      </c>
      <c r="AB55" s="19">
        <f t="shared" si="24"/>
        <v>18615.490261999999</v>
      </c>
      <c r="AC55" s="19">
        <f t="shared" si="24"/>
        <v>18876.115102</v>
      </c>
      <c r="AD55" s="19">
        <f t="shared" si="24"/>
        <v>18944.268912</v>
      </c>
      <c r="AE55" s="19">
        <f t="shared" si="24"/>
        <v>19080.068872</v>
      </c>
      <c r="AF55" s="19">
        <f t="shared" si="24"/>
        <v>19096.961002</v>
      </c>
      <c r="AG55" s="19">
        <f t="shared" si="24"/>
        <v>19240.189932000001</v>
      </c>
      <c r="AH55" s="19">
        <f t="shared" si="24"/>
        <v>19481.912052</v>
      </c>
    </row>
    <row r="57" spans="1:34">
      <c r="A57" s="1" t="s">
        <v>146</v>
      </c>
      <c r="B57" s="13"/>
      <c r="D57" s="337"/>
      <c r="E57" s="337"/>
      <c r="F57" s="337"/>
      <c r="G57" s="337"/>
      <c r="H57" s="16"/>
      <c r="I57" s="16"/>
      <c r="J57" s="16"/>
      <c r="K57" s="16"/>
      <c r="L57" s="16"/>
      <c r="M57" s="16"/>
      <c r="N57" s="394" t="s">
        <v>0</v>
      </c>
    </row>
    <row r="58" spans="1:34" ht="15">
      <c r="A58" s="8" t="s">
        <v>63</v>
      </c>
      <c r="B58" s="34">
        <v>0</v>
      </c>
      <c r="C58" s="335">
        <f>C40*Inputs!$H44</f>
        <v>0</v>
      </c>
      <c r="D58" s="335">
        <f>D40*Inputs!$H44</f>
        <v>0</v>
      </c>
      <c r="E58" s="335">
        <f>E40*Inputs!$H44</f>
        <v>0</v>
      </c>
      <c r="F58" s="335">
        <f>F40*Inputs!$H44</f>
        <v>0</v>
      </c>
      <c r="G58" s="335">
        <f>G40*Inputs!$H44</f>
        <v>0</v>
      </c>
      <c r="H58" s="14">
        <f>H40*Inputs!$H44</f>
        <v>0</v>
      </c>
      <c r="I58" s="14">
        <f>I40*Inputs!$H44</f>
        <v>0</v>
      </c>
      <c r="J58" s="14">
        <f>J40*Inputs!$H44</f>
        <v>0</v>
      </c>
      <c r="K58" s="14">
        <f>K40*Inputs!$H44</f>
        <v>0</v>
      </c>
      <c r="L58" s="14">
        <f>L40*Inputs!$H44</f>
        <v>0</v>
      </c>
      <c r="M58" s="14">
        <f>M40*Inputs!$H44</f>
        <v>0</v>
      </c>
      <c r="N58" s="191">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8">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62</v>
      </c>
      <c r="B59" s="34">
        <v>0</v>
      </c>
      <c r="C59" s="335">
        <f>C41*Inputs!$H47</f>
        <v>0</v>
      </c>
      <c r="D59" s="335">
        <f>D41*Inputs!$H47</f>
        <v>0</v>
      </c>
      <c r="E59" s="335" t="s">
        <v>383</v>
      </c>
      <c r="F59" s="335">
        <f>F41*Inputs!$H47</f>
        <v>0</v>
      </c>
      <c r="G59" s="335">
        <f>G41*Inputs!$H47</f>
        <v>0</v>
      </c>
      <c r="H59" s="14">
        <f>H41*Inputs!$H47</f>
        <v>0</v>
      </c>
      <c r="I59" s="14">
        <f>I41*Inputs!$H47</f>
        <v>0</v>
      </c>
      <c r="J59" s="14">
        <f>J41*Inputs!$H47</f>
        <v>0</v>
      </c>
      <c r="K59" s="14">
        <f>K41*Inputs!$H47</f>
        <v>0</v>
      </c>
      <c r="L59" s="14">
        <f>L41*Inputs!$H47</f>
        <v>0</v>
      </c>
      <c r="M59" s="14">
        <f>M41*Inputs!$H47</f>
        <v>0</v>
      </c>
      <c r="N59" s="191">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8">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51</v>
      </c>
      <c r="B60" s="34">
        <v>0</v>
      </c>
      <c r="C60" s="335">
        <f>C42*Inputs!$H48</f>
        <v>3728.0249864999996</v>
      </c>
      <c r="D60" s="335">
        <f>D42*Inputs!$H48</f>
        <v>3438.7199864999998</v>
      </c>
      <c r="E60" s="335">
        <f>E42*Inputs!$H48</f>
        <v>3778.2548415000006</v>
      </c>
      <c r="F60" s="335">
        <f>F42*Inputs!$H48</f>
        <v>3326.8575015000001</v>
      </c>
      <c r="G60" s="335">
        <f>G42*Inputs!$H48</f>
        <v>3629.8112715000002</v>
      </c>
      <c r="H60" s="14">
        <f>H42*Inputs!$H48</f>
        <v>3709.5324164999993</v>
      </c>
      <c r="I60" s="14">
        <f>I42*Inputs!$H48</f>
        <v>3785.2567514999992</v>
      </c>
      <c r="J60" s="14">
        <f>J42*Inputs!$H48</f>
        <v>3864.5157914999991</v>
      </c>
      <c r="K60" s="14">
        <f>K42*Inputs!$H48</f>
        <v>3906.7305615000005</v>
      </c>
      <c r="L60" s="14">
        <f>L42*Inputs!$H48</f>
        <v>3906.7305615000005</v>
      </c>
      <c r="M60" s="14">
        <f>M42*Inputs!$H48</f>
        <v>3906.7305615000005</v>
      </c>
      <c r="N60" s="191">
        <f>N42*Inputs!$H48</f>
        <v>3906.7305615000005</v>
      </c>
      <c r="O60" s="14">
        <f>O42*Inputs!$H48</f>
        <v>3906.7305615000005</v>
      </c>
      <c r="P60" s="14">
        <f>P42*Inputs!$H48</f>
        <v>3906.7296164999998</v>
      </c>
      <c r="Q60" s="14">
        <f>Q42*Inputs!$H48</f>
        <v>3931.9632764999997</v>
      </c>
      <c r="R60" s="14">
        <f>R42*Inputs!$H48</f>
        <v>3931.9627365000001</v>
      </c>
      <c r="S60" s="14">
        <f>S42*Inputs!$H48</f>
        <v>3931.9638165000001</v>
      </c>
      <c r="T60" s="14">
        <f>T42*Inputs!$H48</f>
        <v>3931.9643564999997</v>
      </c>
      <c r="U60" s="14">
        <f>U42*Inputs!$H48</f>
        <v>3931.9643564999997</v>
      </c>
      <c r="V60" s="14">
        <f>V42*Inputs!$H48</f>
        <v>3931.9632764999997</v>
      </c>
      <c r="W60" s="14">
        <f>W42*Inputs!$H48</f>
        <v>3931.9643564999997</v>
      </c>
      <c r="X60" s="188">
        <f>X42*Inputs!$H48</f>
        <v>3931.9643564999997</v>
      </c>
      <c r="Y60" s="14">
        <f>Y42*Inputs!$H48</f>
        <v>3931.9643564999997</v>
      </c>
      <c r="Z60" s="14">
        <f>Z42*Inputs!$H48</f>
        <v>3931.9643564999997</v>
      </c>
      <c r="AA60" s="14">
        <f>AA42*Inputs!$H48</f>
        <v>3931.9643564999997</v>
      </c>
      <c r="AB60" s="14">
        <f>AB42*Inputs!$H48</f>
        <v>3931.9643564999997</v>
      </c>
      <c r="AC60" s="14">
        <f>AC42*Inputs!$H48</f>
        <v>3931.9643564999997</v>
      </c>
      <c r="AD60" s="14">
        <f>AD42*Inputs!$H48</f>
        <v>3931.9643564999997</v>
      </c>
      <c r="AE60" s="14">
        <f>AE42*Inputs!$H48</f>
        <v>3931.9643564999997</v>
      </c>
      <c r="AF60" s="14">
        <f>AF42*Inputs!$H48</f>
        <v>3931.9643564999997</v>
      </c>
      <c r="AG60" s="14">
        <f>AG42*Inputs!$H48</f>
        <v>3931.9643564999997</v>
      </c>
      <c r="AH60" s="14">
        <f>AH42*Inputs!$H48</f>
        <v>3931.9643564999997</v>
      </c>
    </row>
    <row r="61" spans="1:34" ht="15">
      <c r="A61" s="8" t="s">
        <v>61</v>
      </c>
      <c r="B61" s="34">
        <v>0</v>
      </c>
      <c r="C61" s="335">
        <f>C43*Inputs!$H53</f>
        <v>5479.1100000000006</v>
      </c>
      <c r="D61" s="335">
        <f>D43*Inputs!$H53</f>
        <v>5275.62</v>
      </c>
      <c r="E61" s="335">
        <f>E43*Inputs!$H53</f>
        <v>5379.5698739999998</v>
      </c>
      <c r="F61" s="335">
        <f>F43*Inputs!$H53</f>
        <v>5137.6498740000006</v>
      </c>
      <c r="G61" s="335">
        <f>G43*Inputs!$H53</f>
        <v>5122.9830960000008</v>
      </c>
      <c r="H61" s="14">
        <f>H43*Inputs!$H53</f>
        <v>5122.9830960000008</v>
      </c>
      <c r="I61" s="14">
        <f>I43*Inputs!$H53</f>
        <v>4786.2584280000001</v>
      </c>
      <c r="J61" s="14">
        <f>J43*Inputs!$H53</f>
        <v>4835.5222860000003</v>
      </c>
      <c r="K61" s="14">
        <f>K43*Inputs!$H53</f>
        <v>4835.5222860000003</v>
      </c>
      <c r="L61" s="14">
        <f>L43*Inputs!$H53</f>
        <v>4835.5222860000003</v>
      </c>
      <c r="M61" s="14">
        <f>M43*Inputs!$H53</f>
        <v>4835.5222860000003</v>
      </c>
      <c r="N61" s="191">
        <f>N43*Inputs!$H53</f>
        <v>4835.5222860000003</v>
      </c>
      <c r="O61" s="14">
        <f>O43*Inputs!$H53</f>
        <v>4835.5222860000003</v>
      </c>
      <c r="P61" s="14">
        <f>P43*Inputs!$H53</f>
        <v>4835.5222860000003</v>
      </c>
      <c r="Q61" s="14">
        <f>Q43*Inputs!$H53</f>
        <v>4835.5222860000003</v>
      </c>
      <c r="R61" s="14">
        <f>R43*Inputs!$H53</f>
        <v>4835.5222860000003</v>
      </c>
      <c r="S61" s="14">
        <f>S43*Inputs!$H53</f>
        <v>4835.5222860000003</v>
      </c>
      <c r="T61" s="14">
        <f>T43*Inputs!$H53</f>
        <v>4835.5222860000003</v>
      </c>
      <c r="U61" s="14">
        <f>U43*Inputs!$H53</f>
        <v>4835.5222860000003</v>
      </c>
      <c r="V61" s="14">
        <f>V43*Inputs!$H53</f>
        <v>4835.5222860000003</v>
      </c>
      <c r="W61" s="14">
        <f>W43*Inputs!$H53</f>
        <v>4835.5222860000003</v>
      </c>
      <c r="X61" s="188">
        <f>X43*Inputs!$H53</f>
        <v>4835.5222860000003</v>
      </c>
      <c r="Y61" s="14">
        <f>Y43*Inputs!$H53</f>
        <v>4835.5222860000003</v>
      </c>
      <c r="Z61" s="14">
        <f>Z43*Inputs!$H53</f>
        <v>4835.5222860000003</v>
      </c>
      <c r="AA61" s="14">
        <f>AA43*Inputs!$H53</f>
        <v>4835.5222860000003</v>
      </c>
      <c r="AB61" s="14">
        <f>AB43*Inputs!$H53</f>
        <v>4835.5222860000003</v>
      </c>
      <c r="AC61" s="14">
        <f>AC43*Inputs!$H53</f>
        <v>4835.5222860000003</v>
      </c>
      <c r="AD61" s="14">
        <f>AD43*Inputs!$H53</f>
        <v>4835.5222860000003</v>
      </c>
      <c r="AE61" s="14">
        <f>AE43*Inputs!$H53</f>
        <v>4835.5222860000003</v>
      </c>
      <c r="AF61" s="14">
        <f>AF43*Inputs!$H53</f>
        <v>4835.5222860000003</v>
      </c>
      <c r="AG61" s="14">
        <f>AG43*Inputs!$H53</f>
        <v>4835.5222860000003</v>
      </c>
      <c r="AH61" s="14">
        <f>AH43*Inputs!$H53</f>
        <v>4835.5222860000003</v>
      </c>
    </row>
    <row r="62" spans="1:34" ht="15">
      <c r="A62" s="8" t="s">
        <v>127</v>
      </c>
      <c r="B62" s="34">
        <v>1</v>
      </c>
      <c r="C62" s="335">
        <f>C44*Inputs!$H46</f>
        <v>101.304</v>
      </c>
      <c r="D62" s="335">
        <f>D44*Inputs!$H46</f>
        <v>103.383</v>
      </c>
      <c r="E62" s="335">
        <f>E44*Inputs!$H46</f>
        <v>83.584872000000004</v>
      </c>
      <c r="F62" s="335">
        <f>F44*Inputs!$H46</f>
        <v>91.094220000000007</v>
      </c>
      <c r="G62" s="335">
        <f>G44*Inputs!$H46</f>
        <v>119.74680899999997</v>
      </c>
      <c r="H62" s="14">
        <f>H44*Inputs!$H46</f>
        <v>128.756439</v>
      </c>
      <c r="I62" s="14">
        <f>I44*Inputs!$H46</f>
        <v>147.55041</v>
      </c>
      <c r="J62" s="14">
        <f>J44*Inputs!$H46</f>
        <v>152.35856999999999</v>
      </c>
      <c r="K62" s="14">
        <f>K44*Inputs!$H46</f>
        <v>232.085196</v>
      </c>
      <c r="L62" s="14">
        <f>L44*Inputs!$H46</f>
        <v>237.48246899999998</v>
      </c>
      <c r="M62" s="14">
        <f>M44*Inputs!$H46</f>
        <v>248.05871999999999</v>
      </c>
      <c r="N62" s="191">
        <f>N44*Inputs!$H46</f>
        <v>253.04605199999997</v>
      </c>
      <c r="O62" s="14">
        <f>O44*Inputs!$H46</f>
        <v>283.97042100000004</v>
      </c>
      <c r="P62" s="14">
        <f>P44*Inputs!$H46</f>
        <v>332.442117</v>
      </c>
      <c r="Q62" s="14">
        <f>Q44*Inputs!$H46</f>
        <v>343.29279600000001</v>
      </c>
      <c r="R62" s="14">
        <f>R44*Inputs!$H46</f>
        <v>348.744123</v>
      </c>
      <c r="S62" s="14">
        <f>S44*Inputs!$H46</f>
        <v>311.04070200000001</v>
      </c>
      <c r="T62" s="14">
        <f>T44*Inputs!$H46</f>
        <v>312.01575300000002</v>
      </c>
      <c r="U62" s="14">
        <f>U44*Inputs!$H46</f>
        <v>313.90934400000003</v>
      </c>
      <c r="V62" s="14">
        <f>V44*Inputs!$H46</f>
        <v>302.23235700000004</v>
      </c>
      <c r="W62" s="14">
        <f>W44*Inputs!$H46</f>
        <v>310.48598700000002</v>
      </c>
      <c r="X62" s="188">
        <f>X44*Inputs!$H46</f>
        <v>313.99817399999995</v>
      </c>
      <c r="Y62" s="14">
        <f>Y44*Inputs!$H46</f>
        <v>317.54268000000002</v>
      </c>
      <c r="Z62" s="14">
        <f>Z44*Inputs!$H46</f>
        <v>314.99628300000001</v>
      </c>
      <c r="AA62" s="14">
        <f>AA44*Inputs!$H46</f>
        <v>318.23706600000003</v>
      </c>
      <c r="AB62" s="14">
        <f>AB44*Inputs!$H46</f>
        <v>322.032375</v>
      </c>
      <c r="AC62" s="14">
        <f>AC44*Inputs!$H46</f>
        <v>325.34044200000005</v>
      </c>
      <c r="AD62" s="14">
        <f>AD44*Inputs!$H46</f>
        <v>341.930295</v>
      </c>
      <c r="AE62" s="14">
        <f>AE44*Inputs!$H46</f>
        <v>337.49314200000003</v>
      </c>
      <c r="AF62" s="14">
        <f>AF44*Inputs!$H46</f>
        <v>341.20377900000005</v>
      </c>
      <c r="AG62" s="14">
        <f>AG44*Inputs!$H46</f>
        <v>345.55947300000003</v>
      </c>
      <c r="AH62" s="14">
        <f>AH44*Inputs!$H46</f>
        <v>349.15387499999997</v>
      </c>
    </row>
    <row r="63" spans="1:34" ht="15">
      <c r="A63" s="8" t="s">
        <v>52</v>
      </c>
      <c r="B63" s="34">
        <v>1</v>
      </c>
      <c r="C63" s="335">
        <f>C45*Inputs!$H49</f>
        <v>2.2500000000000003E-2</v>
      </c>
      <c r="D63" s="335">
        <f>D45*Inputs!$H49</f>
        <v>2.2500000000000003E-2</v>
      </c>
      <c r="E63" s="335">
        <f>E45*Inputs!$H49</f>
        <v>2.2500000000000003E-2</v>
      </c>
      <c r="F63" s="335">
        <f>F45*Inputs!$H49</f>
        <v>2.2500000000000003E-2</v>
      </c>
      <c r="G63" s="335">
        <f>G45*Inputs!$H49</f>
        <v>2.2500000000000003E-2</v>
      </c>
      <c r="H63" s="14">
        <f>H45*Inputs!$H49</f>
        <v>2.2500000000000003E-2</v>
      </c>
      <c r="I63" s="14">
        <f>I45*Inputs!$H49</f>
        <v>2.2500000000000003E-2</v>
      </c>
      <c r="J63" s="14">
        <f>J45*Inputs!$H49</f>
        <v>2.2500000000000003E-2</v>
      </c>
      <c r="K63" s="14">
        <f>K45*Inputs!$H49</f>
        <v>2.2500000000000003E-2</v>
      </c>
      <c r="L63" s="14">
        <f>L45*Inputs!$H49</f>
        <v>2.2500000000000003E-2</v>
      </c>
      <c r="M63" s="14">
        <f>M45*Inputs!$H49</f>
        <v>2.2500000000000003E-2</v>
      </c>
      <c r="N63" s="191">
        <f>N45*Inputs!$H49</f>
        <v>2.2500000000000003E-2</v>
      </c>
      <c r="O63" s="14">
        <f>O45*Inputs!$H49</f>
        <v>2.2500000000000003E-2</v>
      </c>
      <c r="P63" s="14">
        <f>P45*Inputs!$H49</f>
        <v>2.2500000000000003E-2</v>
      </c>
      <c r="Q63" s="14">
        <f>Q45*Inputs!$H49</f>
        <v>2.2500000000000003E-2</v>
      </c>
      <c r="R63" s="14">
        <f>R45*Inputs!$H49</f>
        <v>2.2500000000000003E-2</v>
      </c>
      <c r="S63" s="14">
        <f>S45*Inputs!$H49</f>
        <v>2.2500000000000003E-2</v>
      </c>
      <c r="T63" s="14">
        <f>T45*Inputs!$H49</f>
        <v>2.2500000000000003E-2</v>
      </c>
      <c r="U63" s="14">
        <f>U45*Inputs!$H49</f>
        <v>2.2500000000000003E-2</v>
      </c>
      <c r="V63" s="14">
        <f>V45*Inputs!$H49</f>
        <v>2.2500000000000003E-2</v>
      </c>
      <c r="W63" s="14">
        <f>W45*Inputs!$H49</f>
        <v>2.2500000000000003E-2</v>
      </c>
      <c r="X63" s="188">
        <f>X45*Inputs!$H49</f>
        <v>2.2500000000000003E-2</v>
      </c>
      <c r="Y63" s="14">
        <f>Y45*Inputs!$H49</f>
        <v>2.2500000000000003E-2</v>
      </c>
      <c r="Z63" s="14">
        <f>Z45*Inputs!$H49</f>
        <v>2.2500000000000003E-2</v>
      </c>
      <c r="AA63" s="14">
        <f>AA45*Inputs!$H49</f>
        <v>2.2500000000000003E-2</v>
      </c>
      <c r="AB63" s="14">
        <f>AB45*Inputs!$H49</f>
        <v>2.2500000000000003E-2</v>
      </c>
      <c r="AC63" s="14">
        <f>AC45*Inputs!$H49</f>
        <v>2.2500000000000003E-2</v>
      </c>
      <c r="AD63" s="14">
        <f>AD45*Inputs!$H49</f>
        <v>2.2500000000000003E-2</v>
      </c>
      <c r="AE63" s="14">
        <f>AE45*Inputs!$H49</f>
        <v>2.2500000000000003E-2</v>
      </c>
      <c r="AF63" s="14">
        <f>AF45*Inputs!$H49</f>
        <v>2.2500000000000003E-2</v>
      </c>
      <c r="AG63" s="14">
        <f>AG45*Inputs!$H49</f>
        <v>2.2500000000000003E-2</v>
      </c>
      <c r="AH63" s="14">
        <f>AH45*Inputs!$H49</f>
        <v>2.2500000000000003E-2</v>
      </c>
    </row>
    <row r="64" spans="1:34" ht="15">
      <c r="A64" s="8" t="s">
        <v>53</v>
      </c>
      <c r="B64" s="34">
        <v>1</v>
      </c>
      <c r="C64" s="335">
        <f>C46*Inputs!$H52</f>
        <v>224.77500000000001</v>
      </c>
      <c r="D64" s="335">
        <f>D46*Inputs!$H52</f>
        <v>225.58499999999998</v>
      </c>
      <c r="E64" s="335">
        <f>E46*Inputs!$H52</f>
        <v>172.652175</v>
      </c>
      <c r="F64" s="335">
        <f>F46*Inputs!$H52</f>
        <v>203.65816500000003</v>
      </c>
      <c r="G64" s="335">
        <f>G46*Inputs!$H52</f>
        <v>242.60849999999999</v>
      </c>
      <c r="H64" s="14">
        <f>H46*Inputs!$H52</f>
        <v>241.75502999999998</v>
      </c>
      <c r="I64" s="14">
        <f>I46*Inputs!$H52</f>
        <v>241.78364999999997</v>
      </c>
      <c r="J64" s="14">
        <f>J46*Inputs!$H52</f>
        <v>241.85641500000003</v>
      </c>
      <c r="K64" s="14">
        <f>K46*Inputs!$H52</f>
        <v>241.93242000000001</v>
      </c>
      <c r="L64" s="14">
        <f>L46*Inputs!$H52</f>
        <v>241.20342000000002</v>
      </c>
      <c r="M64" s="14">
        <f>M46*Inputs!$H52</f>
        <v>241.19761499999998</v>
      </c>
      <c r="N64" s="191">
        <f>N46*Inputs!$H52</f>
        <v>241.24877999999998</v>
      </c>
      <c r="O64" s="14">
        <f>O46*Inputs!$H52</f>
        <v>241.26579000000001</v>
      </c>
      <c r="P64" s="14">
        <f>P46*Inputs!$H52</f>
        <v>241.25242499999999</v>
      </c>
      <c r="Q64" s="14">
        <f>Q46*Inputs!$H52</f>
        <v>241.23177000000001</v>
      </c>
      <c r="R64" s="14">
        <f>R46*Inputs!$H52</f>
        <v>241.19882999999999</v>
      </c>
      <c r="S64" s="14">
        <f>S46*Inputs!$H52</f>
        <v>241.16723999999999</v>
      </c>
      <c r="T64" s="14">
        <f>T46*Inputs!$H52</f>
        <v>241.13240999999999</v>
      </c>
      <c r="U64" s="14">
        <f>U46*Inputs!$H52</f>
        <v>241.09218000000001</v>
      </c>
      <c r="V64" s="14">
        <f>V46*Inputs!$H52</f>
        <v>241.04763</v>
      </c>
      <c r="W64" s="14">
        <f>W46*Inputs!$H52</f>
        <v>241.01009999999999</v>
      </c>
      <c r="X64" s="188">
        <f>X46*Inputs!$H52</f>
        <v>240.98404499999998</v>
      </c>
      <c r="Y64" s="14">
        <f>Y46*Inputs!$H52</f>
        <v>240.95866500000002</v>
      </c>
      <c r="Z64" s="14">
        <f>Z46*Inputs!$H52</f>
        <v>240.93072000000001</v>
      </c>
      <c r="AA64" s="14">
        <f>AA46*Inputs!$H52</f>
        <v>240.90385500000002</v>
      </c>
      <c r="AB64" s="14">
        <f>AB46*Inputs!$H52</f>
        <v>240.87753000000001</v>
      </c>
      <c r="AC64" s="14">
        <f>AC46*Inputs!$H52</f>
        <v>240.84904499999996</v>
      </c>
      <c r="AD64" s="14">
        <f>AD46*Inputs!$H52</f>
        <v>240.82204499999997</v>
      </c>
      <c r="AE64" s="14">
        <f>AE46*Inputs!$H52</f>
        <v>240.79733999999999</v>
      </c>
      <c r="AF64" s="14">
        <f>AF46*Inputs!$H52</f>
        <v>240.77466000000001</v>
      </c>
      <c r="AG64" s="14">
        <f>AG46*Inputs!$H52</f>
        <v>240.751035</v>
      </c>
      <c r="AH64" s="14">
        <f>AH46*Inputs!$H52</f>
        <v>253.25513999999998</v>
      </c>
    </row>
    <row r="65" spans="1:34" ht="15">
      <c r="A65" s="8" t="s">
        <v>353</v>
      </c>
      <c r="B65" s="34">
        <v>1</v>
      </c>
      <c r="C65" s="335">
        <f>C47*Inputs!$H54</f>
        <v>0</v>
      </c>
      <c r="D65" s="335">
        <f>D47*Inputs!$H54</f>
        <v>0</v>
      </c>
      <c r="E65" s="335">
        <f>E47*Inputs!$H54</f>
        <v>79.028361000000004</v>
      </c>
      <c r="F65" s="335">
        <f>F47*Inputs!$H54</f>
        <v>166.907961</v>
      </c>
      <c r="G65" s="335">
        <f>G47*Inputs!$H54</f>
        <v>220.69653300000002</v>
      </c>
      <c r="H65" s="14">
        <f>H47*Inputs!$H54</f>
        <v>266.9748120000001</v>
      </c>
      <c r="I65" s="14">
        <f>I47*Inputs!$H54</f>
        <v>308.20428000000004</v>
      </c>
      <c r="J65" s="14">
        <f>J47*Inputs!$H54</f>
        <v>343.86732900000004</v>
      </c>
      <c r="K65" s="14">
        <f>K47*Inputs!$H54</f>
        <v>346.34800799999994</v>
      </c>
      <c r="L65" s="14">
        <f>L47*Inputs!$H54</f>
        <v>350.30472299999997</v>
      </c>
      <c r="M65" s="14">
        <f>M47*Inputs!$H54</f>
        <v>357.00092100000001</v>
      </c>
      <c r="N65" s="191">
        <f>N47*Inputs!$H54</f>
        <v>367.24500900000004</v>
      </c>
      <c r="O65" s="14">
        <f>O47*Inputs!$H54</f>
        <v>378.68784300000004</v>
      </c>
      <c r="P65" s="14">
        <f>P47*Inputs!$H54</f>
        <v>390.71156400000001</v>
      </c>
      <c r="Q65" s="14">
        <f>Q47*Inputs!$H54</f>
        <v>403.63541100000003</v>
      </c>
      <c r="R65" s="14">
        <f>R47*Inputs!$H54</f>
        <v>418.32182699999998</v>
      </c>
      <c r="S65" s="14">
        <f>S47*Inputs!$H54</f>
        <v>435.03957000000003</v>
      </c>
      <c r="T65" s="14">
        <f>T47*Inputs!$H54</f>
        <v>452.64961800000003</v>
      </c>
      <c r="U65" s="14">
        <f>U47*Inputs!$H54</f>
        <v>471.43139400000007</v>
      </c>
      <c r="V65" s="14">
        <f>V47*Inputs!$H54</f>
        <v>490.90497300000004</v>
      </c>
      <c r="W65" s="14">
        <f>W47*Inputs!$H54</f>
        <v>511.42727700000012</v>
      </c>
      <c r="X65" s="188">
        <f>X47*Inputs!$H54</f>
        <v>533.68228799999997</v>
      </c>
      <c r="Y65" s="14">
        <f>Y47*Inputs!$H54</f>
        <v>556.297776</v>
      </c>
      <c r="Z65" s="14">
        <f>Z47*Inputs!$H54</f>
        <v>578.78243999999995</v>
      </c>
      <c r="AA65" s="14">
        <f>AA47*Inputs!$H54</f>
        <v>601.13912400000004</v>
      </c>
      <c r="AB65" s="14">
        <f>AB47*Inputs!$H54</f>
        <v>623.70413099999996</v>
      </c>
      <c r="AC65" s="14">
        <f>AC47*Inputs!$H54</f>
        <v>646.75546200000008</v>
      </c>
      <c r="AD65" s="14">
        <f>AD47*Inputs!$H54</f>
        <v>670.16513699999996</v>
      </c>
      <c r="AE65" s="14">
        <f>AE47*Inputs!$H54</f>
        <v>693.76891500000011</v>
      </c>
      <c r="AF65" s="14">
        <f>AF47*Inputs!$H54</f>
        <v>717.480054</v>
      </c>
      <c r="AG65" s="14">
        <f>AG47*Inputs!$H54</f>
        <v>741.59006399999998</v>
      </c>
      <c r="AH65" s="14">
        <f>AH47*Inputs!$H54</f>
        <v>886.41791999999998</v>
      </c>
    </row>
    <row r="66" spans="1:34" ht="15">
      <c r="A66" s="8" t="s">
        <v>354</v>
      </c>
      <c r="B66" s="34">
        <v>1</v>
      </c>
      <c r="C66" s="335">
        <f>C48*Inputs!$H55</f>
        <v>0</v>
      </c>
      <c r="D66" s="335">
        <f>D48*Inputs!$H55</f>
        <v>0</v>
      </c>
      <c r="E66" s="335">
        <f>E48*Inputs!$H55</f>
        <v>0.20700000000000002</v>
      </c>
      <c r="F66" s="335">
        <f>F48*Inputs!$H55</f>
        <v>0.20700000000000002</v>
      </c>
      <c r="G66" s="335">
        <f>G48*Inputs!$H55</f>
        <v>0.20700000000000002</v>
      </c>
      <c r="H66" s="14">
        <f>H48*Inputs!$H55</f>
        <v>0.20700000000000002</v>
      </c>
      <c r="I66" s="14">
        <f>I48*Inputs!$H55</f>
        <v>0.20700000000000002</v>
      </c>
      <c r="J66" s="14">
        <f>J48*Inputs!$H55</f>
        <v>0.20700000000000002</v>
      </c>
      <c r="K66" s="14">
        <f>K48*Inputs!$H55</f>
        <v>0.20700000000000002</v>
      </c>
      <c r="L66" s="14">
        <f>L48*Inputs!$H55</f>
        <v>0.20700000000000002</v>
      </c>
      <c r="M66" s="14">
        <f>M48*Inputs!$H55</f>
        <v>0.20700000000000002</v>
      </c>
      <c r="N66" s="191">
        <f>N48*Inputs!$H55</f>
        <v>0.20700000000000002</v>
      </c>
      <c r="O66" s="14">
        <f>O48*Inputs!$H55</f>
        <v>0.20700000000000002</v>
      </c>
      <c r="P66" s="14">
        <f>P48*Inputs!$H55</f>
        <v>0.20700000000000002</v>
      </c>
      <c r="Q66" s="14">
        <f>Q48*Inputs!$H55</f>
        <v>0.20700000000000002</v>
      </c>
      <c r="R66" s="14">
        <f>R48*Inputs!$H55</f>
        <v>0.20700000000000002</v>
      </c>
      <c r="S66" s="14">
        <f>S48*Inputs!$H55</f>
        <v>0.20700000000000002</v>
      </c>
      <c r="T66" s="14">
        <f>T48*Inputs!$H55</f>
        <v>0.20700000000000002</v>
      </c>
      <c r="U66" s="14">
        <f>U48*Inputs!$H55</f>
        <v>0.20700000000000002</v>
      </c>
      <c r="V66" s="14">
        <f>V48*Inputs!$H55</f>
        <v>0.20700000000000002</v>
      </c>
      <c r="W66" s="14">
        <f>W48*Inputs!$H55</f>
        <v>0.20700000000000002</v>
      </c>
      <c r="X66" s="188">
        <f>X48*Inputs!$H55</f>
        <v>0.20700000000000002</v>
      </c>
      <c r="Y66" s="14">
        <f>Y48*Inputs!$H55</f>
        <v>0.20700000000000002</v>
      </c>
      <c r="Z66" s="14">
        <f>Z48*Inputs!$H55</f>
        <v>0.20700000000000002</v>
      </c>
      <c r="AA66" s="14">
        <f>AA48*Inputs!$H55</f>
        <v>0.20700000000000002</v>
      </c>
      <c r="AB66" s="14">
        <f>AB48*Inputs!$H55</f>
        <v>0.20700000000000002</v>
      </c>
      <c r="AC66" s="14">
        <f>AC48*Inputs!$H55</f>
        <v>0.20700000000000002</v>
      </c>
      <c r="AD66" s="14">
        <f>AD48*Inputs!$H55</f>
        <v>0.20700000000000002</v>
      </c>
      <c r="AE66" s="14">
        <f>AE48*Inputs!$H55</f>
        <v>0.20700000000000002</v>
      </c>
      <c r="AF66" s="14">
        <f>AF48*Inputs!$H55</f>
        <v>0.20700000000000002</v>
      </c>
      <c r="AG66" s="14">
        <f>AG48*Inputs!$H55</f>
        <v>0.20700000000000002</v>
      </c>
      <c r="AH66" s="14">
        <f>AH48*Inputs!$H55</f>
        <v>0.20700000000000002</v>
      </c>
    </row>
    <row r="67" spans="1:34" ht="15">
      <c r="A67" s="8" t="s">
        <v>350</v>
      </c>
      <c r="B67" s="34">
        <v>1</v>
      </c>
      <c r="C67" s="335">
        <f>C49*Inputs!$H51</f>
        <v>2.4300000000000001E-5</v>
      </c>
      <c r="D67" s="335">
        <f>D49*Inputs!$H51</f>
        <v>2.4300000000000001E-5</v>
      </c>
      <c r="E67" s="335">
        <f>E49*Inputs!$H51</f>
        <v>2.4300000000000001E-5</v>
      </c>
      <c r="F67" s="335">
        <f>F49*Inputs!$H51</f>
        <v>2.4300000000000001E-5</v>
      </c>
      <c r="G67" s="335">
        <f>G49*Inputs!$H51</f>
        <v>2.4300000000000001E-5</v>
      </c>
      <c r="H67" s="14">
        <f>H49*Inputs!$H51</f>
        <v>2.4300000000000001E-5</v>
      </c>
      <c r="I67" s="14">
        <f>I49*Inputs!$H51</f>
        <v>2.4300000000000001E-5</v>
      </c>
      <c r="J67" s="14">
        <f>J49*Inputs!$H51</f>
        <v>2.4300000000000001E-5</v>
      </c>
      <c r="K67" s="14">
        <f>K49*Inputs!$H51</f>
        <v>2.4300000000000001E-5</v>
      </c>
      <c r="L67" s="14">
        <f>L49*Inputs!$H51</f>
        <v>2.4300000000000001E-5</v>
      </c>
      <c r="M67" s="14">
        <f>M49*Inputs!$H51</f>
        <v>2.4300000000000001E-5</v>
      </c>
      <c r="N67" s="191">
        <f>N49*Inputs!$H51</f>
        <v>2.4300000000000001E-5</v>
      </c>
      <c r="O67" s="14">
        <f>O49*Inputs!$H51</f>
        <v>2.4300000000000001E-5</v>
      </c>
      <c r="P67" s="14">
        <f>P49*Inputs!$H51</f>
        <v>2.4300000000000001E-5</v>
      </c>
      <c r="Q67" s="14">
        <f>Q49*Inputs!$H51</f>
        <v>2.4300000000000001E-5</v>
      </c>
      <c r="R67" s="14">
        <f>R49*Inputs!$H51</f>
        <v>2.4300000000000001E-5</v>
      </c>
      <c r="S67" s="14">
        <f>S49*Inputs!$H51</f>
        <v>2.4300000000000001E-5</v>
      </c>
      <c r="T67" s="14">
        <f>T49*Inputs!$H51</f>
        <v>2.4300000000000001E-5</v>
      </c>
      <c r="U67" s="14">
        <f>U49*Inputs!$H51</f>
        <v>2.4300000000000001E-5</v>
      </c>
      <c r="V67" s="14">
        <f>V49*Inputs!$H51</f>
        <v>2.4300000000000001E-5</v>
      </c>
      <c r="W67" s="14">
        <f>W49*Inputs!$H51</f>
        <v>2.4300000000000001E-5</v>
      </c>
      <c r="X67" s="188">
        <f>X49*Inputs!$H51</f>
        <v>2.4300000000000001E-5</v>
      </c>
      <c r="Y67" s="14">
        <f>Y49*Inputs!$H51</f>
        <v>2.4300000000000001E-5</v>
      </c>
      <c r="Z67" s="14">
        <f>Z49*Inputs!$H51</f>
        <v>2.4300000000000001E-5</v>
      </c>
      <c r="AA67" s="14">
        <f>AA49*Inputs!$H51</f>
        <v>2.4300000000000001E-5</v>
      </c>
      <c r="AB67" s="14">
        <f>AB49*Inputs!$H51</f>
        <v>2.4300000000000001E-5</v>
      </c>
      <c r="AC67" s="14">
        <f>AC49*Inputs!$H51</f>
        <v>2.4300000000000001E-5</v>
      </c>
      <c r="AD67" s="14">
        <f>AD49*Inputs!$H51</f>
        <v>2.4300000000000001E-5</v>
      </c>
      <c r="AE67" s="14">
        <f>AE49*Inputs!$H51</f>
        <v>2.4300000000000001E-5</v>
      </c>
      <c r="AF67" s="14">
        <f>AF49*Inputs!$H51</f>
        <v>2.4300000000000001E-5</v>
      </c>
      <c r="AG67" s="14">
        <f>AG49*Inputs!$H51</f>
        <v>2.4300000000000001E-5</v>
      </c>
      <c r="AH67" s="14">
        <f>AH49*Inputs!$H51</f>
        <v>2.4300000000000001E-5</v>
      </c>
    </row>
    <row r="68" spans="1:34" ht="15">
      <c r="A68" s="8" t="s">
        <v>55</v>
      </c>
      <c r="B68" s="34">
        <v>1</v>
      </c>
      <c r="C68" s="335">
        <f>C50*Inputs!$H57</f>
        <v>82.00800000000001</v>
      </c>
      <c r="D68" s="335">
        <f>D50*Inputs!$H57</f>
        <v>83.691000000000017</v>
      </c>
      <c r="E68" s="335">
        <f>E50*Inputs!$H57</f>
        <v>433.54340099999996</v>
      </c>
      <c r="F68" s="335">
        <f>F50*Inputs!$H57</f>
        <v>461.35007999999993</v>
      </c>
      <c r="G68" s="335">
        <f>G50*Inputs!$H57</f>
        <v>534.49387200000001</v>
      </c>
      <c r="H68" s="14">
        <f>H50*Inputs!$H57</f>
        <v>571.30980299999999</v>
      </c>
      <c r="I68" s="14">
        <f>I50*Inputs!$H57</f>
        <v>586.6096500000001</v>
      </c>
      <c r="J68" s="14">
        <f>J50*Inputs!$H57</f>
        <v>595.98839700000008</v>
      </c>
      <c r="K68" s="14">
        <f>K50*Inputs!$H57</f>
        <v>596.05923600000017</v>
      </c>
      <c r="L68" s="14">
        <f>L50*Inputs!$H57</f>
        <v>596.01593700000012</v>
      </c>
      <c r="M68" s="14">
        <f>M50*Inputs!$H57</f>
        <v>595.957491</v>
      </c>
      <c r="N68" s="191">
        <f>N50*Inputs!$H57</f>
        <v>596.16817200000014</v>
      </c>
      <c r="O68" s="14">
        <f>O50*Inputs!$H57</f>
        <v>596.22233400000005</v>
      </c>
      <c r="P68" s="14">
        <f>P50*Inputs!$H57</f>
        <v>596.42001000000016</v>
      </c>
      <c r="Q68" s="14">
        <f>Q50*Inputs!$H57</f>
        <v>596.78185500000018</v>
      </c>
      <c r="R68" s="14">
        <f>R50*Inputs!$H57</f>
        <v>597.65410799999995</v>
      </c>
      <c r="S68" s="14">
        <f>S50*Inputs!$H57</f>
        <v>599.17783500000007</v>
      </c>
      <c r="T68" s="14">
        <f>T50*Inputs!$H57</f>
        <v>601.15444200000002</v>
      </c>
      <c r="U68" s="14">
        <f>U50*Inputs!$H57</f>
        <v>603.51064200000008</v>
      </c>
      <c r="V68" s="14">
        <f>V50*Inputs!$H57</f>
        <v>606.01280400000007</v>
      </c>
      <c r="W68" s="14">
        <f>W50*Inputs!$H57</f>
        <v>608.51619000000005</v>
      </c>
      <c r="X68" s="188">
        <f>X50*Inputs!$H57</f>
        <v>611.09026200000005</v>
      </c>
      <c r="Y68" s="14">
        <f>Y50*Inputs!$H57</f>
        <v>613.61200800000006</v>
      </c>
      <c r="Z68" s="14">
        <f>Z50*Inputs!$H57</f>
        <v>616.075155</v>
      </c>
      <c r="AA68" s="14">
        <f>AA50*Inputs!$H57</f>
        <v>618.4446660000001</v>
      </c>
      <c r="AB68" s="14">
        <f>AB50*Inputs!$H57</f>
        <v>621.00925200000006</v>
      </c>
      <c r="AC68" s="14">
        <f>AC50*Inputs!$H57</f>
        <v>623.75055299999997</v>
      </c>
      <c r="AD68" s="14">
        <f>AD50*Inputs!$H57</f>
        <v>626.70483000000013</v>
      </c>
      <c r="AE68" s="14">
        <f>AE50*Inputs!$H57</f>
        <v>629.47795499999995</v>
      </c>
      <c r="AF68" s="14">
        <f>AF50*Inputs!$H57</f>
        <v>632.26760400000012</v>
      </c>
      <c r="AG68" s="14">
        <f>AG50*Inputs!$H57</f>
        <v>635.43317400000012</v>
      </c>
      <c r="AH68" s="14">
        <f>AH50*Inputs!$H57</f>
        <v>638.70324300000004</v>
      </c>
    </row>
    <row r="69" spans="1:34" s="20" customFormat="1" ht="15">
      <c r="A69" s="8" t="s">
        <v>134</v>
      </c>
      <c r="B69" s="38"/>
      <c r="C69" s="338">
        <f t="shared" ref="C69:AH69" si="25">SUMPRODUCT($B60:$B68,C60:C68)</f>
        <v>408.10952429999998</v>
      </c>
      <c r="D69" s="338">
        <f t="shared" si="25"/>
        <v>412.68152430000004</v>
      </c>
      <c r="E69" s="338">
        <f t="shared" si="25"/>
        <v>769.03833329999998</v>
      </c>
      <c r="F69" s="338">
        <f t="shared" si="25"/>
        <v>923.23995029999992</v>
      </c>
      <c r="G69" s="338">
        <f t="shared" si="25"/>
        <v>1117.7752383</v>
      </c>
      <c r="H69" s="19">
        <f t="shared" si="25"/>
        <v>1209.0256082999999</v>
      </c>
      <c r="I69" s="19">
        <f t="shared" si="25"/>
        <v>1284.3775143</v>
      </c>
      <c r="J69" s="19">
        <f t="shared" si="25"/>
        <v>1334.3002353000002</v>
      </c>
      <c r="K69" s="19">
        <f t="shared" si="25"/>
        <v>1416.6543842999999</v>
      </c>
      <c r="L69" s="19">
        <f t="shared" si="25"/>
        <v>1425.2360733</v>
      </c>
      <c r="M69" s="19">
        <f t="shared" si="25"/>
        <v>1442.4442712999999</v>
      </c>
      <c r="N69" s="191">
        <f t="shared" si="25"/>
        <v>1457.9375373000003</v>
      </c>
      <c r="O69" s="19">
        <f t="shared" si="25"/>
        <v>1500.3759123</v>
      </c>
      <c r="P69" s="19">
        <f t="shared" si="25"/>
        <v>1561.0556403000001</v>
      </c>
      <c r="Q69" s="19">
        <f t="shared" si="25"/>
        <v>1585.1713563000003</v>
      </c>
      <c r="R69" s="19">
        <f t="shared" si="25"/>
        <v>1606.1484123</v>
      </c>
      <c r="S69" s="19">
        <f t="shared" si="25"/>
        <v>1586.6548713000002</v>
      </c>
      <c r="T69" s="19">
        <f t="shared" si="25"/>
        <v>1607.1817473000001</v>
      </c>
      <c r="U69" s="19">
        <f t="shared" si="25"/>
        <v>1630.1730843</v>
      </c>
      <c r="V69" s="19">
        <f t="shared" si="25"/>
        <v>1640.4272883000003</v>
      </c>
      <c r="W69" s="19">
        <f t="shared" si="25"/>
        <v>1671.6690783000004</v>
      </c>
      <c r="X69" s="183">
        <f t="shared" si="25"/>
        <v>1699.9842933</v>
      </c>
      <c r="Y69" s="19">
        <f t="shared" si="25"/>
        <v>1728.6406533000002</v>
      </c>
      <c r="Z69" s="19">
        <f t="shared" si="25"/>
        <v>1751.0141223000001</v>
      </c>
      <c r="AA69" s="19">
        <f t="shared" si="25"/>
        <v>1778.9542353000002</v>
      </c>
      <c r="AB69" s="19">
        <f t="shared" si="25"/>
        <v>1807.8528123000001</v>
      </c>
      <c r="AC69" s="19">
        <f t="shared" si="25"/>
        <v>1836.9250263000004</v>
      </c>
      <c r="AD69" s="19">
        <f t="shared" si="25"/>
        <v>1879.8518313000002</v>
      </c>
      <c r="AE69" s="19">
        <f t="shared" si="25"/>
        <v>1901.7668763000001</v>
      </c>
      <c r="AF69" s="19">
        <f t="shared" si="25"/>
        <v>1931.9556213000003</v>
      </c>
      <c r="AG69" s="19">
        <f t="shared" si="25"/>
        <v>1963.5632703000001</v>
      </c>
      <c r="AH69" s="19">
        <f t="shared" si="25"/>
        <v>2127.7597023000003</v>
      </c>
    </row>
    <row r="70" spans="1:34" s="20" customFormat="1" ht="15">
      <c r="A70" s="27" t="s">
        <v>335</v>
      </c>
      <c r="B70" s="39"/>
      <c r="C70" s="338">
        <f>SUM(C58:C68)</f>
        <v>9615.2445107999993</v>
      </c>
      <c r="D70" s="338">
        <f t="shared" ref="D70:AH70" si="26">SUM(D58:D68)</f>
        <v>9127.0215107999975</v>
      </c>
      <c r="E70" s="338">
        <f t="shared" si="26"/>
        <v>9926.8630487999999</v>
      </c>
      <c r="F70" s="338">
        <f t="shared" si="26"/>
        <v>9387.7473258000027</v>
      </c>
      <c r="G70" s="338">
        <f t="shared" si="26"/>
        <v>9870.5696057999994</v>
      </c>
      <c r="H70" s="19">
        <f t="shared" si="26"/>
        <v>10041.5411208</v>
      </c>
      <c r="I70" s="19">
        <f t="shared" si="26"/>
        <v>9855.8926937999968</v>
      </c>
      <c r="J70" s="19">
        <f t="shared" si="26"/>
        <v>10034.338312799999</v>
      </c>
      <c r="K70" s="19">
        <f t="shared" si="26"/>
        <v>10158.907231799998</v>
      </c>
      <c r="L70" s="19">
        <f t="shared" si="26"/>
        <v>10167.488920799999</v>
      </c>
      <c r="M70" s="19">
        <f t="shared" si="26"/>
        <v>10184.697118799999</v>
      </c>
      <c r="N70" s="183">
        <f t="shared" si="26"/>
        <v>10200.190384799998</v>
      </c>
      <c r="O70" s="19">
        <f t="shared" si="26"/>
        <v>10242.628759799998</v>
      </c>
      <c r="P70" s="19">
        <f t="shared" si="26"/>
        <v>10303.307542799999</v>
      </c>
      <c r="Q70" s="19">
        <f t="shared" si="26"/>
        <v>10352.656918799999</v>
      </c>
      <c r="R70" s="19">
        <f t="shared" si="26"/>
        <v>10373.6334348</v>
      </c>
      <c r="S70" s="19">
        <f t="shared" si="26"/>
        <v>10354.140973800002</v>
      </c>
      <c r="T70" s="19">
        <f t="shared" si="26"/>
        <v>10374.668389799997</v>
      </c>
      <c r="U70" s="19">
        <f t="shared" si="26"/>
        <v>10397.659726799997</v>
      </c>
      <c r="V70" s="19">
        <f t="shared" si="26"/>
        <v>10407.912850799999</v>
      </c>
      <c r="W70" s="19">
        <f t="shared" si="26"/>
        <v>10439.155720799999</v>
      </c>
      <c r="X70" s="183">
        <f t="shared" si="26"/>
        <v>10467.470935799998</v>
      </c>
      <c r="Y70" s="19">
        <f t="shared" si="26"/>
        <v>10496.127295799999</v>
      </c>
      <c r="Z70" s="19">
        <f t="shared" si="26"/>
        <v>10518.500764799999</v>
      </c>
      <c r="AA70" s="19">
        <f t="shared" si="26"/>
        <v>10546.440877799998</v>
      </c>
      <c r="AB70" s="19">
        <f t="shared" si="26"/>
        <v>10575.3394548</v>
      </c>
      <c r="AC70" s="19">
        <f t="shared" si="26"/>
        <v>10604.411668799999</v>
      </c>
      <c r="AD70" s="19">
        <f t="shared" si="26"/>
        <v>10647.3384738</v>
      </c>
      <c r="AE70" s="19">
        <f t="shared" si="26"/>
        <v>10669.253518799998</v>
      </c>
      <c r="AF70" s="19">
        <f t="shared" si="26"/>
        <v>10699.442263799998</v>
      </c>
      <c r="AG70" s="19">
        <f t="shared" si="26"/>
        <v>10731.049912799997</v>
      </c>
      <c r="AH70" s="19">
        <f t="shared" si="26"/>
        <v>10895.246344799998</v>
      </c>
    </row>
    <row r="71" spans="1:34" s="20" customFormat="1" ht="15">
      <c r="A71" s="27" t="s">
        <v>148</v>
      </c>
      <c r="B71" s="39"/>
      <c r="C71" s="338">
        <f>C53*Inputs!$H$60</f>
        <v>1263.1410000000001</v>
      </c>
      <c r="D71" s="338">
        <f>D53*Inputs!$H$60</f>
        <v>1344.7170000000001</v>
      </c>
      <c r="E71" s="338">
        <f>E53*Inputs!$H$60</f>
        <v>897.08166900000003</v>
      </c>
      <c r="F71" s="338">
        <f>F53*Inputs!$H$60</f>
        <v>419.34172500000005</v>
      </c>
      <c r="G71" s="338">
        <f>G53*Inputs!$H$60</f>
        <v>697.12691400000017</v>
      </c>
      <c r="H71" s="19">
        <f>H53*Inputs!$H$60</f>
        <v>576.14921100000004</v>
      </c>
      <c r="I71" s="19">
        <f>I53*Inputs!$H$60</f>
        <v>719.0959049999999</v>
      </c>
      <c r="J71" s="19">
        <f>J53*Inputs!$H$60</f>
        <v>675.77310899999998</v>
      </c>
      <c r="K71" s="19">
        <f>K53*Inputs!$H$60</f>
        <v>668.884095</v>
      </c>
      <c r="L71" s="19">
        <f>L53*Inputs!$H$60</f>
        <v>729.3308219999999</v>
      </c>
      <c r="M71" s="19">
        <f>M53*Inputs!$H$60</f>
        <v>783.15474600000005</v>
      </c>
      <c r="N71" s="191">
        <f>N53*Inputs!$H$60</f>
        <v>789.96069899999998</v>
      </c>
      <c r="O71" s="19">
        <f>O53*Inputs!$H$60</f>
        <v>1043.548407</v>
      </c>
      <c r="P71" s="19">
        <f>P53*Inputs!$H$60</f>
        <v>1164.773907</v>
      </c>
      <c r="Q71" s="19">
        <f>Q53*Inputs!$H$60</f>
        <v>1169.8335000000002</v>
      </c>
      <c r="R71" s="19">
        <f>R53*Inputs!$H$60</f>
        <v>1177.3566089999999</v>
      </c>
      <c r="S71" s="19">
        <f>S53*Inputs!$H$60</f>
        <v>1207.2476790000001</v>
      </c>
      <c r="T71" s="19">
        <f>T53*Inputs!$H$60</f>
        <v>1207.1780820000001</v>
      </c>
      <c r="U71" s="19">
        <f>U53*Inputs!$H$60</f>
        <v>1206.371529</v>
      </c>
      <c r="V71" s="19">
        <f>V53*Inputs!$H$60</f>
        <v>1212.5169539999999</v>
      </c>
      <c r="W71" s="19">
        <f>W53*Inputs!$H$60</f>
        <v>1220.8644360000001</v>
      </c>
      <c r="X71" s="183">
        <f>X53*Inputs!$H$60</f>
        <v>1219.3500330000002</v>
      </c>
      <c r="Y71" s="19">
        <f>Y53*Inputs!$H$60</f>
        <v>1218.0383820000002</v>
      </c>
      <c r="Z71" s="19">
        <f>Z53*Inputs!$H$60</f>
        <v>1207.4691420000001</v>
      </c>
      <c r="AA71" s="19">
        <f>AA53*Inputs!$H$60</f>
        <v>1206.1538280000002</v>
      </c>
      <c r="AB71" s="19">
        <f>AB53*Inputs!$H$60</f>
        <v>1205.0262180000002</v>
      </c>
      <c r="AC71" s="19">
        <f>AC53*Inputs!$H$60</f>
        <v>1203.926328</v>
      </c>
      <c r="AD71" s="19">
        <f>AD53*Inputs!$H$60</f>
        <v>1195.839909</v>
      </c>
      <c r="AE71" s="19">
        <f>AE53*Inputs!$H$60</f>
        <v>1201.8104010000002</v>
      </c>
      <c r="AF71" s="19">
        <f>AF53*Inputs!$H$60</f>
        <v>1200.9382110000001</v>
      </c>
      <c r="AG71" s="19">
        <f>AG53*Inputs!$H$60</f>
        <v>1204.247286</v>
      </c>
      <c r="AH71" s="19">
        <f>AH53*Inputs!$H$60</f>
        <v>1203.4080630000001</v>
      </c>
    </row>
    <row r="72" spans="1:34" s="20" customFormat="1" ht="15">
      <c r="A72" s="27" t="s">
        <v>228</v>
      </c>
      <c r="B72" s="39"/>
      <c r="C72" s="338">
        <f>C54*Inputs!$H$61</f>
        <v>4136.22</v>
      </c>
      <c r="D72" s="338">
        <f>D54*Inputs!$H$61</f>
        <v>4842.6840000000002</v>
      </c>
      <c r="E72" s="338">
        <f>E54*Inputs!$H$61</f>
        <v>5394.8555099999994</v>
      </c>
      <c r="F72" s="338">
        <f>F54*Inputs!$H$61</f>
        <v>6249.1573980000003</v>
      </c>
      <c r="G72" s="338">
        <f>G54*Inputs!$H$61</f>
        <v>5982.4116000000004</v>
      </c>
      <c r="H72" s="19">
        <f>H54*Inputs!$H$61</f>
        <v>5722.1006039999993</v>
      </c>
      <c r="I72" s="19">
        <f>I54*Inputs!$H$61</f>
        <v>5785.1638020000009</v>
      </c>
      <c r="J72" s="19">
        <f>J54*Inputs!$H$61</f>
        <v>5304.6789840000001</v>
      </c>
      <c r="K72" s="19">
        <f>K54*Inputs!$H$61</f>
        <v>5069.7385199999999</v>
      </c>
      <c r="L72" s="19">
        <f>L54*Inputs!$H$61</f>
        <v>5277.5117010000004</v>
      </c>
      <c r="M72" s="19">
        <f>M54*Inputs!$H$61</f>
        <v>5172.805539</v>
      </c>
      <c r="N72" s="191">
        <f>N54*Inputs!$H$61</f>
        <v>5099.6331539999992</v>
      </c>
      <c r="O72" s="19">
        <f>O54*Inputs!$H$61</f>
        <v>4796.9240220000002</v>
      </c>
      <c r="P72" s="19">
        <f>P54*Inputs!$H$61</f>
        <v>4564.5661709999995</v>
      </c>
      <c r="Q72" s="19">
        <f>Q54*Inputs!$H$61</f>
        <v>4572.2745089999999</v>
      </c>
      <c r="R72" s="19">
        <f>R54*Inputs!$H$61</f>
        <v>4699.6906769999996</v>
      </c>
      <c r="S72" s="19">
        <f>S54*Inputs!$H$61</f>
        <v>4706.7365070000005</v>
      </c>
      <c r="T72" s="19">
        <f>T54*Inputs!$H$61</f>
        <v>4650.8812020000005</v>
      </c>
      <c r="U72" s="19">
        <f>U54*Inputs!$H$61</f>
        <v>4416.562062</v>
      </c>
      <c r="V72" s="19">
        <f>V54*Inputs!$H$61</f>
        <v>4554.8225910000001</v>
      </c>
      <c r="W72" s="19">
        <f>W54*Inputs!$H$61</f>
        <v>4400.1547920000003</v>
      </c>
      <c r="X72" s="183">
        <f>X54*Inputs!$H$61</f>
        <v>4506.2074529999991</v>
      </c>
      <c r="Y72" s="19">
        <f>Y54*Inputs!$H$61</f>
        <v>4499.1866699999991</v>
      </c>
      <c r="Z72" s="19">
        <f>Z54*Inputs!$H$61</f>
        <v>4784.8389930000003</v>
      </c>
      <c r="AA72" s="19">
        <f>AA54*Inputs!$H$61</f>
        <v>4954.5709289999995</v>
      </c>
      <c r="AB72" s="19">
        <f>AB54*Inputs!$H$61</f>
        <v>4973.5755630000003</v>
      </c>
      <c r="AC72" s="19">
        <f>AC54*Inputs!$H$61</f>
        <v>5180.1655950000004</v>
      </c>
      <c r="AD72" s="19">
        <f>AD54*Inputs!$H$61</f>
        <v>5206.663638</v>
      </c>
      <c r="AE72" s="19">
        <f>AE54*Inputs!$H$61</f>
        <v>5300.9980649999998</v>
      </c>
      <c r="AF72" s="19">
        <f>AF54*Inputs!$H$61</f>
        <v>5286.884427</v>
      </c>
      <c r="AG72" s="19">
        <f>AG54*Inputs!$H$61</f>
        <v>5380.87374</v>
      </c>
      <c r="AH72" s="19">
        <f>AH54*Inputs!$H$61</f>
        <v>5435.0664390000002</v>
      </c>
    </row>
    <row r="73" spans="1:34" ht="15">
      <c r="A73" s="27" t="s">
        <v>60</v>
      </c>
      <c r="C73" s="335">
        <f>SUM(C70:C72)</f>
        <v>15014.6055108</v>
      </c>
      <c r="D73" s="335">
        <f t="shared" ref="D73:AH73" si="27">SUM(D70:D72)</f>
        <v>15314.422510799999</v>
      </c>
      <c r="E73" s="335">
        <f t="shared" si="27"/>
        <v>16218.800227799999</v>
      </c>
      <c r="F73" s="335">
        <f t="shared" si="27"/>
        <v>16056.246448800004</v>
      </c>
      <c r="G73" s="335">
        <f t="shared" si="27"/>
        <v>16550.108119799999</v>
      </c>
      <c r="H73" s="14">
        <f t="shared" si="27"/>
        <v>16339.7909358</v>
      </c>
      <c r="I73" s="14">
        <f t="shared" si="27"/>
        <v>16360.152400799998</v>
      </c>
      <c r="J73" s="14">
        <f t="shared" si="27"/>
        <v>16014.790405799999</v>
      </c>
      <c r="K73" s="14">
        <f t="shared" si="27"/>
        <v>15897.529846799996</v>
      </c>
      <c r="L73" s="14">
        <f t="shared" si="27"/>
        <v>16174.331443799998</v>
      </c>
      <c r="M73" s="14">
        <f t="shared" si="27"/>
        <v>16140.6574038</v>
      </c>
      <c r="N73" s="191">
        <f t="shared" si="27"/>
        <v>16089.784237799997</v>
      </c>
      <c r="O73" s="14">
        <f t="shared" si="27"/>
        <v>16083.101188799999</v>
      </c>
      <c r="P73" s="14">
        <f t="shared" si="27"/>
        <v>16032.647620799999</v>
      </c>
      <c r="Q73" s="14">
        <f t="shared" si="27"/>
        <v>16094.764927799999</v>
      </c>
      <c r="R73" s="14">
        <f t="shared" si="27"/>
        <v>16250.680720799999</v>
      </c>
      <c r="S73" s="14">
        <f t="shared" si="27"/>
        <v>16268.125159800002</v>
      </c>
      <c r="T73" s="14">
        <f t="shared" si="27"/>
        <v>16232.727673799998</v>
      </c>
      <c r="U73" s="14">
        <f t="shared" si="27"/>
        <v>16020.593317799998</v>
      </c>
      <c r="V73" s="14">
        <f t="shared" si="27"/>
        <v>16175.2523958</v>
      </c>
      <c r="W73" s="14">
        <f t="shared" si="27"/>
        <v>16060.174948799999</v>
      </c>
      <c r="X73" s="188">
        <f t="shared" si="27"/>
        <v>16193.028421799998</v>
      </c>
      <c r="Y73" s="14">
        <f t="shared" si="27"/>
        <v>16213.352347799999</v>
      </c>
      <c r="Z73" s="14">
        <f t="shared" si="27"/>
        <v>16510.808899799998</v>
      </c>
      <c r="AA73" s="14">
        <f t="shared" si="27"/>
        <v>16707.165634799996</v>
      </c>
      <c r="AB73" s="14">
        <f t="shared" si="27"/>
        <v>16753.941235800001</v>
      </c>
      <c r="AC73" s="14">
        <f t="shared" si="27"/>
        <v>16988.503591799999</v>
      </c>
      <c r="AD73" s="14">
        <f t="shared" si="27"/>
        <v>17049.842020800003</v>
      </c>
      <c r="AE73" s="14">
        <f t="shared" si="27"/>
        <v>17172.061984799999</v>
      </c>
      <c r="AF73" s="14">
        <f t="shared" si="27"/>
        <v>17187.264901799997</v>
      </c>
      <c r="AG73" s="14">
        <f t="shared" si="27"/>
        <v>17316.170938799998</v>
      </c>
      <c r="AH73" s="14">
        <f t="shared" si="27"/>
        <v>17533.720846799999</v>
      </c>
    </row>
    <row r="75" spans="1:34">
      <c r="B75" s="89"/>
      <c r="H75" s="89"/>
      <c r="I75" s="89"/>
      <c r="J75" s="89"/>
      <c r="K75" s="89"/>
      <c r="L75" s="89"/>
      <c r="M75" s="89"/>
      <c r="N75" s="191"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195</v>
      </c>
      <c r="B77" s="33"/>
    </row>
    <row r="78" spans="1:34" hidden="1">
      <c r="A78" t="s">
        <v>196</v>
      </c>
      <c r="B78" s="33"/>
      <c r="C78" s="339">
        <f>'backup - EIA liq_fuelS_aeo2014'!E46</f>
        <v>273.77869168296451</v>
      </c>
      <c r="D78" s="339">
        <f>'backup - EIA liq_fuelS_aeo2014'!F46</f>
        <v>330.59007454663532</v>
      </c>
      <c r="E78" s="339">
        <f>'backup - EIA liq_fuelS_aeo2014'!G46</f>
        <v>346.41273999999999</v>
      </c>
      <c r="F78" s="339">
        <f>'backup - EIA liq_fuelS_aeo2014'!H46</f>
        <v>332.23648773503913</v>
      </c>
      <c r="G78" s="339">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5">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6">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4" t="e">
        <f>C78*Inputs!$C58</f>
        <v>#REF!</v>
      </c>
      <c r="D83" s="334" t="e">
        <f>D78*Inputs!$C58</f>
        <v>#REF!</v>
      </c>
      <c r="E83" s="334" t="e">
        <f>E78*Inputs!$C58</f>
        <v>#REF!</v>
      </c>
      <c r="F83" s="334" t="e">
        <f>F78*Inputs!$C58</f>
        <v>#REF!</v>
      </c>
      <c r="G83" s="334" t="e">
        <f>G78*Inputs!$C58</f>
        <v>#REF!</v>
      </c>
      <c r="H83" s="50" t="e">
        <f>H78*Inputs!$C58</f>
        <v>#REF!</v>
      </c>
      <c r="I83" s="50" t="e">
        <f>I78*Inputs!$C58</f>
        <v>#REF!</v>
      </c>
      <c r="J83" s="50" t="e">
        <f>J78*Inputs!$C58</f>
        <v>#REF!</v>
      </c>
      <c r="K83" s="50" t="e">
        <f>K78*Inputs!$C58</f>
        <v>#REF!</v>
      </c>
      <c r="L83" s="50" t="e">
        <f>L78*Inputs!$C58</f>
        <v>#REF!</v>
      </c>
      <c r="M83" s="50" t="e">
        <f>M78*Inputs!$C58</f>
        <v>#REF!</v>
      </c>
      <c r="N83" s="393"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5"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22" customWidth="1"/>
    <col min="6" max="6" width="9" style="422" customWidth="1"/>
    <col min="7" max="7" width="9.6640625" style="81" customWidth="1"/>
    <col min="8" max="8" width="10.83203125" style="422" customWidth="1"/>
    <col min="9" max="9" width="5.6640625" style="422" bestFit="1" customWidth="1"/>
    <col min="10" max="10" width="9.33203125" style="422" customWidth="1"/>
    <col min="11" max="11" width="6.5" style="422" customWidth="1"/>
    <col min="12" max="12" width="9.6640625" style="422" customWidth="1"/>
    <col min="13" max="13" width="5.6640625" style="422"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4"/>
      <c r="B1" s="534"/>
      <c r="C1" s="534"/>
      <c r="D1" s="534"/>
      <c r="E1" s="534"/>
      <c r="F1" s="534"/>
      <c r="G1" s="534"/>
      <c r="H1" s="534"/>
      <c r="I1" s="534"/>
      <c r="J1" s="534"/>
      <c r="K1" s="534"/>
      <c r="L1" s="534"/>
      <c r="M1" s="534"/>
      <c r="N1" s="534"/>
      <c r="O1" s="534"/>
      <c r="P1" s="534"/>
    </row>
    <row r="2" spans="1:16">
      <c r="A2" s="534"/>
      <c r="B2" s="534"/>
      <c r="C2" s="534"/>
      <c r="D2" s="534"/>
      <c r="E2" s="534"/>
      <c r="F2" s="534"/>
      <c r="G2" s="534"/>
      <c r="H2" s="534"/>
      <c r="I2" s="534"/>
      <c r="J2" s="534"/>
      <c r="K2" s="534"/>
      <c r="L2" s="534"/>
      <c r="M2" s="534"/>
      <c r="N2" s="534"/>
      <c r="O2" s="534"/>
      <c r="P2" s="534"/>
    </row>
    <row r="3" spans="1:16">
      <c r="A3" s="534"/>
      <c r="B3" s="534"/>
      <c r="C3" s="534"/>
      <c r="D3" s="534"/>
      <c r="E3" s="534"/>
      <c r="F3" s="534"/>
      <c r="G3" s="534"/>
      <c r="H3" s="534"/>
      <c r="I3" s="534"/>
      <c r="J3" s="534"/>
      <c r="K3" s="534"/>
      <c r="L3" s="534"/>
      <c r="M3" s="534"/>
      <c r="N3" s="534"/>
      <c r="O3" s="534"/>
      <c r="P3" s="534"/>
    </row>
    <row r="4" spans="1:16">
      <c r="A4" s="534"/>
      <c r="B4" s="534"/>
      <c r="C4" s="534"/>
      <c r="D4" s="534"/>
      <c r="E4" s="534"/>
      <c r="F4" s="534"/>
      <c r="G4" s="534"/>
      <c r="H4" s="534"/>
      <c r="I4" s="534"/>
      <c r="J4" s="534"/>
      <c r="K4" s="534"/>
      <c r="L4" s="534"/>
      <c r="M4" s="534"/>
      <c r="N4" s="534"/>
      <c r="O4" s="534"/>
      <c r="P4" s="534"/>
    </row>
    <row r="5" spans="1:16">
      <c r="A5" s="534"/>
      <c r="B5" s="534"/>
      <c r="C5" s="534"/>
      <c r="D5" s="534"/>
      <c r="E5" s="534"/>
      <c r="F5" s="534"/>
      <c r="G5" s="534"/>
      <c r="H5" s="534"/>
      <c r="I5" s="534"/>
      <c r="J5" s="534"/>
      <c r="K5" s="534"/>
      <c r="L5" s="534"/>
      <c r="M5" s="534"/>
      <c r="N5" s="534"/>
      <c r="O5" s="534"/>
      <c r="P5" s="534"/>
    </row>
    <row r="6" spans="1:16">
      <c r="A6" s="534"/>
      <c r="B6" s="534"/>
      <c r="C6" s="534"/>
      <c r="D6" s="534"/>
      <c r="E6" s="534"/>
      <c r="F6" s="534"/>
      <c r="G6" s="534"/>
      <c r="H6" s="534"/>
      <c r="I6" s="534"/>
      <c r="J6" s="534"/>
      <c r="K6" s="534"/>
      <c r="L6" s="534"/>
      <c r="M6" s="534"/>
      <c r="N6" s="534"/>
      <c r="O6" s="534"/>
      <c r="P6" s="534"/>
    </row>
    <row r="7" spans="1:16">
      <c r="A7" s="534"/>
      <c r="B7" s="534"/>
      <c r="C7" s="534"/>
      <c r="D7" s="534"/>
      <c r="E7" s="534"/>
      <c r="F7" s="534"/>
      <c r="G7" s="534"/>
      <c r="H7" s="534"/>
      <c r="I7" s="534"/>
      <c r="J7" s="534"/>
      <c r="K7" s="534"/>
      <c r="L7" s="534"/>
      <c r="M7" s="534"/>
      <c r="N7" s="534"/>
      <c r="O7" s="534"/>
      <c r="P7" s="534"/>
    </row>
    <row r="8" spans="1:16">
      <c r="A8" s="534"/>
      <c r="B8" s="534"/>
      <c r="C8" s="534"/>
      <c r="D8" s="534"/>
      <c r="E8" s="534"/>
      <c r="F8" s="534"/>
      <c r="G8" s="534"/>
      <c r="H8" s="534"/>
      <c r="I8" s="534"/>
      <c r="J8" s="534"/>
      <c r="K8" s="534"/>
      <c r="L8" s="534"/>
      <c r="M8" s="534"/>
      <c r="N8" s="534"/>
      <c r="O8" s="534"/>
      <c r="P8" s="534"/>
    </row>
    <row r="9" spans="1:16" ht="2.25" customHeight="1">
      <c r="A9" s="534"/>
      <c r="B9" s="534"/>
      <c r="C9" s="534"/>
      <c r="D9" s="534"/>
      <c r="E9" s="534"/>
      <c r="F9" s="534"/>
      <c r="G9" s="534"/>
      <c r="H9" s="534"/>
      <c r="I9" s="534"/>
      <c r="J9" s="534"/>
      <c r="K9" s="534"/>
      <c r="L9" s="534"/>
      <c r="M9" s="534"/>
      <c r="N9" s="534"/>
      <c r="O9" s="534"/>
      <c r="P9" s="534"/>
    </row>
    <row r="10" spans="1:16" hidden="1">
      <c r="A10" s="534"/>
      <c r="B10" s="534"/>
      <c r="C10" s="534"/>
      <c r="D10" s="534"/>
      <c r="E10" s="534"/>
      <c r="F10" s="534"/>
      <c r="G10" s="534"/>
      <c r="H10" s="534"/>
      <c r="I10" s="534"/>
      <c r="J10" s="534"/>
      <c r="K10" s="534"/>
      <c r="L10" s="534"/>
      <c r="M10" s="534"/>
      <c r="N10" s="534"/>
      <c r="O10" s="534"/>
      <c r="P10" s="534"/>
    </row>
    <row r="11" spans="1:16">
      <c r="A11" s="535" t="s">
        <v>218</v>
      </c>
      <c r="B11" s="537">
        <v>2000</v>
      </c>
      <c r="C11" s="539" t="s">
        <v>225</v>
      </c>
      <c r="D11" s="539" t="s">
        <v>562</v>
      </c>
      <c r="E11" s="542" t="s">
        <v>219</v>
      </c>
      <c r="F11" s="543"/>
      <c r="G11" s="537"/>
      <c r="H11" s="546" t="s">
        <v>563</v>
      </c>
      <c r="I11" s="547"/>
      <c r="J11" s="547"/>
      <c r="K11" s="547"/>
      <c r="L11" s="547"/>
      <c r="M11" s="547"/>
      <c r="N11" s="547"/>
      <c r="O11" s="548"/>
    </row>
    <row r="12" spans="1:16">
      <c r="A12" s="536"/>
      <c r="B12" s="538"/>
      <c r="C12" s="540"/>
      <c r="D12" s="540"/>
      <c r="E12" s="544"/>
      <c r="F12" s="545"/>
      <c r="G12" s="538"/>
      <c r="H12" s="545" t="s">
        <v>220</v>
      </c>
      <c r="I12" s="538"/>
      <c r="J12" s="544" t="s">
        <v>221</v>
      </c>
      <c r="K12" s="538"/>
      <c r="L12" s="544" t="s">
        <v>222</v>
      </c>
      <c r="M12" s="545"/>
      <c r="N12" s="545"/>
      <c r="O12" s="538"/>
    </row>
    <row r="13" spans="1:16" ht="67" thickBot="1">
      <c r="A13" s="212" t="s">
        <v>223</v>
      </c>
      <c r="B13" s="212" t="s">
        <v>224</v>
      </c>
      <c r="C13" s="541"/>
      <c r="D13" s="541"/>
      <c r="E13" s="416" t="s">
        <v>564</v>
      </c>
      <c r="F13" s="440" t="s">
        <v>565</v>
      </c>
      <c r="G13" s="213" t="s">
        <v>314</v>
      </c>
      <c r="H13" s="428" t="s">
        <v>366</v>
      </c>
      <c r="I13" s="440" t="s">
        <v>566</v>
      </c>
      <c r="J13" s="416" t="s">
        <v>366</v>
      </c>
      <c r="K13" s="440" t="s">
        <v>566</v>
      </c>
      <c r="L13" s="416" t="s">
        <v>366</v>
      </c>
      <c r="M13" s="440" t="s">
        <v>566</v>
      </c>
      <c r="N13" s="213" t="s">
        <v>60</v>
      </c>
      <c r="O13" s="213" t="s">
        <v>567</v>
      </c>
    </row>
    <row r="14" spans="1:16" ht="13" thickTop="1">
      <c r="A14" s="448" t="s">
        <v>568</v>
      </c>
      <c r="B14" s="448" t="s">
        <v>569</v>
      </c>
      <c r="C14" s="449">
        <v>0.85</v>
      </c>
      <c r="D14" s="450">
        <v>40</v>
      </c>
      <c r="E14" s="438">
        <v>4.29</v>
      </c>
      <c r="F14" s="451">
        <v>1.53</v>
      </c>
      <c r="G14" s="439">
        <v>0</v>
      </c>
      <c r="H14" s="452">
        <f t="shared" ref="H14:H32" si="0">E14/D14</f>
        <v>0.10725</v>
      </c>
      <c r="I14" s="439">
        <f t="shared" ref="I14:I32" si="1">F14+G14*8760/1000*C14</f>
        <v>1.53</v>
      </c>
      <c r="J14" s="453">
        <f t="shared" ref="J14:J32" si="2">H14/C14</f>
        <v>0.12617647058823531</v>
      </c>
      <c r="K14" s="439">
        <f t="shared" ref="K14:K32" si="3">I14/C14</f>
        <v>1.8</v>
      </c>
      <c r="L14" s="453">
        <f t="shared" ref="L14:M31" si="4">J14/8760*1000</f>
        <v>1.4403706688154716E-2</v>
      </c>
      <c r="M14" s="439">
        <f t="shared" si="4"/>
        <v>0.20547945205479454</v>
      </c>
      <c r="N14" s="454">
        <f t="shared" ref="N14:N32" si="5">SUM(L14:M14)</f>
        <v>0.21988315874294925</v>
      </c>
      <c r="O14" s="530">
        <f>AVERAGE(N14:N15)</f>
        <v>0.20532702121944668</v>
      </c>
    </row>
    <row r="15" spans="1:16" ht="13" thickBot="1">
      <c r="A15" s="224" t="s">
        <v>570</v>
      </c>
      <c r="B15" s="224" t="s">
        <v>571</v>
      </c>
      <c r="C15" s="225">
        <v>0.85</v>
      </c>
      <c r="D15" s="226">
        <v>40</v>
      </c>
      <c r="E15" s="227">
        <v>8.5</v>
      </c>
      <c r="F15" s="437">
        <v>0.24</v>
      </c>
      <c r="G15" s="517">
        <v>0.13</v>
      </c>
      <c r="H15" s="419">
        <f t="shared" si="0"/>
        <v>0.21249999999999999</v>
      </c>
      <c r="I15" s="517">
        <f t="shared" si="1"/>
        <v>1.2079800000000001</v>
      </c>
      <c r="J15" s="432">
        <f t="shared" si="2"/>
        <v>0.25</v>
      </c>
      <c r="K15" s="517">
        <f t="shared" si="3"/>
        <v>1.4211529411764707</v>
      </c>
      <c r="L15" s="432">
        <f t="shared" si="4"/>
        <v>2.8538812785388126E-2</v>
      </c>
      <c r="M15" s="517">
        <f t="shared" si="4"/>
        <v>0.16223207091055603</v>
      </c>
      <c r="N15" s="424">
        <f t="shared" si="5"/>
        <v>0.19077088369594414</v>
      </c>
      <c r="O15" s="531"/>
    </row>
    <row r="16" spans="1:16">
      <c r="A16" s="228" t="s">
        <v>572</v>
      </c>
      <c r="B16" s="228" t="s">
        <v>573</v>
      </c>
      <c r="C16" s="229">
        <v>0.9</v>
      </c>
      <c r="D16" s="230">
        <v>40</v>
      </c>
      <c r="E16" s="231">
        <f>36000/5600</f>
        <v>6.4285714285714288</v>
      </c>
      <c r="F16" s="469">
        <f>10000/5600</f>
        <v>1.7857142857142858</v>
      </c>
      <c r="G16" s="231">
        <v>0</v>
      </c>
      <c r="H16" s="417">
        <f t="shared" si="0"/>
        <v>0.16071428571428573</v>
      </c>
      <c r="I16" s="518">
        <f t="shared" si="1"/>
        <v>1.7857142857142858</v>
      </c>
      <c r="J16" s="433">
        <f t="shared" si="2"/>
        <v>0.17857142857142858</v>
      </c>
      <c r="K16" s="518">
        <f t="shared" si="3"/>
        <v>1.9841269841269842</v>
      </c>
      <c r="L16" s="433">
        <f t="shared" si="4"/>
        <v>2.0384866275277233E-2</v>
      </c>
      <c r="M16" s="518">
        <f t="shared" si="4"/>
        <v>0.22649851416974706</v>
      </c>
      <c r="N16" s="426">
        <f t="shared" si="5"/>
        <v>0.24688338044502428</v>
      </c>
      <c r="O16" s="532">
        <f>AVERAGE(N16:N18)</f>
        <v>0.24750247638375492</v>
      </c>
    </row>
    <row r="17" spans="1:15">
      <c r="A17" s="218" t="s">
        <v>574</v>
      </c>
      <c r="B17" s="218" t="s">
        <v>318</v>
      </c>
      <c r="C17" s="219">
        <v>0.9</v>
      </c>
      <c r="D17" s="220">
        <v>40</v>
      </c>
      <c r="E17" s="217">
        <v>17.5</v>
      </c>
      <c r="F17" s="516">
        <v>1.7</v>
      </c>
      <c r="G17" s="217">
        <v>0</v>
      </c>
      <c r="H17" s="515">
        <f>E17/D17</f>
        <v>0.4375</v>
      </c>
      <c r="I17" s="519">
        <f>F17+G17*8760/1000*C17</f>
        <v>1.7</v>
      </c>
      <c r="J17" s="434">
        <f>H17/C17</f>
        <v>0.4861111111111111</v>
      </c>
      <c r="K17" s="519">
        <f>I17/C17</f>
        <v>1.8888888888888888</v>
      </c>
      <c r="L17" s="434">
        <f t="shared" si="4"/>
        <v>5.5492135971588023E-2</v>
      </c>
      <c r="M17" s="519">
        <f t="shared" si="4"/>
        <v>0.21562658548959918</v>
      </c>
      <c r="N17" s="425">
        <f>SUM(L17:M17)</f>
        <v>0.27111872146118721</v>
      </c>
      <c r="O17" s="533"/>
    </row>
    <row r="18" spans="1:15" ht="13" thickBot="1">
      <c r="A18" s="456" t="s">
        <v>575</v>
      </c>
      <c r="B18" s="456" t="s">
        <v>569</v>
      </c>
      <c r="C18" s="457">
        <v>0.9</v>
      </c>
      <c r="D18" s="458">
        <v>40</v>
      </c>
      <c r="E18" s="443">
        <v>4</v>
      </c>
      <c r="F18" s="455">
        <v>1.67</v>
      </c>
      <c r="G18" s="443">
        <v>0</v>
      </c>
      <c r="H18" s="459">
        <f>E18/D18</f>
        <v>0.1</v>
      </c>
      <c r="I18" s="444">
        <f>F18+G18*8760/1000*C18</f>
        <v>1.67</v>
      </c>
      <c r="J18" s="446">
        <f>H18/C18</f>
        <v>0.11111111111111112</v>
      </c>
      <c r="K18" s="444">
        <f>I18/C18</f>
        <v>1.8555555555555554</v>
      </c>
      <c r="L18" s="446">
        <f t="shared" si="4"/>
        <v>1.2683916793505836E-2</v>
      </c>
      <c r="M18" s="444">
        <f t="shared" si="4"/>
        <v>0.21182141045154743</v>
      </c>
      <c r="N18" s="447">
        <f>SUM(L18:M18)</f>
        <v>0.22450532724505326</v>
      </c>
      <c r="O18" s="531"/>
    </row>
    <row r="19" spans="1:15">
      <c r="A19" s="228" t="s">
        <v>576</v>
      </c>
      <c r="B19" s="228" t="s">
        <v>318</v>
      </c>
      <c r="C19" s="229">
        <v>0.85</v>
      </c>
      <c r="D19" s="230">
        <v>40</v>
      </c>
      <c r="E19" s="231">
        <v>21.3</v>
      </c>
      <c r="F19" s="469">
        <v>7.8</v>
      </c>
      <c r="G19" s="231">
        <v>0</v>
      </c>
      <c r="H19" s="417">
        <f>E19/D19</f>
        <v>0.53249999999999997</v>
      </c>
      <c r="I19" s="518">
        <f>F19+G19*8760/1000*C19</f>
        <v>7.8</v>
      </c>
      <c r="J19" s="433">
        <f>H19/C19</f>
        <v>0.62647058823529411</v>
      </c>
      <c r="K19" s="518">
        <f>I19/C19</f>
        <v>9.1764705882352935</v>
      </c>
      <c r="L19" s="433">
        <f t="shared" si="4"/>
        <v>7.1514907332796127E-2</v>
      </c>
      <c r="M19" s="518">
        <f t="shared" si="4"/>
        <v>1.0475423045930701</v>
      </c>
      <c r="N19" s="426">
        <f>SUM(L19:M19)</f>
        <v>1.1190572119258662</v>
      </c>
      <c r="O19" s="532">
        <f>AVERAGE(N19:N20)</f>
        <v>0.71885911899006172</v>
      </c>
    </row>
    <row r="20" spans="1:15" ht="13" thickBot="1">
      <c r="A20" s="456" t="s">
        <v>577</v>
      </c>
      <c r="B20" s="456" t="s">
        <v>569</v>
      </c>
      <c r="C20" s="457">
        <v>0.85</v>
      </c>
      <c r="D20" s="458">
        <v>40</v>
      </c>
      <c r="E20" s="443">
        <v>3.71</v>
      </c>
      <c r="F20" s="455">
        <v>2.2799999999999998</v>
      </c>
      <c r="G20" s="443">
        <v>0</v>
      </c>
      <c r="H20" s="459">
        <f t="shared" si="0"/>
        <v>9.2749999999999999E-2</v>
      </c>
      <c r="I20" s="444">
        <f t="shared" si="1"/>
        <v>2.2799999999999998</v>
      </c>
      <c r="J20" s="446">
        <f t="shared" si="2"/>
        <v>0.10911764705882353</v>
      </c>
      <c r="K20" s="444">
        <f t="shared" si="3"/>
        <v>2.6823529411764704</v>
      </c>
      <c r="L20" s="446">
        <f t="shared" si="4"/>
        <v>1.2456352403975288E-2</v>
      </c>
      <c r="M20" s="444">
        <f t="shared" si="4"/>
        <v>0.30620467365028203</v>
      </c>
      <c r="N20" s="447">
        <f t="shared" si="5"/>
        <v>0.31866102605425733</v>
      </c>
      <c r="O20" s="531"/>
    </row>
    <row r="21" spans="1:15" ht="13" thickBot="1">
      <c r="A21" s="232" t="s">
        <v>578</v>
      </c>
      <c r="B21" s="232" t="s">
        <v>569</v>
      </c>
      <c r="C21" s="233">
        <v>0.55000000000000004</v>
      </c>
      <c r="D21" s="234">
        <v>40</v>
      </c>
      <c r="E21" s="235">
        <v>5.71</v>
      </c>
      <c r="F21" s="467">
        <v>1.1399999999999999</v>
      </c>
      <c r="G21" s="235">
        <v>0</v>
      </c>
      <c r="H21" s="418">
        <f t="shared" si="0"/>
        <v>0.14274999999999999</v>
      </c>
      <c r="I21" s="236">
        <f t="shared" si="1"/>
        <v>1.1399999999999999</v>
      </c>
      <c r="J21" s="435">
        <f t="shared" si="2"/>
        <v>0.25954545454545452</v>
      </c>
      <c r="K21" s="236">
        <f t="shared" si="3"/>
        <v>2.0727272727272723</v>
      </c>
      <c r="L21" s="435">
        <f t="shared" si="4"/>
        <v>2.9628476546284761E-2</v>
      </c>
      <c r="M21" s="236">
        <f t="shared" si="4"/>
        <v>0.236612702366127</v>
      </c>
      <c r="N21" s="427">
        <f t="shared" si="5"/>
        <v>0.26624117891241178</v>
      </c>
      <c r="O21" s="236">
        <f>N21</f>
        <v>0.26624117891241178</v>
      </c>
    </row>
    <row r="22" spans="1:15">
      <c r="A22" s="237" t="s">
        <v>315</v>
      </c>
      <c r="B22" s="237" t="s">
        <v>579</v>
      </c>
      <c r="C22" s="238">
        <v>0.2</v>
      </c>
      <c r="D22" s="239">
        <v>25</v>
      </c>
      <c r="E22" s="240">
        <v>37</v>
      </c>
      <c r="F22" s="473">
        <v>1</v>
      </c>
      <c r="G22" s="240">
        <v>0</v>
      </c>
      <c r="H22" s="429">
        <f>E22/D22</f>
        <v>1.48</v>
      </c>
      <c r="I22" s="520">
        <f>F22+G22*8760/1000*C22</f>
        <v>1</v>
      </c>
      <c r="J22" s="436">
        <f>H22/C22</f>
        <v>7.3999999999999995</v>
      </c>
      <c r="K22" s="520">
        <f>I22/C22</f>
        <v>5</v>
      </c>
      <c r="L22" s="436">
        <f>J22/8760*1000</f>
        <v>0.84474885844748848</v>
      </c>
      <c r="M22" s="520">
        <f>K22/8760*1000</f>
        <v>0.57077625570776247</v>
      </c>
      <c r="N22" s="431">
        <f>SUM(L22:M22)</f>
        <v>1.415525114155251</v>
      </c>
      <c r="O22" s="552">
        <f>N39</f>
        <v>0.79313246811604099</v>
      </c>
    </row>
    <row r="23" spans="1:15">
      <c r="A23" s="460" t="s">
        <v>316</v>
      </c>
      <c r="B23" s="460" t="s">
        <v>227</v>
      </c>
      <c r="C23" s="461">
        <v>0.2</v>
      </c>
      <c r="D23" s="462">
        <v>25</v>
      </c>
      <c r="E23" s="463">
        <v>32.340000000000003</v>
      </c>
      <c r="F23" s="472">
        <v>0.37</v>
      </c>
      <c r="G23" s="463">
        <v>0</v>
      </c>
      <c r="H23" s="464">
        <f t="shared" si="0"/>
        <v>1.2936000000000001</v>
      </c>
      <c r="I23" s="514">
        <f t="shared" si="1"/>
        <v>0.37</v>
      </c>
      <c r="J23" s="465">
        <f t="shared" si="2"/>
        <v>6.468</v>
      </c>
      <c r="K23" s="514">
        <f t="shared" si="3"/>
        <v>1.8499999999999999</v>
      </c>
      <c r="L23" s="465">
        <f t="shared" si="4"/>
        <v>0.73835616438356166</v>
      </c>
      <c r="M23" s="514">
        <f t="shared" si="4"/>
        <v>0.21118721461187212</v>
      </c>
      <c r="N23" s="466">
        <f t="shared" si="5"/>
        <v>0.94954337899543373</v>
      </c>
      <c r="O23" s="553"/>
    </row>
    <row r="24" spans="1:15" ht="13" thickBot="1">
      <c r="A24" s="456" t="s">
        <v>317</v>
      </c>
      <c r="B24" s="456" t="s">
        <v>569</v>
      </c>
      <c r="C24" s="457">
        <v>0.2</v>
      </c>
      <c r="D24" s="456">
        <v>25</v>
      </c>
      <c r="E24" s="443">
        <v>7.14</v>
      </c>
      <c r="F24" s="455">
        <v>0.12</v>
      </c>
      <c r="G24" s="470">
        <v>0</v>
      </c>
      <c r="H24" s="459">
        <f t="shared" si="0"/>
        <v>0.28559999999999997</v>
      </c>
      <c r="I24" s="443">
        <f t="shared" si="1"/>
        <v>0.12</v>
      </c>
      <c r="J24" s="455">
        <f t="shared" si="2"/>
        <v>1.4279999999999997</v>
      </c>
      <c r="K24" s="443">
        <f t="shared" si="3"/>
        <v>0.6</v>
      </c>
      <c r="L24" s="455">
        <f t="shared" si="4"/>
        <v>0.16301369863013696</v>
      </c>
      <c r="M24" s="443">
        <f t="shared" si="4"/>
        <v>6.8493150684931503E-2</v>
      </c>
      <c r="N24" s="471">
        <f t="shared" si="5"/>
        <v>0.23150684931506846</v>
      </c>
      <c r="O24" s="554"/>
    </row>
    <row r="25" spans="1:15">
      <c r="A25" s="228" t="s">
        <v>440</v>
      </c>
      <c r="B25" s="228" t="s">
        <v>444</v>
      </c>
      <c r="C25" s="241">
        <v>0.4</v>
      </c>
      <c r="D25" s="230">
        <v>25</v>
      </c>
      <c r="E25" s="231">
        <f>10310/1000</f>
        <v>10.31</v>
      </c>
      <c r="F25" s="469">
        <v>1</v>
      </c>
      <c r="G25" s="231">
        <v>0</v>
      </c>
      <c r="H25" s="429">
        <f t="shared" si="0"/>
        <v>0.41240000000000004</v>
      </c>
      <c r="I25" s="520">
        <f t="shared" si="1"/>
        <v>1</v>
      </c>
      <c r="J25" s="436">
        <f t="shared" si="2"/>
        <v>1.0310000000000001</v>
      </c>
      <c r="K25" s="520">
        <f t="shared" si="3"/>
        <v>2.5</v>
      </c>
      <c r="L25" s="436">
        <f t="shared" si="4"/>
        <v>0.11769406392694066</v>
      </c>
      <c r="M25" s="520">
        <f t="shared" si="4"/>
        <v>0.28538812785388123</v>
      </c>
      <c r="N25" s="431">
        <f t="shared" si="5"/>
        <v>0.40308219178082189</v>
      </c>
      <c r="O25" s="532">
        <f>AVERAGE(N25:N26,N27)</f>
        <v>0.23028919330289191</v>
      </c>
    </row>
    <row r="26" spans="1:15">
      <c r="A26" s="215" t="s">
        <v>441</v>
      </c>
      <c r="B26" s="215" t="s">
        <v>443</v>
      </c>
      <c r="C26" s="221">
        <v>0.4</v>
      </c>
      <c r="D26" s="216">
        <v>25</v>
      </c>
      <c r="E26" s="217">
        <v>4.5</v>
      </c>
      <c r="F26" s="516">
        <v>0.38</v>
      </c>
      <c r="G26" s="519">
        <v>0</v>
      </c>
      <c r="H26" s="420">
        <f t="shared" si="0"/>
        <v>0.18</v>
      </c>
      <c r="I26" s="519">
        <f t="shared" si="1"/>
        <v>0.38</v>
      </c>
      <c r="J26" s="434">
        <f t="shared" si="2"/>
        <v>0.44999999999999996</v>
      </c>
      <c r="K26" s="519">
        <f t="shared" si="3"/>
        <v>0.95</v>
      </c>
      <c r="L26" s="434">
        <f t="shared" si="4"/>
        <v>5.1369863013698627E-2</v>
      </c>
      <c r="M26" s="519">
        <f t="shared" si="4"/>
        <v>0.10844748858447488</v>
      </c>
      <c r="N26" s="425">
        <f t="shared" si="5"/>
        <v>0.15981735159817351</v>
      </c>
      <c r="O26" s="533"/>
    </row>
    <row r="27" spans="1:15" ht="13" thickBot="1">
      <c r="A27" s="441" t="s">
        <v>442</v>
      </c>
      <c r="B27" s="441" t="s">
        <v>569</v>
      </c>
      <c r="C27" s="468">
        <v>0.4</v>
      </c>
      <c r="D27" s="441">
        <v>25</v>
      </c>
      <c r="E27" s="444">
        <v>5.71</v>
      </c>
      <c r="F27" s="446">
        <v>0.22</v>
      </c>
      <c r="G27" s="470">
        <v>0</v>
      </c>
      <c r="H27" s="445">
        <f t="shared" si="0"/>
        <v>0.22839999999999999</v>
      </c>
      <c r="I27" s="444">
        <f t="shared" si="1"/>
        <v>0.22</v>
      </c>
      <c r="J27" s="446">
        <f t="shared" si="2"/>
        <v>0.57099999999999995</v>
      </c>
      <c r="K27" s="444">
        <f t="shared" si="3"/>
        <v>0.54999999999999993</v>
      </c>
      <c r="L27" s="446">
        <f t="shared" si="4"/>
        <v>6.5182648401826485E-2</v>
      </c>
      <c r="M27" s="444">
        <f t="shared" si="4"/>
        <v>6.2785388127853878E-2</v>
      </c>
      <c r="N27" s="447">
        <f t="shared" si="5"/>
        <v>0.12796803652968036</v>
      </c>
      <c r="O27" s="531"/>
    </row>
    <row r="28" spans="1:15">
      <c r="A28" s="242" t="s">
        <v>580</v>
      </c>
      <c r="B28" s="242" t="s">
        <v>368</v>
      </c>
      <c r="C28" s="241">
        <v>0.35</v>
      </c>
      <c r="D28" s="230">
        <v>25</v>
      </c>
      <c r="E28" s="231">
        <v>10.1</v>
      </c>
      <c r="F28" s="469">
        <v>0.4</v>
      </c>
      <c r="G28" s="518">
        <v>0</v>
      </c>
      <c r="H28" s="430">
        <f t="shared" si="0"/>
        <v>0.40399999999999997</v>
      </c>
      <c r="I28" s="518">
        <f t="shared" si="1"/>
        <v>0.4</v>
      </c>
      <c r="J28" s="433">
        <f t="shared" si="2"/>
        <v>1.1542857142857144</v>
      </c>
      <c r="K28" s="518">
        <f t="shared" si="3"/>
        <v>1.142857142857143</v>
      </c>
      <c r="L28" s="433">
        <f t="shared" si="4"/>
        <v>0.13176777560339206</v>
      </c>
      <c r="M28" s="518">
        <f t="shared" si="4"/>
        <v>0.13046314416177432</v>
      </c>
      <c r="N28" s="426">
        <f t="shared" si="5"/>
        <v>0.26223091976516638</v>
      </c>
      <c r="O28" s="532">
        <f>AVERAGE(N28,N29,N30:N32)</f>
        <v>0.16974559686888452</v>
      </c>
    </row>
    <row r="29" spans="1:15">
      <c r="A29" s="215" t="s">
        <v>226</v>
      </c>
      <c r="B29" s="215" t="s">
        <v>227</v>
      </c>
      <c r="C29" s="221">
        <v>0.35</v>
      </c>
      <c r="D29" s="220">
        <v>25</v>
      </c>
      <c r="E29" s="217">
        <v>3.8</v>
      </c>
      <c r="F29" s="516">
        <v>0.14399999999999999</v>
      </c>
      <c r="G29" s="519">
        <v>0</v>
      </c>
      <c r="H29" s="420">
        <f t="shared" si="0"/>
        <v>0.152</v>
      </c>
      <c r="I29" s="519">
        <f t="shared" si="1"/>
        <v>0.14399999999999999</v>
      </c>
      <c r="J29" s="434">
        <f t="shared" si="2"/>
        <v>0.43428571428571427</v>
      </c>
      <c r="K29" s="519">
        <f t="shared" si="3"/>
        <v>0.41142857142857142</v>
      </c>
      <c r="L29" s="434">
        <f t="shared" si="4"/>
        <v>4.9575994781474238E-2</v>
      </c>
      <c r="M29" s="519">
        <f t="shared" si="4"/>
        <v>4.6966731898238752E-2</v>
      </c>
      <c r="N29" s="425">
        <f t="shared" si="5"/>
        <v>9.654272667971299E-2</v>
      </c>
      <c r="O29" s="533"/>
    </row>
    <row r="30" spans="1:15">
      <c r="A30" s="215" t="s">
        <v>367</v>
      </c>
      <c r="B30" s="215" t="s">
        <v>581</v>
      </c>
      <c r="C30" s="221">
        <v>0.35</v>
      </c>
      <c r="D30" s="216">
        <v>25</v>
      </c>
      <c r="E30" s="519">
        <v>10.96</v>
      </c>
      <c r="F30" s="434">
        <v>0.17499999999999999</v>
      </c>
      <c r="G30" s="519">
        <v>0</v>
      </c>
      <c r="H30" s="420">
        <f t="shared" si="0"/>
        <v>0.43840000000000001</v>
      </c>
      <c r="I30" s="519">
        <f t="shared" si="1"/>
        <v>0.17499999999999999</v>
      </c>
      <c r="J30" s="434">
        <f t="shared" si="2"/>
        <v>1.2525714285714287</v>
      </c>
      <c r="K30" s="519">
        <f t="shared" si="3"/>
        <v>0.5</v>
      </c>
      <c r="L30" s="434">
        <f t="shared" si="4"/>
        <v>0.14298760600130464</v>
      </c>
      <c r="M30" s="519">
        <f t="shared" si="4"/>
        <v>5.7077625570776253E-2</v>
      </c>
      <c r="N30" s="425">
        <f t="shared" si="5"/>
        <v>0.20006523157208089</v>
      </c>
      <c r="O30" s="533"/>
    </row>
    <row r="31" spans="1:15">
      <c r="A31" s="215" t="s">
        <v>582</v>
      </c>
      <c r="B31" s="215" t="s">
        <v>318</v>
      </c>
      <c r="C31" s="221">
        <v>0.35</v>
      </c>
      <c r="D31" s="216">
        <v>25</v>
      </c>
      <c r="E31" s="519">
        <v>7.4</v>
      </c>
      <c r="F31" s="434">
        <v>0.2</v>
      </c>
      <c r="G31" s="519">
        <v>0</v>
      </c>
      <c r="H31" s="420">
        <f t="shared" si="0"/>
        <v>0.29600000000000004</v>
      </c>
      <c r="I31" s="519">
        <f t="shared" si="1"/>
        <v>0.2</v>
      </c>
      <c r="J31" s="434">
        <f t="shared" si="2"/>
        <v>0.84571428571428586</v>
      </c>
      <c r="K31" s="519">
        <f t="shared" si="3"/>
        <v>0.57142857142857151</v>
      </c>
      <c r="L31" s="434">
        <f t="shared" si="4"/>
        <v>9.6542726679713003E-2</v>
      </c>
      <c r="M31" s="519">
        <f t="shared" si="4"/>
        <v>6.523157208088716E-2</v>
      </c>
      <c r="N31" s="425">
        <f t="shared" si="5"/>
        <v>0.16177429876060018</v>
      </c>
      <c r="O31" s="533"/>
    </row>
    <row r="32" spans="1:15" ht="13" thickBot="1">
      <c r="A32" s="441" t="s">
        <v>583</v>
      </c>
      <c r="B32" s="441" t="s">
        <v>569</v>
      </c>
      <c r="C32" s="468">
        <v>0.35</v>
      </c>
      <c r="D32" s="442">
        <v>25</v>
      </c>
      <c r="E32" s="444">
        <v>2.57</v>
      </c>
      <c r="F32" s="446">
        <v>0.28999999999999998</v>
      </c>
      <c r="G32" s="444">
        <v>0</v>
      </c>
      <c r="H32" s="445">
        <f t="shared" si="0"/>
        <v>0.10279999999999999</v>
      </c>
      <c r="I32" s="444">
        <f t="shared" si="1"/>
        <v>0.28999999999999998</v>
      </c>
      <c r="J32" s="446">
        <f t="shared" si="2"/>
        <v>0.29371428571428571</v>
      </c>
      <c r="K32" s="444">
        <f t="shared" si="3"/>
        <v>0.82857142857142851</v>
      </c>
      <c r="L32" s="446">
        <f>J32/8760*1000</f>
        <v>3.3529028049575992E-2</v>
      </c>
      <c r="M32" s="444">
        <f>K32/8760*1000</f>
        <v>9.4585779517286361E-2</v>
      </c>
      <c r="N32" s="447">
        <f t="shared" si="5"/>
        <v>0.12811480756686236</v>
      </c>
      <c r="O32" s="531"/>
    </row>
    <row r="33" spans="1:15" ht="23" thickBot="1">
      <c r="A33" s="232" t="s">
        <v>437</v>
      </c>
      <c r="B33" s="232" t="s">
        <v>438</v>
      </c>
      <c r="C33" s="233">
        <v>0.8</v>
      </c>
      <c r="D33" s="234">
        <v>40</v>
      </c>
      <c r="E33" s="235">
        <v>20.48</v>
      </c>
      <c r="F33" s="467">
        <v>0.31</v>
      </c>
      <c r="G33" s="235">
        <v>0.06</v>
      </c>
      <c r="H33" s="418">
        <v>0.51200000000000001</v>
      </c>
      <c r="I33" s="236">
        <v>0.73048000000000002</v>
      </c>
      <c r="J33" s="435">
        <v>0.64</v>
      </c>
      <c r="K33" s="236">
        <v>0.91310000000000002</v>
      </c>
      <c r="L33" s="435">
        <v>7.3059360730593603E-2</v>
      </c>
      <c r="M33" s="236">
        <v>0.10423515981735161</v>
      </c>
      <c r="N33" s="427">
        <v>0.1772945205479452</v>
      </c>
      <c r="O33" s="236">
        <f>N33</f>
        <v>0.1772945205479452</v>
      </c>
    </row>
    <row r="34" spans="1:15" ht="13" thickBot="1">
      <c r="A34" s="232" t="s">
        <v>231</v>
      </c>
      <c r="B34" s="232" t="s">
        <v>439</v>
      </c>
      <c r="C34" s="233">
        <v>0.9</v>
      </c>
      <c r="D34" s="234">
        <v>40</v>
      </c>
      <c r="E34" s="235">
        <v>15.2</v>
      </c>
      <c r="F34" s="467">
        <v>0.7</v>
      </c>
      <c r="G34" s="235">
        <v>0</v>
      </c>
      <c r="H34" s="421">
        <f>E34/D34</f>
        <v>0.38</v>
      </c>
      <c r="I34" s="236">
        <f>F34+G34*8760/1000*C34</f>
        <v>0.7</v>
      </c>
      <c r="J34" s="435">
        <f>H34/C34</f>
        <v>0.42222222222222222</v>
      </c>
      <c r="K34" s="236">
        <f>I34/C34</f>
        <v>0.77777777777777768</v>
      </c>
      <c r="L34" s="435">
        <f t="shared" ref="L34:M36" si="6">J34/8760*1000</f>
        <v>4.8198883815322169E-2</v>
      </c>
      <c r="M34" s="236">
        <f t="shared" si="6"/>
        <v>8.8787417554540837E-2</v>
      </c>
      <c r="N34" s="427">
        <f>SUM(L34:M34)</f>
        <v>0.13698630136986301</v>
      </c>
      <c r="O34" s="236">
        <f>N34</f>
        <v>0.13698630136986301</v>
      </c>
    </row>
    <row r="35" spans="1:15" ht="13" thickBot="1">
      <c r="A35" s="243" t="s">
        <v>148</v>
      </c>
      <c r="B35" s="243" t="s">
        <v>229</v>
      </c>
      <c r="C35" s="244">
        <v>0.8</v>
      </c>
      <c r="D35" s="245">
        <v>40</v>
      </c>
      <c r="E35" s="236">
        <v>8.5</v>
      </c>
      <c r="F35" s="435">
        <v>0.18</v>
      </c>
      <c r="G35" s="236">
        <v>5.8999999999999997E-2</v>
      </c>
      <c r="H35" s="421">
        <f>E35/D35</f>
        <v>0.21249999999999999</v>
      </c>
      <c r="I35" s="236">
        <v>0.59</v>
      </c>
      <c r="J35" s="435">
        <f>H35/C35</f>
        <v>0.265625</v>
      </c>
      <c r="K35" s="236">
        <f>I35/C35</f>
        <v>0.73749999999999993</v>
      </c>
      <c r="L35" s="435">
        <f t="shared" si="6"/>
        <v>3.0322488584474887E-2</v>
      </c>
      <c r="M35" s="236">
        <f t="shared" si="6"/>
        <v>8.4189497716894962E-2</v>
      </c>
      <c r="N35" s="427">
        <f>SUM(L35:M35)</f>
        <v>0.11451198630136986</v>
      </c>
      <c r="O35" s="236">
        <f>N35</f>
        <v>0.11451198630136986</v>
      </c>
    </row>
    <row r="36" spans="1:15" ht="13" thickBot="1">
      <c r="A36" s="243" t="s">
        <v>228</v>
      </c>
      <c r="B36" s="243" t="s">
        <v>318</v>
      </c>
      <c r="C36" s="244">
        <v>0.85</v>
      </c>
      <c r="D36" s="245">
        <v>40</v>
      </c>
      <c r="E36" s="236">
        <v>1.02</v>
      </c>
      <c r="F36" s="435">
        <v>0.1</v>
      </c>
      <c r="G36" s="236">
        <v>0.09</v>
      </c>
      <c r="H36" s="421">
        <f>E36/D36</f>
        <v>2.5500000000000002E-2</v>
      </c>
      <c r="I36" s="236">
        <f>F36+G36*8760/1000*C36</f>
        <v>0.77013999999999994</v>
      </c>
      <c r="J36" s="435">
        <f>H36/C36</f>
        <v>3.0000000000000002E-2</v>
      </c>
      <c r="K36" s="236">
        <f>I36/C36</f>
        <v>0.90604705882352932</v>
      </c>
      <c r="L36" s="435">
        <f t="shared" si="6"/>
        <v>3.4246575342465756E-3</v>
      </c>
      <c r="M36" s="236">
        <f t="shared" si="6"/>
        <v>0.10343002954606499</v>
      </c>
      <c r="N36" s="427">
        <f>SUM(L36:M36)</f>
        <v>0.10685468708031157</v>
      </c>
      <c r="O36" s="236">
        <f>N36</f>
        <v>0.10685468708031157</v>
      </c>
    </row>
    <row r="37" spans="1:15">
      <c r="A37" s="214" t="s">
        <v>433</v>
      </c>
      <c r="B37" s="214" t="s">
        <v>435</v>
      </c>
      <c r="C37" s="246">
        <v>1</v>
      </c>
      <c r="D37" s="223">
        <v>20</v>
      </c>
      <c r="E37" s="522" t="s">
        <v>0</v>
      </c>
      <c r="F37" s="523"/>
      <c r="G37" s="523"/>
      <c r="H37" s="523"/>
      <c r="I37" s="523"/>
      <c r="J37" s="523"/>
      <c r="K37" s="523"/>
      <c r="L37" s="523"/>
      <c r="M37" s="524"/>
      <c r="N37" s="423">
        <v>0.17</v>
      </c>
      <c r="O37" s="525">
        <f>AVERAGE(N37,N38)</f>
        <v>0.38</v>
      </c>
    </row>
    <row r="38" spans="1:15">
      <c r="A38" s="215" t="s">
        <v>434</v>
      </c>
      <c r="B38" s="215" t="s">
        <v>436</v>
      </c>
      <c r="C38" s="222">
        <v>1</v>
      </c>
      <c r="D38" s="216">
        <v>20</v>
      </c>
      <c r="E38" s="527" t="s">
        <v>0</v>
      </c>
      <c r="F38" s="528"/>
      <c r="G38" s="528"/>
      <c r="H38" s="528"/>
      <c r="I38" s="528"/>
      <c r="J38" s="528"/>
      <c r="K38" s="528"/>
      <c r="L38" s="528"/>
      <c r="M38" s="529"/>
      <c r="N38" s="425">
        <v>0.59</v>
      </c>
      <c r="O38" s="526"/>
    </row>
    <row r="39" spans="1:15">
      <c r="A39" s="81" t="s">
        <v>734</v>
      </c>
      <c r="B39" s="81" t="s">
        <v>735</v>
      </c>
      <c r="C39" s="555">
        <v>0.2</v>
      </c>
      <c r="D39" s="81">
        <v>25</v>
      </c>
      <c r="E39" s="422">
        <f>(97031+32490+15112+20185)/B40</f>
        <v>14.698366579021558</v>
      </c>
      <c r="F39" s="422">
        <f>(8989)/B40</f>
        <v>0.80163342097844159</v>
      </c>
      <c r="G39" s="81">
        <v>0</v>
      </c>
      <c r="H39" s="422">
        <f>E39/D39</f>
        <v>0.58793466316086229</v>
      </c>
      <c r="I39" s="422">
        <f>F39</f>
        <v>0.80163342097844159</v>
      </c>
      <c r="J39" s="422">
        <f>H39/C39</f>
        <v>2.9396733158043111</v>
      </c>
      <c r="K39" s="422">
        <f>I39/C39</f>
        <v>4.0081671048922081</v>
      </c>
      <c r="L39" s="422">
        <f>J39/8760*1000</f>
        <v>0.33557914563976154</v>
      </c>
      <c r="M39" s="422">
        <f>K39/8760*1000</f>
        <v>0.4575533224762795</v>
      </c>
      <c r="N39" s="81">
        <f>L39+M39</f>
        <v>0.79313246811604099</v>
      </c>
    </row>
    <row r="40" spans="1:15">
      <c r="B40" s="81">
        <f>173807/15.5</f>
        <v>11213.354838709678</v>
      </c>
    </row>
    <row r="41" spans="1:15">
      <c r="N41" s="556"/>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6" activePane="bottomRight" state="frozen"/>
      <selection activeCell="B1" sqref="B1"/>
      <selection pane="topRight" activeCell="H1" sqref="H1"/>
      <selection pane="bottomLeft" activeCell="B11" sqref="B11"/>
      <selection pane="bottomRight" activeCell="J28" sqref="J28"/>
    </sheetView>
  </sheetViews>
  <sheetFormatPr baseColWidth="10" defaultColWidth="8.83203125" defaultRowHeight="14" x14ac:dyDescent="0"/>
  <cols>
    <col min="1" max="1" width="10.5" style="157" hidden="1" customWidth="1"/>
    <col min="2" max="2" width="6.83203125" style="158" customWidth="1"/>
    <col min="3" max="3" width="5.1640625" style="155" bestFit="1" customWidth="1"/>
    <col min="4" max="5" width="21.5" style="155" hidden="1" customWidth="1"/>
    <col min="6" max="6" width="28.83203125" style="155" customWidth="1"/>
    <col min="7" max="7" width="31.6640625" style="155" customWidth="1"/>
    <col min="8" max="8" width="40.83203125" style="157" customWidth="1"/>
    <col min="9" max="9" width="60.83203125" style="155" customWidth="1"/>
    <col min="10" max="10" width="86" style="155" customWidth="1"/>
    <col min="11" max="16384" width="8.83203125" style="155"/>
  </cols>
  <sheetData>
    <row r="1" spans="1:12">
      <c r="B1" s="549"/>
      <c r="C1" s="549"/>
      <c r="D1" s="549"/>
      <c r="E1" s="549"/>
      <c r="F1" s="549"/>
      <c r="G1" s="549"/>
      <c r="H1" s="549"/>
      <c r="I1" s="549"/>
      <c r="J1" s="549"/>
      <c r="K1" s="549"/>
      <c r="L1" s="549"/>
    </row>
    <row r="2" spans="1:12">
      <c r="B2" s="549"/>
      <c r="C2" s="549"/>
      <c r="D2" s="549"/>
      <c r="E2" s="549"/>
      <c r="F2" s="549"/>
      <c r="G2" s="549"/>
      <c r="H2" s="549"/>
      <c r="I2" s="549"/>
      <c r="J2" s="549"/>
      <c r="K2" s="549"/>
      <c r="L2" s="549"/>
    </row>
    <row r="3" spans="1:12">
      <c r="B3" s="549"/>
      <c r="C3" s="549"/>
      <c r="D3" s="549"/>
      <c r="E3" s="549"/>
      <c r="F3" s="549"/>
      <c r="G3" s="549"/>
      <c r="H3" s="549"/>
      <c r="I3" s="549"/>
      <c r="J3" s="549"/>
      <c r="K3" s="549"/>
      <c r="L3" s="549"/>
    </row>
    <row r="4" spans="1:12">
      <c r="B4" s="549"/>
      <c r="C4" s="549"/>
      <c r="D4" s="549"/>
      <c r="E4" s="549"/>
      <c r="F4" s="549"/>
      <c r="G4" s="549"/>
      <c r="H4" s="549"/>
      <c r="I4" s="549"/>
      <c r="J4" s="549"/>
      <c r="K4" s="549"/>
      <c r="L4" s="549"/>
    </row>
    <row r="5" spans="1:12">
      <c r="B5" s="549"/>
      <c r="C5" s="549"/>
      <c r="D5" s="549"/>
      <c r="E5" s="549"/>
      <c r="F5" s="549"/>
      <c r="G5" s="549"/>
      <c r="H5" s="549"/>
      <c r="I5" s="549"/>
      <c r="J5" s="549"/>
      <c r="K5" s="549"/>
      <c r="L5" s="549"/>
    </row>
    <row r="6" spans="1:12">
      <c r="B6" s="549"/>
      <c r="C6" s="549"/>
      <c r="D6" s="549"/>
      <c r="E6" s="549"/>
      <c r="F6" s="549"/>
      <c r="G6" s="549"/>
      <c r="H6" s="549"/>
      <c r="I6" s="549"/>
      <c r="J6" s="549"/>
      <c r="K6" s="549"/>
      <c r="L6" s="549"/>
    </row>
    <row r="7" spans="1:12">
      <c r="B7" s="549"/>
      <c r="C7" s="549"/>
      <c r="D7" s="549"/>
      <c r="E7" s="549"/>
      <c r="F7" s="549"/>
      <c r="G7" s="549"/>
      <c r="H7" s="549"/>
      <c r="I7" s="549"/>
      <c r="J7" s="549"/>
      <c r="K7" s="549"/>
      <c r="L7" s="549"/>
    </row>
    <row r="8" spans="1:12">
      <c r="B8" s="549"/>
      <c r="C8" s="549"/>
      <c r="D8" s="549"/>
      <c r="E8" s="549"/>
      <c r="F8" s="549"/>
      <c r="G8" s="549"/>
      <c r="H8" s="549"/>
      <c r="I8" s="549"/>
      <c r="J8" s="549"/>
      <c r="K8" s="549"/>
      <c r="L8" s="549"/>
    </row>
    <row r="9" spans="1:12" ht="48" customHeight="1">
      <c r="B9" s="549"/>
      <c r="C9" s="549"/>
      <c r="D9" s="549"/>
      <c r="E9" s="549"/>
      <c r="F9" s="549"/>
      <c r="G9" s="549"/>
      <c r="H9" s="549"/>
      <c r="I9" s="549"/>
      <c r="J9" s="549"/>
      <c r="K9" s="549"/>
      <c r="L9" s="549"/>
    </row>
    <row r="10" spans="1:12" s="145" customFormat="1" ht="15" thickBot="1">
      <c r="A10" s="140" t="s">
        <v>155</v>
      </c>
      <c r="B10" s="141" t="s">
        <v>466</v>
      </c>
      <c r="C10" s="142" t="s">
        <v>150</v>
      </c>
      <c r="D10" s="142" t="s">
        <v>467</v>
      </c>
      <c r="E10" s="142" t="s">
        <v>271</v>
      </c>
      <c r="F10" s="142" t="s">
        <v>467</v>
      </c>
      <c r="G10" s="142" t="s">
        <v>151</v>
      </c>
      <c r="H10" s="143" t="s">
        <v>152</v>
      </c>
      <c r="I10" s="142" t="s">
        <v>153</v>
      </c>
      <c r="J10" s="144" t="s">
        <v>269</v>
      </c>
    </row>
    <row r="11" spans="1:12" s="146" customFormat="1" ht="84">
      <c r="A11" s="146" t="s">
        <v>149</v>
      </c>
      <c r="B11" s="147">
        <v>1</v>
      </c>
      <c r="C11" s="148">
        <v>2009</v>
      </c>
      <c r="D11" s="148" t="s">
        <v>283</v>
      </c>
      <c r="E11" s="148" t="s">
        <v>281</v>
      </c>
      <c r="F11" s="148" t="str">
        <f>D11 &amp; " - " &amp; E11</f>
        <v>Isabel Blanco and Christian Kjaer - European Wind Energy Association</v>
      </c>
      <c r="G11" s="148" t="s">
        <v>282</v>
      </c>
      <c r="H11" s="148" t="s">
        <v>559</v>
      </c>
      <c r="I11" s="148" t="s">
        <v>468</v>
      </c>
      <c r="J11" s="146" t="s">
        <v>469</v>
      </c>
    </row>
    <row r="12" spans="1:12" s="146" customFormat="1" ht="28">
      <c r="B12" s="149">
        <f>B11+1</f>
        <v>2</v>
      </c>
      <c r="C12" s="150">
        <v>2009</v>
      </c>
      <c r="D12" s="150" t="s">
        <v>470</v>
      </c>
      <c r="E12" s="150" t="s">
        <v>471</v>
      </c>
      <c r="F12" s="148" t="str">
        <f t="shared" ref="F12:F26" si="0">D12 &amp; " - " &amp; E12</f>
        <v>Julio Friedmann - Lawrence Livermore National Laboratory</v>
      </c>
      <c r="G12" s="150" t="s">
        <v>472</v>
      </c>
      <c r="H12" s="150" t="s">
        <v>473</v>
      </c>
      <c r="I12" s="150" t="s">
        <v>474</v>
      </c>
    </row>
    <row r="13" spans="1:12" s="146" customFormat="1" ht="28">
      <c r="B13" s="149">
        <f>B12+1</f>
        <v>3</v>
      </c>
      <c r="C13" s="150">
        <v>2009</v>
      </c>
      <c r="D13" s="150" t="s">
        <v>475</v>
      </c>
      <c r="E13" s="150" t="s">
        <v>476</v>
      </c>
      <c r="F13" s="148" t="str">
        <f t="shared" si="0"/>
        <v>José Goldemberg  - State of São Paulo, Brazil</v>
      </c>
      <c r="G13" s="150" t="s">
        <v>477</v>
      </c>
      <c r="H13" s="150"/>
      <c r="I13" s="150"/>
    </row>
    <row r="14" spans="1:12" s="146" customFormat="1" ht="42">
      <c r="B14" s="151">
        <f>B13+1</f>
        <v>4</v>
      </c>
      <c r="C14" s="152">
        <v>2009</v>
      </c>
      <c r="D14" s="152" t="s">
        <v>478</v>
      </c>
      <c r="E14" s="152" t="s">
        <v>479</v>
      </c>
      <c r="F14" s="148" t="str">
        <f t="shared" si="0"/>
        <v xml:space="preserve">SkyFuels - National Renewable Energy Laboratory </v>
      </c>
      <c r="G14" s="152" t="s">
        <v>480</v>
      </c>
      <c r="H14" s="152" t="s">
        <v>481</v>
      </c>
      <c r="I14" s="152" t="s">
        <v>482</v>
      </c>
    </row>
    <row r="15" spans="1:12" s="153" customFormat="1" ht="93.75" customHeight="1">
      <c r="A15" s="150" t="s">
        <v>230</v>
      </c>
      <c r="B15" s="149">
        <f>B14+1</f>
        <v>5</v>
      </c>
      <c r="C15" s="150">
        <v>2008</v>
      </c>
      <c r="D15" s="150" t="s">
        <v>280</v>
      </c>
      <c r="E15" s="150" t="s">
        <v>278</v>
      </c>
      <c r="F15" s="148" t="str">
        <f t="shared" si="0"/>
        <v>John A. "Skip" Laitner and Vanessa McKinney - American Council for an Energy Efficient Economy</v>
      </c>
      <c r="G15" s="150" t="s">
        <v>279</v>
      </c>
      <c r="H15" s="150" t="s">
        <v>154</v>
      </c>
      <c r="I15" s="150" t="s">
        <v>483</v>
      </c>
      <c r="J15" s="146" t="s">
        <v>484</v>
      </c>
    </row>
    <row r="16" spans="1:12" s="153" customFormat="1" ht="42">
      <c r="A16" s="150"/>
      <c r="B16" s="149">
        <f>B15+1</f>
        <v>6</v>
      </c>
      <c r="C16" s="150">
        <v>2008</v>
      </c>
      <c r="D16" s="150" t="s">
        <v>485</v>
      </c>
      <c r="E16" s="150" t="s">
        <v>486</v>
      </c>
      <c r="F16" s="148" t="str">
        <f t="shared" si="0"/>
        <v>David Roland-Holst - University of California, Berkeley</v>
      </c>
      <c r="G16" s="150" t="s">
        <v>487</v>
      </c>
      <c r="H16" s="150" t="s">
        <v>488</v>
      </c>
      <c r="I16" s="150" t="s">
        <v>489</v>
      </c>
      <c r="J16" s="146"/>
    </row>
    <row r="17" spans="1:10" s="153" customFormat="1" ht="28">
      <c r="A17" s="150"/>
      <c r="B17" s="149">
        <v>7</v>
      </c>
      <c r="C17" s="150">
        <v>2007</v>
      </c>
      <c r="D17" s="150" t="s">
        <v>503</v>
      </c>
      <c r="E17" s="150" t="s">
        <v>0</v>
      </c>
      <c r="F17" s="148" t="str">
        <f>D17</f>
        <v>Vestas</v>
      </c>
      <c r="G17" s="150" t="s">
        <v>504</v>
      </c>
      <c r="H17" s="150" t="s">
        <v>505</v>
      </c>
      <c r="I17" s="150" t="s">
        <v>506</v>
      </c>
      <c r="J17" s="146"/>
    </row>
    <row r="18" spans="1:10" s="153" customFormat="1" ht="42">
      <c r="A18" s="150"/>
      <c r="B18" s="149">
        <v>8</v>
      </c>
      <c r="C18" s="150">
        <v>2006</v>
      </c>
      <c r="D18" s="150" t="s">
        <v>490</v>
      </c>
      <c r="E18" s="150" t="s">
        <v>491</v>
      </c>
      <c r="F18" s="148" t="str">
        <f t="shared" si="0"/>
        <v>Winfried Hoffman, Sven Teske - European Photovoltaic Industry Association (EPIA) and Greenpeace</v>
      </c>
      <c r="G18" s="150" t="s">
        <v>492</v>
      </c>
      <c r="H18" s="150" t="s">
        <v>493</v>
      </c>
      <c r="I18" s="150" t="s">
        <v>494</v>
      </c>
      <c r="J18" s="146"/>
    </row>
    <row r="19" spans="1:10" s="153" customFormat="1" ht="84" customHeight="1">
      <c r="A19" s="150" t="s">
        <v>268</v>
      </c>
      <c r="B19" s="149">
        <v>9</v>
      </c>
      <c r="C19" s="150">
        <v>2006</v>
      </c>
      <c r="D19" s="150" t="s">
        <v>284</v>
      </c>
      <c r="E19" s="150" t="s">
        <v>285</v>
      </c>
      <c r="F19" s="148" t="str">
        <f t="shared" si="0"/>
        <v>Frithjof Staiss, et al. - Forschungsvorhaben im Auftrag des Bundesministeriums für Umwelt, Naturschutz und Reaktorsicherheit, Federal Republic of Germany.</v>
      </c>
      <c r="G19" s="150" t="s">
        <v>539</v>
      </c>
      <c r="H19" s="150" t="s">
        <v>540</v>
      </c>
      <c r="I19" s="150"/>
      <c r="J19" s="146" t="s">
        <v>495</v>
      </c>
    </row>
    <row r="20" spans="1:10" s="153" customFormat="1" ht="42">
      <c r="A20" s="150" t="s">
        <v>320</v>
      </c>
      <c r="B20" s="149">
        <v>10</v>
      </c>
      <c r="C20" s="150">
        <v>2006</v>
      </c>
      <c r="D20" s="150" t="s">
        <v>329</v>
      </c>
      <c r="E20" s="150" t="s">
        <v>326</v>
      </c>
      <c r="F20" s="148" t="str">
        <f t="shared" si="0"/>
        <v>George Sterzinger - Renewable Energy Policy Project (REPP)</v>
      </c>
      <c r="G20" s="150" t="s">
        <v>330</v>
      </c>
      <c r="H20" s="150" t="s">
        <v>496</v>
      </c>
      <c r="I20" s="150" t="s">
        <v>0</v>
      </c>
      <c r="J20" s="146" t="s">
        <v>331</v>
      </c>
    </row>
    <row r="21" spans="1:10" s="153" customFormat="1" ht="70">
      <c r="A21" s="150" t="s">
        <v>497</v>
      </c>
      <c r="B21" s="149">
        <v>11</v>
      </c>
      <c r="C21" s="150">
        <v>2006</v>
      </c>
      <c r="D21" s="150" t="s">
        <v>498</v>
      </c>
      <c r="E21" s="150" t="s">
        <v>499</v>
      </c>
      <c r="F21" s="148" t="str">
        <f t="shared" si="0"/>
        <v>L. Stoddard, J. Abiecunas, R. O'Connell - National Renewable Energy Laboratory</v>
      </c>
      <c r="G21" s="150" t="s">
        <v>500</v>
      </c>
      <c r="H21" s="150" t="s">
        <v>560</v>
      </c>
      <c r="I21" s="150" t="s">
        <v>501</v>
      </c>
      <c r="J21" s="146" t="s">
        <v>502</v>
      </c>
    </row>
    <row r="22" spans="1:10" s="153" customFormat="1" ht="42">
      <c r="A22" s="150" t="s">
        <v>507</v>
      </c>
      <c r="B22" s="149">
        <v>12</v>
      </c>
      <c r="C22" s="150">
        <v>2005</v>
      </c>
      <c r="D22" s="150" t="s">
        <v>508</v>
      </c>
      <c r="E22" s="150" t="s">
        <v>509</v>
      </c>
      <c r="F22" s="148" t="str">
        <f t="shared" si="0"/>
        <v>Doug Arent, John Tschirhart, Dick Watsson - Western Governors' Association: Geothermal Task Force</v>
      </c>
      <c r="G22" s="150" t="s">
        <v>510</v>
      </c>
      <c r="H22" s="150" t="s">
        <v>511</v>
      </c>
      <c r="I22" s="150"/>
      <c r="J22" s="146" t="s">
        <v>512</v>
      </c>
    </row>
    <row r="23" spans="1:10" s="153" customFormat="1" ht="70">
      <c r="A23" s="154"/>
      <c r="B23" s="149">
        <v>13</v>
      </c>
      <c r="C23" s="150">
        <v>2005</v>
      </c>
      <c r="D23" s="150" t="s">
        <v>513</v>
      </c>
      <c r="E23" s="150" t="s">
        <v>514</v>
      </c>
      <c r="F23" s="148" t="str">
        <f t="shared" si="0"/>
        <v>Jose Gil and Hugo Lucas - Institute for Diversification and Saving of Energy (Instituto para la Diversificacion y Ahorro de la Energia, IDAE)</v>
      </c>
      <c r="G23" s="150" t="s">
        <v>515</v>
      </c>
      <c r="H23" s="150" t="s">
        <v>538</v>
      </c>
      <c r="I23" s="150" t="s">
        <v>536</v>
      </c>
      <c r="J23" s="146" t="s">
        <v>537</v>
      </c>
    </row>
    <row r="24" spans="1:10" s="153" customFormat="1" ht="56">
      <c r="A24" s="150" t="s">
        <v>275</v>
      </c>
      <c r="B24" s="149">
        <v>14</v>
      </c>
      <c r="C24" s="150">
        <v>2004</v>
      </c>
      <c r="D24" s="150" t="s">
        <v>272</v>
      </c>
      <c r="E24" s="150" t="s">
        <v>273</v>
      </c>
      <c r="F24" s="148" t="str">
        <f t="shared" si="0"/>
        <v xml:space="preserve">Daniel M. Kammen, Kamal Kapadia, and Matthias Fripp - Energy and Resources Group, Universtiy of California, Berkeley.  </v>
      </c>
      <c r="G24" s="150" t="s">
        <v>270</v>
      </c>
      <c r="H24" s="150" t="s">
        <v>276</v>
      </c>
      <c r="I24" s="150" t="s">
        <v>277</v>
      </c>
      <c r="J24" s="146" t="s">
        <v>516</v>
      </c>
    </row>
    <row r="25" spans="1:10" s="153" customFormat="1" ht="70.5" customHeight="1">
      <c r="A25" s="150" t="s">
        <v>231</v>
      </c>
      <c r="B25" s="149">
        <v>15</v>
      </c>
      <c r="C25" s="150">
        <v>2004</v>
      </c>
      <c r="D25" s="150" t="s">
        <v>274</v>
      </c>
      <c r="E25" s="150" t="s">
        <v>319</v>
      </c>
      <c r="F25" s="148" t="str">
        <f t="shared" si="0"/>
        <v>C.R. Kenley, et al.  - Idaho National Engineering and Environmental Laboratory (INEEL) and Bechtel BWXT Idaho, LLC</v>
      </c>
      <c r="G25" s="150" t="s">
        <v>517</v>
      </c>
      <c r="H25" s="150" t="s">
        <v>518</v>
      </c>
      <c r="I25" s="150" t="s">
        <v>519</v>
      </c>
      <c r="J25" s="146" t="s">
        <v>520</v>
      </c>
    </row>
    <row r="26" spans="1:10" s="153" customFormat="1" ht="70">
      <c r="A26" s="150" t="s">
        <v>320</v>
      </c>
      <c r="B26" s="149">
        <v>16</v>
      </c>
      <c r="C26" s="150">
        <v>2002</v>
      </c>
      <c r="D26" s="150" t="s">
        <v>321</v>
      </c>
      <c r="E26" s="150" t="s">
        <v>322</v>
      </c>
      <c r="F26" s="148" t="str">
        <f t="shared" si="0"/>
        <v>Heavner and Churchill - CALPIRG (California Public Interest Research Group) Charitable Trust</v>
      </c>
      <c r="G26" s="150" t="s">
        <v>323</v>
      </c>
      <c r="H26" s="150" t="s">
        <v>521</v>
      </c>
      <c r="I26" s="150" t="s">
        <v>522</v>
      </c>
      <c r="J26" s="146" t="s">
        <v>324</v>
      </c>
    </row>
    <row r="27" spans="1:10" s="153" customFormat="1" ht="112">
      <c r="A27" s="150" t="s">
        <v>320</v>
      </c>
      <c r="B27" s="149">
        <f>B26+1</f>
        <v>17</v>
      </c>
      <c r="C27" s="150">
        <v>2001</v>
      </c>
      <c r="D27" s="150" t="s">
        <v>325</v>
      </c>
      <c r="E27" s="150" t="s">
        <v>326</v>
      </c>
      <c r="F27" s="150" t="s">
        <v>542</v>
      </c>
      <c r="G27" s="150" t="s">
        <v>327</v>
      </c>
      <c r="H27" s="150" t="s">
        <v>523</v>
      </c>
      <c r="I27" s="150" t="s">
        <v>524</v>
      </c>
      <c r="J27" s="146" t="s">
        <v>328</v>
      </c>
    </row>
    <row r="28" spans="1:10" ht="71" customHeight="1">
      <c r="A28" s="150"/>
      <c r="B28" s="149">
        <v>18</v>
      </c>
      <c r="C28" s="150">
        <v>2008</v>
      </c>
      <c r="D28" s="150"/>
      <c r="E28" s="150"/>
      <c r="F28" s="150"/>
      <c r="G28" s="512" t="s">
        <v>730</v>
      </c>
      <c r="H28" s="513" t="s">
        <v>731</v>
      </c>
      <c r="I28" s="513" t="s">
        <v>732</v>
      </c>
      <c r="J28" s="146" t="s">
        <v>733</v>
      </c>
    </row>
    <row r="29" spans="1:10">
      <c r="A29" s="150"/>
      <c r="B29" s="149"/>
      <c r="C29" s="150"/>
      <c r="D29" s="150"/>
      <c r="E29" s="150"/>
      <c r="F29" s="150"/>
      <c r="G29" s="512" t="s">
        <v>0</v>
      </c>
      <c r="H29" s="513"/>
      <c r="I29" s="513"/>
      <c r="J29" s="146"/>
    </row>
    <row r="30" spans="1:10">
      <c r="A30" s="150"/>
      <c r="B30" s="149"/>
      <c r="C30" s="150"/>
      <c r="D30" s="150"/>
      <c r="E30" s="150"/>
      <c r="F30" s="150"/>
      <c r="G30" s="150"/>
      <c r="H30" s="150"/>
      <c r="I30" s="150"/>
      <c r="J30" s="146"/>
    </row>
    <row r="31" spans="1:10" s="153" customFormat="1">
      <c r="A31" s="146"/>
      <c r="B31" s="156"/>
      <c r="C31" s="146"/>
      <c r="D31" s="146"/>
      <c r="E31" s="146"/>
      <c r="F31" s="146"/>
      <c r="G31" s="146"/>
      <c r="H31" s="146"/>
      <c r="I31" s="146"/>
      <c r="J31" s="146"/>
    </row>
    <row r="32" spans="1:10">
      <c r="A32" s="155"/>
      <c r="B32" s="156"/>
      <c r="C32" s="146"/>
      <c r="D32" s="146"/>
      <c r="E32" s="146"/>
      <c r="F32" s="146"/>
      <c r="G32" s="146"/>
      <c r="H32" s="146"/>
      <c r="I32" s="146"/>
      <c r="J32" s="146"/>
    </row>
    <row r="33" spans="1:10">
      <c r="A33" s="155"/>
      <c r="B33" s="156"/>
      <c r="C33" s="146"/>
      <c r="D33" s="146"/>
      <c r="E33" s="146"/>
      <c r="F33" s="146"/>
      <c r="G33" s="146"/>
      <c r="H33" s="146"/>
      <c r="I33" s="146"/>
      <c r="J33" s="146"/>
    </row>
    <row r="34" spans="1:10">
      <c r="A34" s="155"/>
      <c r="B34" s="156"/>
      <c r="C34" s="146"/>
      <c r="D34" s="146"/>
      <c r="E34" s="146"/>
      <c r="F34" s="146"/>
      <c r="G34" s="146"/>
      <c r="H34" s="146"/>
      <c r="I34" s="146"/>
      <c r="J34" s="146"/>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37"/>
  <sheetViews>
    <sheetView topLeftCell="A29" workbookViewId="0">
      <selection activeCell="G56" sqref="G56"/>
    </sheetView>
  </sheetViews>
  <sheetFormatPr baseColWidth="10" defaultColWidth="12.5" defaultRowHeight="16" x14ac:dyDescent="0"/>
  <cols>
    <col min="1" max="1" width="47.33203125" style="5" customWidth="1"/>
    <col min="2" max="2" width="13.6640625" style="348" bestFit="1" customWidth="1"/>
    <col min="3" max="6" width="13.1640625" style="348" bestFit="1" customWidth="1"/>
    <col min="7" max="7" width="13.1640625" style="303" bestFit="1" customWidth="1"/>
    <col min="8" max="19" width="14.5" style="303" bestFit="1" customWidth="1"/>
    <col min="20" max="21" width="16.5" style="303" bestFit="1" customWidth="1"/>
    <col min="22" max="37" width="12.5" style="303"/>
    <col min="38" max="16384" width="12.5" style="5"/>
  </cols>
  <sheetData>
    <row r="1" spans="1:37">
      <c r="A1" s="269" t="s">
        <v>65</v>
      </c>
    </row>
    <row r="2" spans="1:37">
      <c r="A2" s="273" t="s">
        <v>715</v>
      </c>
    </row>
    <row r="3" spans="1:37">
      <c r="A3" s="273" t="s">
        <v>665</v>
      </c>
    </row>
    <row r="4" spans="1:37">
      <c r="A4" s="273" t="s">
        <v>598</v>
      </c>
    </row>
    <row r="6" spans="1:37">
      <c r="A6" s="6" t="s">
        <v>66</v>
      </c>
    </row>
    <row r="7" spans="1:37">
      <c r="A7" s="6" t="s">
        <v>67</v>
      </c>
    </row>
    <row r="8" spans="1:37">
      <c r="A8" s="78" t="s">
        <v>286</v>
      </c>
    </row>
    <row r="10" spans="1:37">
      <c r="AK10" s="304"/>
    </row>
    <row r="11" spans="1:37">
      <c r="B11" s="368" t="s">
        <v>7</v>
      </c>
      <c r="C11" s="368" t="s">
        <v>8</v>
      </c>
      <c r="D11" s="368" t="s">
        <v>9</v>
      </c>
      <c r="E11" s="368" t="s">
        <v>10</v>
      </c>
      <c r="F11" s="368" t="s">
        <v>11</v>
      </c>
      <c r="G11" s="323" t="s">
        <v>12</v>
      </c>
      <c r="H11" s="323" t="s">
        <v>13</v>
      </c>
      <c r="I11" s="323" t="s">
        <v>14</v>
      </c>
      <c r="J11" s="323" t="s">
        <v>15</v>
      </c>
      <c r="K11" s="323" t="s">
        <v>16</v>
      </c>
      <c r="L11" s="323" t="s">
        <v>17</v>
      </c>
      <c r="M11" s="323" t="s">
        <v>18</v>
      </c>
      <c r="N11" s="323" t="s">
        <v>19</v>
      </c>
      <c r="O11" s="323" t="s">
        <v>20</v>
      </c>
      <c r="P11" s="323" t="s">
        <v>21</v>
      </c>
      <c r="Q11" s="323" t="s">
        <v>22</v>
      </c>
      <c r="R11" s="323" t="s">
        <v>23</v>
      </c>
      <c r="S11" s="323" t="s">
        <v>24</v>
      </c>
      <c r="T11" s="323" t="s">
        <v>25</v>
      </c>
      <c r="U11" s="323" t="s">
        <v>26</v>
      </c>
      <c r="V11" s="323" t="s">
        <v>27</v>
      </c>
      <c r="W11" s="323" t="s">
        <v>28</v>
      </c>
      <c r="X11" s="323" t="s">
        <v>29</v>
      </c>
      <c r="Y11" s="323" t="s">
        <v>30</v>
      </c>
      <c r="Z11" s="323" t="s">
        <v>31</v>
      </c>
      <c r="AA11" s="323" t="s">
        <v>588</v>
      </c>
      <c r="AB11" s="323" t="s">
        <v>589</v>
      </c>
      <c r="AC11" s="323" t="s">
        <v>590</v>
      </c>
      <c r="AD11" s="323" t="s">
        <v>591</v>
      </c>
      <c r="AE11" s="323" t="s">
        <v>592</v>
      </c>
      <c r="AF11" s="323" t="s">
        <v>593</v>
      </c>
      <c r="AG11" s="323" t="s">
        <v>594</v>
      </c>
      <c r="AH11" s="323" t="s">
        <v>595</v>
      </c>
      <c r="AI11" s="323" t="s">
        <v>596</v>
      </c>
      <c r="AJ11" s="323" t="s">
        <v>597</v>
      </c>
      <c r="AK11" s="323" t="s">
        <v>600</v>
      </c>
    </row>
    <row r="14" spans="1:37">
      <c r="A14" s="6" t="s">
        <v>68</v>
      </c>
    </row>
    <row r="16" spans="1:37">
      <c r="A16" s="6" t="s">
        <v>32</v>
      </c>
    </row>
    <row r="17" spans="1:38" s="252" customFormat="1">
      <c r="A17" s="251" t="s">
        <v>69</v>
      </c>
      <c r="B17" s="348"/>
      <c r="C17" s="348"/>
      <c r="D17" s="348"/>
      <c r="E17" s="348"/>
      <c r="F17" s="348"/>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row>
    <row r="18" spans="1:38" s="252" customFormat="1">
      <c r="A18" s="251" t="s">
        <v>70</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2" customFormat="1">
      <c r="A19" s="251" t="s">
        <v>71</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2" customFormat="1">
      <c r="A20" s="251" t="s">
        <v>72</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2" customFormat="1">
      <c r="A21" s="251" t="s">
        <v>73</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2" customFormat="1">
      <c r="A22" s="251" t="s">
        <v>74</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2" customFormat="1">
      <c r="A23" s="251" t="s">
        <v>75</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2" customFormat="1">
      <c r="A24" s="251" t="s">
        <v>76</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2" customFormat="1">
      <c r="A25" s="251" t="s">
        <v>56</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2" customFormat="1">
      <c r="A26" s="251" t="s">
        <v>77</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2" customFormat="1">
      <c r="A27" s="251" t="s">
        <v>70</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2" customFormat="1">
      <c r="A28" s="251" t="s">
        <v>71</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2" customFormat="1">
      <c r="A29" s="251" t="s">
        <v>78</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2" customFormat="1">
      <c r="A30" s="251" t="s">
        <v>79</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2" customFormat="1">
      <c r="A31" s="251" t="s">
        <v>56</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2" customFormat="1">
      <c r="A32" s="251" t="s">
        <v>80</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s="252" customFormat="1">
      <c r="A33" s="251" t="s">
        <v>81</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s="252"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s="252" customFormat="1">
      <c r="A35" s="251" t="s">
        <v>82</v>
      </c>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s="252" customFormat="1">
      <c r="B36"/>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s="252" customFormat="1">
      <c r="A37" s="251" t="s">
        <v>635</v>
      </c>
      <c r="B3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s="252" customFormat="1">
      <c r="A38" s="251" t="s">
        <v>70</v>
      </c>
      <c r="B38"/>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s="252" customFormat="1">
      <c r="A39" s="251" t="s">
        <v>71</v>
      </c>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s="252" customFormat="1">
      <c r="A40" s="251" t="s">
        <v>78</v>
      </c>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s="252" customFormat="1">
      <c r="A41" s="251" t="s">
        <v>83</v>
      </c>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s="252" customFormat="1">
      <c r="A42" s="251" t="s">
        <v>634</v>
      </c>
      <c r="B42"/>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1:38" s="252" customFormat="1">
      <c r="A43" s="251" t="s">
        <v>87</v>
      </c>
      <c r="B43"/>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1:38" s="252" customFormat="1">
      <c r="A44" s="251" t="s">
        <v>56</v>
      </c>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s="252" customFormat="1">
      <c r="A45" s="251" t="s">
        <v>84</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s="252" customFormat="1">
      <c r="A46" s="251" t="s">
        <v>85</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38" s="254" customFormat="1">
      <c r="B47" s="368" t="s">
        <v>7</v>
      </c>
      <c r="C47" s="368" t="s">
        <v>8</v>
      </c>
      <c r="D47" s="368" t="s">
        <v>9</v>
      </c>
      <c r="E47" s="368" t="s">
        <v>10</v>
      </c>
      <c r="F47" s="368" t="s">
        <v>11</v>
      </c>
      <c r="G47" s="327" t="s">
        <v>12</v>
      </c>
      <c r="H47" s="327" t="s">
        <v>13</v>
      </c>
      <c r="I47" s="327" t="s">
        <v>14</v>
      </c>
      <c r="J47" s="327" t="s">
        <v>15</v>
      </c>
      <c r="K47" s="327" t="s">
        <v>16</v>
      </c>
      <c r="L47" s="327" t="s">
        <v>17</v>
      </c>
      <c r="M47" s="327" t="s">
        <v>18</v>
      </c>
      <c r="N47" s="327" t="s">
        <v>19</v>
      </c>
      <c r="O47" s="327" t="s">
        <v>20</v>
      </c>
      <c r="P47" s="327" t="s">
        <v>21</v>
      </c>
      <c r="Q47" s="327" t="s">
        <v>22</v>
      </c>
      <c r="R47" s="327" t="s">
        <v>23</v>
      </c>
      <c r="S47" s="327" t="s">
        <v>24</v>
      </c>
      <c r="T47" s="327" t="s">
        <v>25</v>
      </c>
      <c r="U47" s="327" t="s">
        <v>26</v>
      </c>
      <c r="V47" s="327" t="s">
        <v>27</v>
      </c>
      <c r="W47" s="327" t="s">
        <v>28</v>
      </c>
      <c r="X47" s="327" t="s">
        <v>29</v>
      </c>
      <c r="Y47" s="327" t="s">
        <v>30</v>
      </c>
      <c r="Z47" s="327" t="s">
        <v>31</v>
      </c>
      <c r="AA47" s="327" t="s">
        <v>588</v>
      </c>
      <c r="AB47" s="327" t="s">
        <v>589</v>
      </c>
      <c r="AC47" s="327" t="s">
        <v>590</v>
      </c>
      <c r="AD47" s="327" t="s">
        <v>591</v>
      </c>
      <c r="AE47" s="327" t="s">
        <v>592</v>
      </c>
      <c r="AF47" s="327" t="s">
        <v>593</v>
      </c>
      <c r="AG47" s="327" t="s">
        <v>594</v>
      </c>
      <c r="AH47" s="327" t="s">
        <v>595</v>
      </c>
      <c r="AI47" s="327" t="s">
        <v>596</v>
      </c>
      <c r="AJ47" s="327" t="s">
        <v>597</v>
      </c>
      <c r="AK47" s="327" t="s">
        <v>600</v>
      </c>
    </row>
    <row r="48" spans="1:38" s="256" customFormat="1">
      <c r="A48" s="255" t="s">
        <v>86</v>
      </c>
      <c r="B48" s="369"/>
      <c r="C48" s="369"/>
      <c r="D48" s="369"/>
      <c r="E48" s="369"/>
      <c r="F48" s="369"/>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row>
    <row r="49" spans="1:38" s="256" customFormat="1">
      <c r="A49" s="255" t="s">
        <v>70</v>
      </c>
      <c r="B49" s="488">
        <v>20.968</v>
      </c>
      <c r="C49" s="488">
        <v>21.405999999999999</v>
      </c>
      <c r="D49" s="488">
        <v>19.154</v>
      </c>
      <c r="E49" s="488">
        <v>12.759</v>
      </c>
      <c r="F49" s="488">
        <v>13.583</v>
      </c>
      <c r="G49" s="509">
        <v>9.0614310000000007</v>
      </c>
      <c r="H49" s="509">
        <v>4.2357750000000003</v>
      </c>
      <c r="I49" s="509">
        <v>7.0416860000000003</v>
      </c>
      <c r="J49" s="509">
        <v>5.8196890000000003</v>
      </c>
      <c r="K49" s="509">
        <v>7.2635949999999996</v>
      </c>
      <c r="L49" s="509">
        <v>6.8259910000000001</v>
      </c>
      <c r="M49" s="509">
        <v>6.756405</v>
      </c>
      <c r="N49" s="509">
        <v>7.3669779999999996</v>
      </c>
      <c r="O49" s="509">
        <v>7.9106540000000001</v>
      </c>
      <c r="P49" s="509">
        <v>7.9794010000000002</v>
      </c>
      <c r="Q49" s="509">
        <v>10.540893000000001</v>
      </c>
      <c r="R49" s="509">
        <v>11.765393</v>
      </c>
      <c r="S49" s="509">
        <v>11.8165</v>
      </c>
      <c r="T49" s="509">
        <v>11.892491</v>
      </c>
      <c r="U49" s="509">
        <v>12.194421</v>
      </c>
      <c r="V49" s="509">
        <v>12.193718000000001</v>
      </c>
      <c r="W49" s="509">
        <v>12.185570999999999</v>
      </c>
      <c r="X49" s="509">
        <v>12.247646</v>
      </c>
      <c r="Y49" s="509">
        <v>12.331963999999999</v>
      </c>
      <c r="Z49" s="509">
        <v>12.316667000000001</v>
      </c>
      <c r="AA49" s="509">
        <v>12.303418000000001</v>
      </c>
      <c r="AB49" s="509">
        <v>12.196657999999999</v>
      </c>
      <c r="AC49" s="509">
        <v>12.183372</v>
      </c>
      <c r="AD49" s="509">
        <v>12.171982</v>
      </c>
      <c r="AE49" s="509">
        <v>12.160871999999999</v>
      </c>
      <c r="AF49" s="509">
        <v>12.079191</v>
      </c>
      <c r="AG49" s="509">
        <v>12.139499000000001</v>
      </c>
      <c r="AH49" s="509">
        <v>12.130689</v>
      </c>
      <c r="AI49" s="509">
        <v>12.164114</v>
      </c>
      <c r="AJ49" s="509">
        <v>12.155637</v>
      </c>
      <c r="AK49"/>
    </row>
    <row r="50" spans="1:38" s="256" customFormat="1">
      <c r="A50" s="255" t="s">
        <v>71</v>
      </c>
      <c r="B50" s="489">
        <v>6.7779999999999996</v>
      </c>
      <c r="C50" s="489">
        <v>8.1950000000000003</v>
      </c>
      <c r="D50" s="489">
        <v>3.7450000000000001</v>
      </c>
      <c r="E50" s="489">
        <v>2.6480000000000001</v>
      </c>
      <c r="F50" s="489">
        <v>2.0049999999999999</v>
      </c>
      <c r="G50" s="509">
        <v>1.092581</v>
      </c>
      <c r="H50" s="509">
        <v>0.49204000000000003</v>
      </c>
      <c r="I50" s="509">
        <v>1.285161</v>
      </c>
      <c r="J50" s="509">
        <v>1.2810400000000002</v>
      </c>
      <c r="K50" s="509">
        <v>1.287115</v>
      </c>
      <c r="L50" s="509">
        <v>1.134476</v>
      </c>
      <c r="M50" s="509">
        <v>0.58845100000000006</v>
      </c>
      <c r="N50" s="509">
        <v>0.59335000000000004</v>
      </c>
      <c r="O50" s="509">
        <v>0.35075699999999999</v>
      </c>
      <c r="P50" s="509">
        <v>0.33731699999999998</v>
      </c>
      <c r="Q50" s="509">
        <v>0.35609200000000002</v>
      </c>
      <c r="R50" s="509">
        <v>0.360902</v>
      </c>
      <c r="S50" s="509">
        <v>0.36177799999999999</v>
      </c>
      <c r="T50" s="509">
        <v>0.36436099999999999</v>
      </c>
      <c r="U50" s="509">
        <v>0.36113499999999998</v>
      </c>
      <c r="V50" s="509">
        <v>0.32326900000000003</v>
      </c>
      <c r="W50" s="509">
        <v>0.31669899999999995</v>
      </c>
      <c r="X50" s="509">
        <v>0.32946500000000001</v>
      </c>
      <c r="Y50" s="509">
        <v>0.33428799999999997</v>
      </c>
      <c r="Z50" s="509">
        <v>0.33754399999999996</v>
      </c>
      <c r="AA50" s="509">
        <v>0.131415</v>
      </c>
      <c r="AB50" s="509">
        <v>0.12665300000000002</v>
      </c>
      <c r="AC50" s="509">
        <v>0.12751599999999999</v>
      </c>
      <c r="AD50" s="509">
        <v>0.144564</v>
      </c>
      <c r="AE50" s="509">
        <v>0.14547399999999999</v>
      </c>
      <c r="AF50" s="509">
        <v>0.14585000000000001</v>
      </c>
      <c r="AG50" s="509">
        <v>0.14621899999999999</v>
      </c>
      <c r="AH50" s="509">
        <v>0.14602500000000002</v>
      </c>
      <c r="AI50" s="509">
        <v>0.14376800000000001</v>
      </c>
      <c r="AJ50" s="509">
        <v>0.143819</v>
      </c>
      <c r="AK50"/>
    </row>
    <row r="51" spans="1:38" s="256" customFormat="1">
      <c r="A51" s="255" t="s">
        <v>78</v>
      </c>
      <c r="B51" s="489">
        <v>42.134</v>
      </c>
      <c r="C51" s="489">
        <v>45.634</v>
      </c>
      <c r="D51" s="489">
        <v>43.856000000000002</v>
      </c>
      <c r="E51" s="489">
        <v>41.78</v>
      </c>
      <c r="F51" s="489">
        <v>48.915999999999997</v>
      </c>
      <c r="G51" s="509">
        <v>54.493490000000001</v>
      </c>
      <c r="H51" s="509">
        <v>63.122802</v>
      </c>
      <c r="I51" s="509">
        <v>60.428400000000003</v>
      </c>
      <c r="J51" s="509">
        <v>57.798995999999995</v>
      </c>
      <c r="K51" s="509">
        <v>58.435998000000005</v>
      </c>
      <c r="L51" s="509">
        <v>53.582616000000002</v>
      </c>
      <c r="M51" s="509">
        <v>51.209479999999999</v>
      </c>
      <c r="N51" s="509">
        <v>53.308199000000002</v>
      </c>
      <c r="O51" s="509">
        <v>52.250561000000005</v>
      </c>
      <c r="P51" s="509">
        <v>51.511445999999999</v>
      </c>
      <c r="Q51" s="509">
        <v>48.453778</v>
      </c>
      <c r="R51" s="509">
        <v>46.106729000000001</v>
      </c>
      <c r="S51" s="509">
        <v>46.184590999999998</v>
      </c>
      <c r="T51" s="509">
        <v>47.471622999999994</v>
      </c>
      <c r="U51" s="509">
        <v>47.542793000000003</v>
      </c>
      <c r="V51" s="509">
        <v>46.978598000000005</v>
      </c>
      <c r="W51" s="509">
        <v>44.611738000000003</v>
      </c>
      <c r="X51" s="509">
        <v>46.008309000000004</v>
      </c>
      <c r="Y51" s="509">
        <v>44.446007999999999</v>
      </c>
      <c r="Z51" s="509">
        <v>45.517246999999998</v>
      </c>
      <c r="AA51" s="509">
        <v>45.446329999999996</v>
      </c>
      <c r="AB51" s="509">
        <v>48.331707000000002</v>
      </c>
      <c r="AC51" s="509">
        <v>50.046170999999994</v>
      </c>
      <c r="AD51" s="509">
        <v>50.238136999999995</v>
      </c>
      <c r="AE51" s="509">
        <v>52.324905000000001</v>
      </c>
      <c r="AF51" s="509">
        <v>52.592562000000001</v>
      </c>
      <c r="AG51" s="509">
        <v>53.545434999999998</v>
      </c>
      <c r="AH51" s="509">
        <v>53.402873</v>
      </c>
      <c r="AI51" s="509">
        <v>54.352260000000001</v>
      </c>
      <c r="AJ51" s="509">
        <v>54.899661000000002</v>
      </c>
      <c r="AK51"/>
    </row>
    <row r="52" spans="1:38" s="256" customFormat="1">
      <c r="A52" s="255" t="s">
        <v>73</v>
      </c>
      <c r="B52" s="490">
        <v>42.223999999999997</v>
      </c>
      <c r="C52" s="490">
        <v>42.453000000000003</v>
      </c>
      <c r="D52" s="490">
        <v>43.209000000000003</v>
      </c>
      <c r="E52" s="490">
        <v>43.484999999999999</v>
      </c>
      <c r="F52" s="490">
        <v>41.87</v>
      </c>
      <c r="G52" s="509">
        <v>42.694998999999996</v>
      </c>
      <c r="H52" s="509">
        <v>40.774999000000001</v>
      </c>
      <c r="I52" s="509">
        <v>40.658596000000003</v>
      </c>
      <c r="J52" s="509">
        <v>40.658596000000003</v>
      </c>
      <c r="K52" s="509">
        <v>37.986177999999995</v>
      </c>
      <c r="L52" s="509">
        <v>38.377161000000001</v>
      </c>
      <c r="M52" s="509">
        <v>38.377161000000001</v>
      </c>
      <c r="N52" s="509">
        <v>38.377161000000001</v>
      </c>
      <c r="O52" s="509">
        <v>38.377161000000001</v>
      </c>
      <c r="P52" s="509">
        <v>38.377161000000001</v>
      </c>
      <c r="Q52" s="509">
        <v>38.377161000000001</v>
      </c>
      <c r="R52" s="509">
        <v>38.377161000000001</v>
      </c>
      <c r="S52" s="509">
        <v>38.377161000000001</v>
      </c>
      <c r="T52" s="509">
        <v>38.377161000000001</v>
      </c>
      <c r="U52" s="509">
        <v>38.377161000000001</v>
      </c>
      <c r="V52" s="509">
        <v>38.377161000000001</v>
      </c>
      <c r="W52" s="509">
        <v>38.377161000000001</v>
      </c>
      <c r="X52" s="509">
        <v>38.377161000000001</v>
      </c>
      <c r="Y52" s="509">
        <v>38.377161000000001</v>
      </c>
      <c r="Z52" s="509">
        <v>38.377161000000001</v>
      </c>
      <c r="AA52" s="509">
        <v>38.377161000000001</v>
      </c>
      <c r="AB52" s="509">
        <v>38.377161000000001</v>
      </c>
      <c r="AC52" s="509">
        <v>38.377161000000001</v>
      </c>
      <c r="AD52" s="509">
        <v>38.377161000000001</v>
      </c>
      <c r="AE52" s="509">
        <v>38.377161000000001</v>
      </c>
      <c r="AF52" s="509">
        <v>38.377161000000001</v>
      </c>
      <c r="AG52" s="509">
        <v>38.377161000000001</v>
      </c>
      <c r="AH52" s="509">
        <v>38.377161000000001</v>
      </c>
      <c r="AI52" s="509">
        <v>38.377161000000001</v>
      </c>
      <c r="AJ52" s="509">
        <v>38.377161000000001</v>
      </c>
      <c r="AK52"/>
    </row>
    <row r="53" spans="1:38" s="256" customFormat="1">
      <c r="A53" s="255" t="s">
        <v>332</v>
      </c>
      <c r="B53" s="492"/>
      <c r="C53" s="492"/>
      <c r="D53" s="492"/>
      <c r="E53" s="492"/>
      <c r="F53" s="492"/>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row>
    <row r="54" spans="1:38" s="256" customFormat="1">
      <c r="A54" s="255" t="s">
        <v>636</v>
      </c>
      <c r="B54" s="490">
        <v>29.940999999999999</v>
      </c>
      <c r="C54" s="490">
        <v>28.027999999999999</v>
      </c>
      <c r="D54" s="490">
        <v>30.042000000000002</v>
      </c>
      <c r="E54" s="490">
        <v>32.082000000000001</v>
      </c>
      <c r="F54" s="490">
        <v>30.286000000000001</v>
      </c>
      <c r="G54" s="509">
        <v>32.075569999999999</v>
      </c>
      <c r="H54" s="509">
        <v>29.099557000000001</v>
      </c>
      <c r="I54" s="509">
        <v>32.234195999999997</v>
      </c>
      <c r="J54" s="509">
        <v>33.065345999999998</v>
      </c>
      <c r="K54" s="509">
        <v>33.747000999999997</v>
      </c>
      <c r="L54" s="509">
        <v>34.335001999999996</v>
      </c>
      <c r="M54" s="509">
        <v>35.051550999999996</v>
      </c>
      <c r="N54" s="509">
        <v>35.061259</v>
      </c>
      <c r="O54" s="509">
        <v>35.099708999999997</v>
      </c>
      <c r="P54" s="509">
        <v>35.106981000000005</v>
      </c>
      <c r="Q54" s="509">
        <v>35.247357000000001</v>
      </c>
      <c r="R54" s="509">
        <v>35.483404</v>
      </c>
      <c r="S54" s="509">
        <v>35.708009000000004</v>
      </c>
      <c r="T54" s="509">
        <v>35.720108000000003</v>
      </c>
      <c r="U54" s="509">
        <v>35.503945999999999</v>
      </c>
      <c r="V54" s="509">
        <v>35.488543999999997</v>
      </c>
      <c r="W54" s="509">
        <v>35.481563000000001</v>
      </c>
      <c r="X54" s="509">
        <v>35.403479000000004</v>
      </c>
      <c r="Y54" s="509">
        <v>35.430728999999999</v>
      </c>
      <c r="Z54" s="509">
        <v>35.432714000000004</v>
      </c>
      <c r="AA54" s="509">
        <v>35.433205000000001</v>
      </c>
      <c r="AB54" s="509">
        <v>35.404496000000002</v>
      </c>
      <c r="AC54" s="509">
        <v>35.402828</v>
      </c>
      <c r="AD54" s="509">
        <v>35.402227999999994</v>
      </c>
      <c r="AE54" s="509">
        <v>35.402332999999999</v>
      </c>
      <c r="AF54" s="509">
        <v>35.473804000000001</v>
      </c>
      <c r="AG54" s="509">
        <v>35.431189000000003</v>
      </c>
      <c r="AH54" s="509">
        <v>35.431069999999998</v>
      </c>
      <c r="AI54" s="509">
        <v>35.434461999999996</v>
      </c>
      <c r="AJ54" s="509">
        <v>35.527852000000003</v>
      </c>
      <c r="AK54"/>
    </row>
    <row r="55" spans="1:38" s="256" customFormat="1">
      <c r="A55" s="255" t="s">
        <v>637</v>
      </c>
      <c r="B55" s="490">
        <v>0.97699999999999998</v>
      </c>
      <c r="C55" s="490">
        <v>0.93200000000000005</v>
      </c>
      <c r="D55" s="490">
        <v>0.98699999999999999</v>
      </c>
      <c r="E55" s="490">
        <v>0.877</v>
      </c>
      <c r="F55" s="490">
        <v>0.83199999999999996</v>
      </c>
      <c r="G55" s="509">
        <v>0.66700000000000004</v>
      </c>
      <c r="H55" s="509">
        <v>0.871</v>
      </c>
      <c r="I55" s="509">
        <v>0.80676800000000004</v>
      </c>
      <c r="J55" s="509">
        <v>0.80676800000000004</v>
      </c>
      <c r="K55" s="509">
        <v>0.80840200000000006</v>
      </c>
      <c r="L55" s="509">
        <v>0.80840299999999998</v>
      </c>
      <c r="M55" s="509">
        <v>0.80840200000000006</v>
      </c>
      <c r="N55" s="509">
        <v>0.80841499999999999</v>
      </c>
      <c r="O55" s="509">
        <v>0.80841499999999999</v>
      </c>
      <c r="P55" s="509">
        <v>0.80842599999999998</v>
      </c>
      <c r="Q55" s="509">
        <v>0.80842599999999998</v>
      </c>
      <c r="R55" s="509">
        <v>0.80842599999999998</v>
      </c>
      <c r="S55" s="509">
        <v>0.80842700000000001</v>
      </c>
      <c r="T55" s="509">
        <v>0.80842599999999998</v>
      </c>
      <c r="U55" s="509">
        <v>0.80845100000000003</v>
      </c>
      <c r="V55" s="509">
        <v>0.80847000000000002</v>
      </c>
      <c r="W55" s="509">
        <v>0.80847400000000003</v>
      </c>
      <c r="X55" s="509">
        <v>0.80863400000000007</v>
      </c>
      <c r="Y55" s="509">
        <v>0.80865300000000007</v>
      </c>
      <c r="Z55" s="509">
        <v>0.80865300000000007</v>
      </c>
      <c r="AA55" s="509">
        <v>0.80865300000000007</v>
      </c>
      <c r="AB55" s="509">
        <v>0.80865300000000007</v>
      </c>
      <c r="AC55" s="509">
        <v>0.80900799999999995</v>
      </c>
      <c r="AD55" s="509">
        <v>0.80946899999999999</v>
      </c>
      <c r="AE55" s="509">
        <v>0.80989199999999995</v>
      </c>
      <c r="AF55" s="509">
        <v>0.81022899999999998</v>
      </c>
      <c r="AG55" s="509">
        <v>0.81063299999999994</v>
      </c>
      <c r="AH55" s="509">
        <v>0.81077399999999999</v>
      </c>
      <c r="AI55" s="509">
        <v>0.81087700000000007</v>
      </c>
      <c r="AJ55" s="509">
        <v>0.81089199999999995</v>
      </c>
      <c r="AK55"/>
    </row>
    <row r="56" spans="1:38" s="256" customFormat="1">
      <c r="A56" s="255" t="s">
        <v>88</v>
      </c>
      <c r="B56" s="491">
        <v>142.26499999999999</v>
      </c>
      <c r="C56" s="491">
        <v>145.87899999999999</v>
      </c>
      <c r="D56" s="491">
        <v>140.322</v>
      </c>
      <c r="E56" s="491">
        <v>133.15100000000001</v>
      </c>
      <c r="F56" s="491">
        <v>136.96199999999999</v>
      </c>
      <c r="G56" s="510">
        <v>140.08507500000002</v>
      </c>
      <c r="H56" s="510">
        <v>138.596172</v>
      </c>
      <c r="I56" s="510">
        <v>142.45480700000002</v>
      </c>
      <c r="J56" s="510">
        <v>139.43043399999999</v>
      </c>
      <c r="K56" s="510">
        <v>139.52828199999999</v>
      </c>
      <c r="L56" s="510">
        <v>135.06365099999999</v>
      </c>
      <c r="M56" s="510">
        <v>132.79144300000002</v>
      </c>
      <c r="N56" s="510">
        <v>135.51535999999999</v>
      </c>
      <c r="O56" s="510">
        <v>134.797258</v>
      </c>
      <c r="P56" s="510">
        <v>134.12072900000001</v>
      </c>
      <c r="Q56" s="510">
        <v>133.78371100000001</v>
      </c>
      <c r="R56" s="510">
        <v>132.90201500000001</v>
      </c>
      <c r="S56" s="510">
        <v>133.25646699999999</v>
      </c>
      <c r="T56" s="510">
        <v>134.63416899999999</v>
      </c>
      <c r="U56" s="510">
        <v>134.78790900000001</v>
      </c>
      <c r="V56" s="510">
        <v>134.169758</v>
      </c>
      <c r="W56" s="510">
        <v>131.781204</v>
      </c>
      <c r="X56" s="510">
        <v>133.174699</v>
      </c>
      <c r="Y56" s="510">
        <v>131.72880599999999</v>
      </c>
      <c r="Z56" s="510">
        <v>132.789985</v>
      </c>
      <c r="AA56" s="510">
        <v>132.50018399999999</v>
      </c>
      <c r="AB56" s="510">
        <v>135.245318</v>
      </c>
      <c r="AC56" s="510">
        <v>136.94605799999999</v>
      </c>
      <c r="AD56" s="510">
        <v>137.14354299999999</v>
      </c>
      <c r="AE56" s="510">
        <v>139.22135900000001</v>
      </c>
      <c r="AF56" s="510">
        <v>139.48092600000001</v>
      </c>
      <c r="AG56" s="510">
        <v>140.452259</v>
      </c>
      <c r="AH56" s="510">
        <v>140.30199299999998</v>
      </c>
      <c r="AI56" s="510">
        <v>141.287318</v>
      </c>
      <c r="AJ56" s="510">
        <v>141.920806</v>
      </c>
      <c r="AK56"/>
    </row>
    <row r="57" spans="1:38" s="256" customFormat="1">
      <c r="B57" s="495"/>
      <c r="C57" s="495"/>
      <c r="D57" s="495"/>
      <c r="E57" s="495"/>
      <c r="F57" s="495"/>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row>
    <row r="58" spans="1:38" s="256" customFormat="1">
      <c r="A58" s="255" t="s">
        <v>89</v>
      </c>
      <c r="B58" s="492">
        <f>SUM(B49:B52,B54,B55)</f>
        <v>143.02199999999999</v>
      </c>
      <c r="C58" s="492">
        <f t="shared" ref="C58:AJ58" si="0">SUM(C49:C52,C54,C55)</f>
        <v>146.648</v>
      </c>
      <c r="D58" s="492">
        <f t="shared" si="0"/>
        <v>140.99299999999999</v>
      </c>
      <c r="E58" s="492">
        <f t="shared" si="0"/>
        <v>133.631</v>
      </c>
      <c r="F58" s="492">
        <f t="shared" si="0"/>
        <v>137.49199999999999</v>
      </c>
      <c r="G58" s="492">
        <f t="shared" si="0"/>
        <v>140.085071</v>
      </c>
      <c r="H58" s="492">
        <f t="shared" si="0"/>
        <v>138.59617300000002</v>
      </c>
      <c r="I58" s="492">
        <f t="shared" si="0"/>
        <v>142.45480699999999</v>
      </c>
      <c r="J58" s="492">
        <f t="shared" si="0"/>
        <v>139.43043499999999</v>
      </c>
      <c r="K58" s="492">
        <f t="shared" si="0"/>
        <v>139.528289</v>
      </c>
      <c r="L58" s="492">
        <f t="shared" si="0"/>
        <v>135.063649</v>
      </c>
      <c r="M58" s="492">
        <f t="shared" si="0"/>
        <v>132.79145</v>
      </c>
      <c r="N58" s="492">
        <f t="shared" si="0"/>
        <v>135.51536200000001</v>
      </c>
      <c r="O58" s="492">
        <f t="shared" si="0"/>
        <v>134.797257</v>
      </c>
      <c r="P58" s="492">
        <f t="shared" si="0"/>
        <v>134.120732</v>
      </c>
      <c r="Q58" s="492">
        <f t="shared" si="0"/>
        <v>133.78370699999999</v>
      </c>
      <c r="R58" s="492">
        <f t="shared" si="0"/>
        <v>132.90201500000001</v>
      </c>
      <c r="S58" s="492">
        <f t="shared" si="0"/>
        <v>133.25646599999999</v>
      </c>
      <c r="T58" s="492">
        <f t="shared" si="0"/>
        <v>134.63417000000001</v>
      </c>
      <c r="U58" s="492">
        <f t="shared" si="0"/>
        <v>134.78790699999999</v>
      </c>
      <c r="V58" s="492">
        <f t="shared" si="0"/>
        <v>134.16976</v>
      </c>
      <c r="W58" s="492">
        <f t="shared" si="0"/>
        <v>131.781206</v>
      </c>
      <c r="X58" s="492">
        <f t="shared" si="0"/>
        <v>133.17469400000002</v>
      </c>
      <c r="Y58" s="492">
        <f t="shared" si="0"/>
        <v>131.72880299999997</v>
      </c>
      <c r="Z58" s="492">
        <f t="shared" si="0"/>
        <v>132.789986</v>
      </c>
      <c r="AA58" s="492">
        <f t="shared" si="0"/>
        <v>132.500182</v>
      </c>
      <c r="AB58" s="492">
        <f t="shared" si="0"/>
        <v>135.245328</v>
      </c>
      <c r="AC58" s="492">
        <f t="shared" si="0"/>
        <v>136.946056</v>
      </c>
      <c r="AD58" s="492">
        <f t="shared" si="0"/>
        <v>137.143541</v>
      </c>
      <c r="AE58" s="492">
        <f t="shared" si="0"/>
        <v>139.22063700000001</v>
      </c>
      <c r="AF58" s="492">
        <f t="shared" si="0"/>
        <v>139.47879699999999</v>
      </c>
      <c r="AG58" s="492">
        <f t="shared" si="0"/>
        <v>140.45013599999999</v>
      </c>
      <c r="AH58" s="492">
        <f t="shared" si="0"/>
        <v>140.29859200000001</v>
      </c>
      <c r="AI58" s="492">
        <f t="shared" si="0"/>
        <v>141.28264200000001</v>
      </c>
      <c r="AJ58" s="492">
        <f t="shared" si="0"/>
        <v>141.91502199999999</v>
      </c>
      <c r="AK58"/>
    </row>
    <row r="59" spans="1:38">
      <c r="A59" s="6" t="s">
        <v>90</v>
      </c>
      <c r="B59" s="370">
        <v>3906.17822265625</v>
      </c>
      <c r="C59" s="370">
        <v>4003.6083984375</v>
      </c>
      <c r="D59" s="370">
        <v>4006.09130859375</v>
      </c>
      <c r="E59" s="370">
        <v>3992.21752929688</v>
      </c>
      <c r="F59" s="370">
        <v>4046.56079101563</v>
      </c>
      <c r="G59" s="249">
        <v>3975.9853520000001</v>
      </c>
      <c r="H59" s="249">
        <v>3914.8715820000002</v>
      </c>
      <c r="I59" s="249">
        <v>3921.3237300000001</v>
      </c>
      <c r="J59" s="249">
        <v>3939.0678710000002</v>
      </c>
      <c r="K59" s="249">
        <v>4009.0505370000001</v>
      </c>
      <c r="L59" s="249">
        <v>4063.0170899999998</v>
      </c>
      <c r="M59" s="249">
        <v>4119.9077150000003</v>
      </c>
      <c r="N59" s="249">
        <v>4166.5869140000004</v>
      </c>
      <c r="O59" s="249">
        <v>4198.9038090000004</v>
      </c>
      <c r="P59" s="249">
        <v>4219.6909180000002</v>
      </c>
      <c r="Q59" s="249">
        <v>4252.6411129999997</v>
      </c>
      <c r="R59" s="249">
        <v>4292.3344729999999</v>
      </c>
      <c r="S59" s="249">
        <v>4339.8535160000001</v>
      </c>
      <c r="T59" s="249">
        <v>4382.0117190000001</v>
      </c>
      <c r="U59" s="249">
        <v>4415.9643550000001</v>
      </c>
      <c r="V59" s="249">
        <v>4450.7382809999999</v>
      </c>
      <c r="W59" s="249">
        <v>4486.6025390000004</v>
      </c>
      <c r="X59" s="249">
        <v>4519.0146480000003</v>
      </c>
      <c r="Y59" s="249">
        <v>4546.845703</v>
      </c>
      <c r="Z59" s="249">
        <v>4573.2431640000004</v>
      </c>
      <c r="AA59" s="249">
        <v>4595.8320309999999</v>
      </c>
      <c r="AB59" s="249">
        <v>4620.3847660000001</v>
      </c>
      <c r="AC59" s="249">
        <v>4650.2163090000004</v>
      </c>
      <c r="AD59" s="249">
        <v>4684.017578</v>
      </c>
      <c r="AE59" s="249">
        <v>4715.7373049999997</v>
      </c>
      <c r="AF59" s="249">
        <v>4746.6293949999999</v>
      </c>
      <c r="AG59" s="249">
        <v>4780.0688479999999</v>
      </c>
      <c r="AH59" s="249">
        <v>4817.2851559999999</v>
      </c>
      <c r="AI59" s="249">
        <v>4853.5073240000002</v>
      </c>
      <c r="AJ59" s="249">
        <v>4888.0634769999997</v>
      </c>
      <c r="AK59"/>
    </row>
    <row r="60" spans="1:38" s="275" customFormat="1">
      <c r="A60" s="274" t="s">
        <v>337</v>
      </c>
      <c r="B60" s="371"/>
      <c r="C60" s="371"/>
      <c r="D60" s="371"/>
      <c r="E60" s="371">
        <f>E49/SUM(E49,E51)</f>
        <v>0.23394268321751407</v>
      </c>
      <c r="F60" s="371">
        <f t="shared" ref="F60:AJ60" si="1">F49/SUM(F49,F51)</f>
        <v>0.21733147730363689</v>
      </c>
      <c r="G60" s="328">
        <f t="shared" si="1"/>
        <v>0.1425763868072466</v>
      </c>
      <c r="H60" s="328">
        <f t="shared" si="1"/>
        <v>6.288397392955615E-2</v>
      </c>
      <c r="I60" s="328">
        <f t="shared" si="1"/>
        <v>0.10436752666952284</v>
      </c>
      <c r="J60" s="328">
        <f t="shared" si="1"/>
        <v>9.1477668864108089E-2</v>
      </c>
      <c r="K60" s="328">
        <f t="shared" si="1"/>
        <v>0.1105576864075855</v>
      </c>
      <c r="L60" s="328">
        <f t="shared" si="1"/>
        <v>0.11299699395485149</v>
      </c>
      <c r="M60" s="328">
        <f t="shared" si="1"/>
        <v>0.11655829976545687</v>
      </c>
      <c r="N60" s="328">
        <f t="shared" si="1"/>
        <v>0.12141667093941892</v>
      </c>
      <c r="O60" s="328">
        <f t="shared" si="1"/>
        <v>0.13149092816692615</v>
      </c>
      <c r="P60" s="328">
        <f t="shared" si="1"/>
        <v>0.13412821303418324</v>
      </c>
      <c r="Q60" s="328">
        <f t="shared" si="1"/>
        <v>0.17867534171010127</v>
      </c>
      <c r="R60" s="328">
        <f t="shared" si="1"/>
        <v>0.20329983752798972</v>
      </c>
      <c r="S60" s="328">
        <f t="shared" si="1"/>
        <v>0.20372892640933254</v>
      </c>
      <c r="T60" s="328">
        <f t="shared" si="1"/>
        <v>0.20033131463900902</v>
      </c>
      <c r="U60" s="328">
        <f t="shared" si="1"/>
        <v>0.20413441108920813</v>
      </c>
      <c r="V60" s="328">
        <f t="shared" si="1"/>
        <v>0.20607133241159598</v>
      </c>
      <c r="W60" s="328">
        <f t="shared" si="1"/>
        <v>0.21454486514493143</v>
      </c>
      <c r="X60" s="328">
        <f t="shared" si="1"/>
        <v>0.21023852411311428</v>
      </c>
      <c r="Y60" s="328">
        <f t="shared" si="1"/>
        <v>0.21719627463974936</v>
      </c>
      <c r="Z60" s="328">
        <f t="shared" si="1"/>
        <v>0.21296616722153719</v>
      </c>
      <c r="AA60" s="328">
        <f t="shared" si="1"/>
        <v>0.21304712879439752</v>
      </c>
      <c r="AB60" s="328">
        <f t="shared" si="1"/>
        <v>0.20150317954235175</v>
      </c>
      <c r="AC60" s="328">
        <f t="shared" si="1"/>
        <v>0.19578115815505831</v>
      </c>
      <c r="AD60" s="328">
        <f t="shared" si="1"/>
        <v>0.19503218700800748</v>
      </c>
      <c r="AE60" s="328">
        <f t="shared" si="1"/>
        <v>0.18858223573858773</v>
      </c>
      <c r="AF60" s="328">
        <f t="shared" si="1"/>
        <v>0.18677692253061395</v>
      </c>
      <c r="AG60" s="328">
        <f t="shared" si="1"/>
        <v>0.18481405492468031</v>
      </c>
      <c r="AH60" s="328">
        <f t="shared" si="1"/>
        <v>0.18510651076771928</v>
      </c>
      <c r="AI60" s="328">
        <f t="shared" si="1"/>
        <v>0.18287397927012677</v>
      </c>
      <c r="AJ60" s="328">
        <f t="shared" si="1"/>
        <v>0.18127780149452172</v>
      </c>
      <c r="AK60" s="328"/>
      <c r="AL60" s="275" t="s">
        <v>0</v>
      </c>
    </row>
    <row r="61" spans="1:38" s="266" customFormat="1">
      <c r="A61" s="263" t="s">
        <v>113</v>
      </c>
      <c r="B61" s="362">
        <f>B54/B58</f>
        <v>0.20934541539063919</v>
      </c>
      <c r="C61" s="362">
        <f t="shared" ref="C61:AJ61" si="2">C54/C58</f>
        <v>0.19112432491407996</v>
      </c>
      <c r="D61" s="362">
        <f t="shared" si="2"/>
        <v>0.21307440794933083</v>
      </c>
      <c r="E61" s="362">
        <f t="shared" si="2"/>
        <v>0.24007902357985797</v>
      </c>
      <c r="F61" s="362">
        <f t="shared" si="2"/>
        <v>0.220274634160533</v>
      </c>
      <c r="G61" s="313">
        <f t="shared" si="2"/>
        <v>0.22897207940166586</v>
      </c>
      <c r="H61" s="313">
        <f t="shared" si="2"/>
        <v>0.20995931106986623</v>
      </c>
      <c r="I61" s="313">
        <f t="shared" si="2"/>
        <v>0.22627664645953294</v>
      </c>
      <c r="J61" s="313">
        <f t="shared" si="2"/>
        <v>0.23714582831216155</v>
      </c>
      <c r="K61" s="313">
        <f t="shared" si="2"/>
        <v>0.24186493822768798</v>
      </c>
      <c r="L61" s="313">
        <f t="shared" si="2"/>
        <v>0.25421349307688257</v>
      </c>
      <c r="M61" s="313">
        <f t="shared" si="2"/>
        <v>0.26395939648222833</v>
      </c>
      <c r="N61" s="313">
        <f t="shared" si="2"/>
        <v>0.25872534657731272</v>
      </c>
      <c r="O61" s="313">
        <f t="shared" si="2"/>
        <v>0.26038889648919189</v>
      </c>
      <c r="P61" s="313">
        <f t="shared" si="2"/>
        <v>0.26175655677155119</v>
      </c>
      <c r="Q61" s="313">
        <f t="shared" si="2"/>
        <v>0.2634652439403552</v>
      </c>
      <c r="R61" s="313">
        <f t="shared" si="2"/>
        <v>0.26698921005825232</v>
      </c>
      <c r="S61" s="313">
        <f t="shared" si="2"/>
        <v>0.26796455040313022</v>
      </c>
      <c r="T61" s="313">
        <f t="shared" si="2"/>
        <v>0.26531234975489504</v>
      </c>
      <c r="U61" s="313">
        <f t="shared" si="2"/>
        <v>0.26340601905777794</v>
      </c>
      <c r="V61" s="313">
        <f t="shared" si="2"/>
        <v>0.26450478856040288</v>
      </c>
      <c r="W61" s="313">
        <f t="shared" si="2"/>
        <v>0.26924600310608782</v>
      </c>
      <c r="X61" s="313">
        <f t="shared" si="2"/>
        <v>0.2658423904469418</v>
      </c>
      <c r="Y61" s="313">
        <f t="shared" si="2"/>
        <v>0.26896721288813358</v>
      </c>
      <c r="Z61" s="313">
        <f t="shared" si="2"/>
        <v>0.26683272637742433</v>
      </c>
      <c r="AA61" s="313">
        <f t="shared" si="2"/>
        <v>0.26742004777019857</v>
      </c>
      <c r="AB61" s="313">
        <f t="shared" si="2"/>
        <v>0.26177980802412637</v>
      </c>
      <c r="AC61" s="313">
        <f t="shared" si="2"/>
        <v>0.25851659430045942</v>
      </c>
      <c r="AD61" s="313">
        <f t="shared" si="2"/>
        <v>0.25813995862918543</v>
      </c>
      <c r="AE61" s="313">
        <f t="shared" si="2"/>
        <v>0.25428940538463413</v>
      </c>
      <c r="AF61" s="313">
        <f t="shared" si="2"/>
        <v>0.25433115830501468</v>
      </c>
      <c r="AG61" s="313">
        <f t="shared" si="2"/>
        <v>0.2522688123278144</v>
      </c>
      <c r="AH61" s="313">
        <f t="shared" si="2"/>
        <v>0.25254045315009288</v>
      </c>
      <c r="AI61" s="313">
        <f t="shared" si="2"/>
        <v>0.25080548819295151</v>
      </c>
      <c r="AJ61" s="313">
        <f t="shared" si="2"/>
        <v>0.25034595703335766</v>
      </c>
      <c r="AK61" s="313"/>
    </row>
    <row r="62" spans="1:38" s="276" customFormat="1">
      <c r="A62" s="265" t="s">
        <v>114</v>
      </c>
      <c r="B62" s="372">
        <f>(B54-EIA_RE_aeo2014!B73)/B56</f>
        <v>1.8247636453098095E-2</v>
      </c>
      <c r="C62" s="372">
        <f>(C54-EIA_RE_aeo2014!C73)/C56</f>
        <v>1.9022614632675017E-2</v>
      </c>
      <c r="D62" s="372">
        <f>(D54-EIA_RE_aeo2014!D73)/D56</f>
        <v>2.3652741551574253E-2</v>
      </c>
      <c r="E62" s="372">
        <f>(E54-EIA_RE_aeo2014!E73)/E56</f>
        <v>3.3548377406102857E-2</v>
      </c>
      <c r="F62" s="372">
        <f>(F54-EIA_RE_aeo2014!F73)/F56</f>
        <v>3.5148435332427973E-2</v>
      </c>
      <c r="G62" s="329">
        <f>(G54-EIA_RE_aeo2014!G73)/G56</f>
        <v>2.9185814405995759E-2</v>
      </c>
      <c r="H62" s="329">
        <f>(H54-EIA_RE_aeo2014!H73)/H56</f>
        <v>3.2152172283661615E-2</v>
      </c>
      <c r="I62" s="329">
        <f>(I54-EIA_RE_aeo2014!I73)/I56</f>
        <v>3.7532640088445708E-2</v>
      </c>
      <c r="J62" s="329">
        <f>(J54-EIA_RE_aeo2014!J73)/J56</f>
        <v>4.0072513867381344E-2</v>
      </c>
      <c r="K62" s="329">
        <f>(K54-EIA_RE_aeo2014!K73)/K56</f>
        <v>4.0909713200654174E-2</v>
      </c>
      <c r="L62" s="329">
        <f>(L54-EIA_RE_aeo2014!L73)/L56</f>
        <v>4.2268655983540654E-2</v>
      </c>
      <c r="M62" s="329">
        <f>(M54-EIA_RE_aeo2014!M73)/M56</f>
        <v>4.6033131818591616E-2</v>
      </c>
      <c r="N62" s="329">
        <f>(N54-EIA_RE_aeo2014!N73)/N56</f>
        <v>4.5179483713137757E-2</v>
      </c>
      <c r="O62" s="329">
        <f>(O54-EIA_RE_aeo2014!O73)/O56</f>
        <v>4.5705410417176261E-2</v>
      </c>
      <c r="P62" s="329">
        <f>(P54-EIA_RE_aeo2014!P73)/P56</f>
        <v>4.59901765073168E-2</v>
      </c>
      <c r="Q62" s="329">
        <f>(Q54-EIA_RE_aeo2014!Q73)/Q56</f>
        <v>4.7155307270554031E-2</v>
      </c>
      <c r="R62" s="329">
        <f>(R54-EIA_RE_aeo2014!R73)/R56</f>
        <v>4.9244294753544547E-2</v>
      </c>
      <c r="S62" s="329">
        <f>(S54-EIA_RE_aeo2014!S73)/S56</f>
        <v>4.9396139250787757E-2</v>
      </c>
      <c r="T62" s="329">
        <f>(T54-EIA_RE_aeo2014!T73)/T56</f>
        <v>4.8980567481350178E-2</v>
      </c>
      <c r="U62" s="329">
        <f>(U54-EIA_RE_aeo2014!U73)/U56</f>
        <v>4.732092104789605E-2</v>
      </c>
      <c r="V62" s="329">
        <f>(V54-EIA_RE_aeo2014!V73)/V56</f>
        <v>4.7424114754682639E-2</v>
      </c>
      <c r="W62" s="329">
        <f>(W54-EIA_RE_aeo2014!W73)/W56</f>
        <v>4.8230709745222866E-2</v>
      </c>
      <c r="X62" s="329">
        <f>(X54-EIA_RE_aeo2014!X73)/X56</f>
        <v>4.7139772397758552E-2</v>
      </c>
      <c r="Y62" s="329">
        <f>(Y54-EIA_RE_aeo2014!Y73)/Y56</f>
        <v>4.7863995670013142E-2</v>
      </c>
      <c r="Z62" s="329">
        <f>(Z54-EIA_RE_aeo2014!Z73)/Z56</f>
        <v>4.7496443350001173E-2</v>
      </c>
      <c r="AA62" s="329">
        <f>(AA54-EIA_RE_aeo2014!AK73)/AA56</f>
        <v>0.26742004373367512</v>
      </c>
      <c r="AB62" s="329">
        <f>(AB54-EIA_RE_aeo2014!AL73)/AB56</f>
        <v>0.26177982738005023</v>
      </c>
      <c r="AC62" s="329">
        <f>(AC54-EIA_RE_aeo2014!AM73)/AC56</f>
        <v>0.25851659052500803</v>
      </c>
      <c r="AD62" s="329">
        <f>(AD54-EIA_RE_aeo2014!AN73)/AD56</f>
        <v>0.25813995486466318</v>
      </c>
      <c r="AE62" s="329">
        <f>(AE54-EIA_RE_aeo2014!AO73)/AE56</f>
        <v>0.25428808664337199</v>
      </c>
      <c r="AF62" s="329">
        <f>(AF54-EIA_RE_aeo2014!AP73)/AF56</f>
        <v>0.2543272762614151</v>
      </c>
      <c r="AG62" s="329">
        <f>(AG54-EIA_RE_aeo2014!AQ73)/AG56</f>
        <v>0.25226499916957551</v>
      </c>
      <c r="AH62" s="329">
        <f>(AH54-EIA_RE_aeo2014!AR73)/AH56</f>
        <v>0.2525343314260689</v>
      </c>
      <c r="AI62" s="329">
        <f>(AI54-EIA_RE_aeo2014!AS73)/AI56</f>
        <v>0.25079718761453168</v>
      </c>
      <c r="AJ62" s="329">
        <f>(AJ54-EIA_RE_aeo2014!AT73)/AJ56</f>
        <v>0.25033575415291826</v>
      </c>
      <c r="AK62" s="329"/>
    </row>
    <row r="63" spans="1:38" s="480" customFormat="1">
      <c r="A63" s="480" t="s">
        <v>115</v>
      </c>
      <c r="C63" s="481"/>
      <c r="D63" s="481"/>
      <c r="E63" s="481"/>
      <c r="F63" s="481">
        <v>42094.619140625</v>
      </c>
      <c r="G63" s="482">
        <v>102605.04540000002</v>
      </c>
      <c r="H63" s="482">
        <v>163360.96875</v>
      </c>
      <c r="I63" s="482">
        <v>225974.68357199998</v>
      </c>
      <c r="J63" s="482">
        <v>289591.77345600002</v>
      </c>
      <c r="K63" s="482">
        <v>358569.27243000007</v>
      </c>
      <c r="L63" s="482">
        <v>428005.66654200002</v>
      </c>
      <c r="M63" s="482">
        <v>499509.19281199999</v>
      </c>
      <c r="N63" s="482">
        <v>571413.594774</v>
      </c>
      <c r="O63" s="482">
        <v>642582.21966400009</v>
      </c>
      <c r="P63" s="482">
        <v>712804.27253000019</v>
      </c>
      <c r="Q63" s="482">
        <v>785931.55672200024</v>
      </c>
      <c r="R63" s="482">
        <v>861455.63087200013</v>
      </c>
      <c r="S63" s="482">
        <v>939930.84375000035</v>
      </c>
      <c r="T63" s="482">
        <v>1018634.9062500005</v>
      </c>
      <c r="U63" s="482">
        <v>1096613.15925</v>
      </c>
      <c r="V63" s="483"/>
      <c r="W63" s="483"/>
      <c r="X63" s="483"/>
      <c r="Y63" s="483"/>
      <c r="Z63" s="483"/>
      <c r="AA63" s="483"/>
      <c r="AB63" s="483"/>
      <c r="AC63" s="483"/>
      <c r="AD63" s="483"/>
      <c r="AE63" s="483"/>
      <c r="AF63" s="483"/>
      <c r="AG63" s="483"/>
      <c r="AH63" s="483"/>
      <c r="AI63" s="483"/>
      <c r="AJ63" s="483"/>
      <c r="AK63" s="483"/>
    </row>
    <row r="64" spans="1:38" s="484" customFormat="1">
      <c r="A64" s="484" t="s">
        <v>116</v>
      </c>
      <c r="C64" s="485"/>
      <c r="D64" s="485"/>
      <c r="E64" s="485"/>
      <c r="F64" s="485"/>
      <c r="G64" s="486">
        <f>G63/1000/G58</f>
        <v>0.73244810933493421</v>
      </c>
      <c r="H64" s="486">
        <f t="shared" ref="H64:O64" si="3">H63/1000/H58</f>
        <v>1.1786831137826583</v>
      </c>
      <c r="I64" s="486">
        <f t="shared" si="3"/>
        <v>1.5862903353763274</v>
      </c>
      <c r="J64" s="486">
        <f t="shared" si="3"/>
        <v>2.0769624182553832</v>
      </c>
      <c r="K64" s="486">
        <f t="shared" si="3"/>
        <v>2.5698679099404713</v>
      </c>
      <c r="L64" s="486">
        <f t="shared" si="3"/>
        <v>3.1689182819427604</v>
      </c>
      <c r="M64" s="486">
        <f t="shared" si="3"/>
        <v>3.7616065854541088</v>
      </c>
      <c r="N64" s="486">
        <f t="shared" si="3"/>
        <v>4.2165964532788536</v>
      </c>
      <c r="O64" s="486">
        <f t="shared" si="3"/>
        <v>4.7670274155801255</v>
      </c>
      <c r="P64" s="486">
        <f t="shared" ref="P64" si="4">P63/1000/P58</f>
        <v>5.3146464524962491</v>
      </c>
      <c r="Q64" s="486">
        <f t="shared" ref="Q64" si="5">Q63/1000/Q58</f>
        <v>5.8746432906213331</v>
      </c>
      <c r="R64" s="486">
        <f t="shared" ref="R64" si="6">R63/1000/R58</f>
        <v>6.4818854016020762</v>
      </c>
      <c r="S64" s="486">
        <f t="shared" ref="S64" si="7">S63/1000/S58</f>
        <v>7.0535477336611976</v>
      </c>
      <c r="T64" s="486">
        <f t="shared" ref="T64" si="8">T63/1000/T58</f>
        <v>7.5659463437105181</v>
      </c>
      <c r="U64" s="486">
        <f t="shared" ref="U64" si="9">U63/1000/U58</f>
        <v>8.1358423293122293</v>
      </c>
      <c r="V64" s="486"/>
      <c r="W64" s="486"/>
      <c r="X64" s="486"/>
      <c r="Y64" s="486"/>
      <c r="Z64" s="486"/>
      <c r="AA64" s="486"/>
      <c r="AB64" s="486"/>
      <c r="AC64" s="486"/>
      <c r="AD64" s="486"/>
      <c r="AE64" s="486"/>
      <c r="AF64" s="486"/>
      <c r="AG64" s="486"/>
      <c r="AH64" s="486"/>
      <c r="AI64" s="486"/>
      <c r="AJ64" s="486"/>
      <c r="AK64" s="486"/>
    </row>
    <row r="65" spans="1:38" s="484" customFormat="1">
      <c r="A65" s="484" t="s">
        <v>119</v>
      </c>
      <c r="D65" s="485"/>
      <c r="E65" s="485"/>
      <c r="F65" s="485"/>
      <c r="G65" s="486"/>
      <c r="H65" s="486">
        <f t="shared" ref="H65:U65" si="10">(H64-G64)/G64</f>
        <v>0.60923770402371202</v>
      </c>
      <c r="I65" s="486">
        <f t="shared" si="10"/>
        <v>0.34581578104191724</v>
      </c>
      <c r="J65" s="486">
        <f t="shared" si="10"/>
        <v>0.30932047679824642</v>
      </c>
      <c r="K65" s="486">
        <f t="shared" si="10"/>
        <v>0.23732037101524506</v>
      </c>
      <c r="L65" s="486">
        <f t="shared" si="10"/>
        <v>0.23310551086501777</v>
      </c>
      <c r="M65" s="486">
        <f t="shared" si="10"/>
        <v>0.18703174104823886</v>
      </c>
      <c r="N65" s="486">
        <f t="shared" si="10"/>
        <v>0.12095626097214988</v>
      </c>
      <c r="O65" s="486">
        <f t="shared" si="10"/>
        <v>0.13053916076632213</v>
      </c>
      <c r="P65" s="486">
        <f t="shared" si="10"/>
        <v>0.11487641860970518</v>
      </c>
      <c r="Q65" s="486">
        <f t="shared" si="10"/>
        <v>0.10536859660007256</v>
      </c>
      <c r="R65" s="486">
        <f t="shared" si="10"/>
        <v>0.1033666353751528</v>
      </c>
      <c r="S65" s="486">
        <f t="shared" si="10"/>
        <v>8.8193835071170526E-2</v>
      </c>
      <c r="T65" s="486">
        <f t="shared" si="10"/>
        <v>7.2644097608361421E-2</v>
      </c>
      <c r="U65" s="486">
        <f t="shared" si="10"/>
        <v>7.5323820671218344E-2</v>
      </c>
      <c r="V65" s="486"/>
      <c r="W65" s="486"/>
      <c r="X65" s="486"/>
      <c r="Y65" s="486"/>
      <c r="Z65" s="486"/>
      <c r="AA65" s="486"/>
      <c r="AB65" s="486"/>
      <c r="AC65" s="486"/>
      <c r="AD65" s="486"/>
      <c r="AE65" s="486"/>
      <c r="AF65" s="486"/>
      <c r="AG65" s="486"/>
      <c r="AH65" s="486"/>
      <c r="AI65" s="486"/>
      <c r="AJ65" s="486"/>
      <c r="AK65" s="486"/>
    </row>
    <row r="66" spans="1:38" s="266" customFormat="1">
      <c r="A66" s="266" t="s">
        <v>135</v>
      </c>
      <c r="B66" s="373">
        <f>B52/B58</f>
        <v>0.29522730768692929</v>
      </c>
      <c r="C66" s="373">
        <f t="shared" ref="C66:AJ66" si="11">C52/C58</f>
        <v>0.28948911679668327</v>
      </c>
      <c r="D66" s="373">
        <f t="shared" si="11"/>
        <v>0.30646202293730895</v>
      </c>
      <c r="E66" s="373">
        <f t="shared" si="11"/>
        <v>0.32541101989807752</v>
      </c>
      <c r="F66" s="373">
        <f t="shared" si="11"/>
        <v>0.30452680883251387</v>
      </c>
      <c r="G66" s="330">
        <f t="shared" si="11"/>
        <v>0.30477907956373163</v>
      </c>
      <c r="H66" s="330">
        <f t="shared" si="11"/>
        <v>0.29420003537904321</v>
      </c>
      <c r="I66" s="330">
        <f t="shared" si="11"/>
        <v>0.28541399799867762</v>
      </c>
      <c r="J66" s="330">
        <f t="shared" si="11"/>
        <v>0.29160488526052442</v>
      </c>
      <c r="K66" s="330">
        <f t="shared" si="11"/>
        <v>0.27224714265649741</v>
      </c>
      <c r="L66" s="330">
        <f t="shared" si="11"/>
        <v>0.28414130140967836</v>
      </c>
      <c r="M66" s="330">
        <f t="shared" si="11"/>
        <v>0.28900325284496858</v>
      </c>
      <c r="N66" s="330">
        <f t="shared" si="11"/>
        <v>0.28319417395645519</v>
      </c>
      <c r="O66" s="330">
        <f t="shared" si="11"/>
        <v>0.28470283338183949</v>
      </c>
      <c r="P66" s="330">
        <f t="shared" si="11"/>
        <v>0.28613891698712174</v>
      </c>
      <c r="Q66" s="330">
        <f t="shared" si="11"/>
        <v>0.28685975191283947</v>
      </c>
      <c r="R66" s="330">
        <f t="shared" si="11"/>
        <v>0.28876282274576498</v>
      </c>
      <c r="S66" s="330">
        <f t="shared" si="11"/>
        <v>0.28799473790637675</v>
      </c>
      <c r="T66" s="330">
        <f t="shared" si="11"/>
        <v>0.28504770371444338</v>
      </c>
      <c r="U66" s="330">
        <f t="shared" si="11"/>
        <v>0.28472258271656375</v>
      </c>
      <c r="V66" s="330">
        <f t="shared" si="11"/>
        <v>0.28603435677309108</v>
      </c>
      <c r="W66" s="330">
        <f t="shared" si="11"/>
        <v>0.29121877212142072</v>
      </c>
      <c r="X66" s="330">
        <f t="shared" si="11"/>
        <v>0.28817157259621706</v>
      </c>
      <c r="Y66" s="330">
        <f t="shared" si="11"/>
        <v>0.29133462178351388</v>
      </c>
      <c r="Z66" s="330">
        <f t="shared" si="11"/>
        <v>0.28900643908494728</v>
      </c>
      <c r="AA66" s="330">
        <f t="shared" si="11"/>
        <v>0.28963855310025161</v>
      </c>
      <c r="AB66" s="330">
        <f t="shared" si="11"/>
        <v>0.28375960609892564</v>
      </c>
      <c r="AC66" s="330">
        <f t="shared" si="11"/>
        <v>0.28023560605498565</v>
      </c>
      <c r="AD66" s="330">
        <f t="shared" si="11"/>
        <v>0.27983207025404133</v>
      </c>
      <c r="AE66" s="330">
        <f t="shared" si="11"/>
        <v>0.27565712833220263</v>
      </c>
      <c r="AF66" s="330">
        <f t="shared" si="11"/>
        <v>0.27514691713321848</v>
      </c>
      <c r="AG66" s="330">
        <f t="shared" si="11"/>
        <v>0.27324402875622711</v>
      </c>
      <c r="AH66" s="330">
        <f t="shared" si="11"/>
        <v>0.27353917422065077</v>
      </c>
      <c r="AI66" s="330">
        <f t="shared" si="11"/>
        <v>0.27163394212291131</v>
      </c>
      <c r="AJ66" s="330">
        <f t="shared" si="11"/>
        <v>0.27042352852540164</v>
      </c>
      <c r="AK66" s="330"/>
    </row>
    <row r="67" spans="1:38">
      <c r="A67" s="6" t="s">
        <v>91</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92</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93</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94</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95</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96</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97</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98</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99</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100</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599</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101</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102</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103</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104</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105</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106</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101</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102</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103</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104</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105</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107</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599</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108</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109</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110</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106</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108</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109</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110</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111</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639</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112</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638</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50" t="s">
        <v>640</v>
      </c>
      <c r="B109" s="550"/>
      <c r="C109" s="550"/>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550"/>
      <c r="AD109" s="550"/>
      <c r="AE109" s="550"/>
      <c r="AF109" s="550"/>
    </row>
    <row r="110" spans="1:38">
      <c r="A110" s="551" t="s">
        <v>641</v>
      </c>
      <c r="B110" s="551"/>
      <c r="C110" s="551"/>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1"/>
    </row>
    <row r="111" spans="1:38">
      <c r="A111" s="551" t="s">
        <v>642</v>
      </c>
      <c r="B111" s="551"/>
      <c r="C111" s="551"/>
      <c r="D111" s="551"/>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row>
    <row r="112" spans="1:38">
      <c r="A112" s="551" t="s">
        <v>643</v>
      </c>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row>
    <row r="113" spans="1:32">
      <c r="A113" s="551" t="s">
        <v>644</v>
      </c>
      <c r="B113" s="551"/>
      <c r="C113" s="551"/>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row>
    <row r="114" spans="1:32">
      <c r="A114" s="551" t="s">
        <v>645</v>
      </c>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row>
    <row r="115" spans="1:32">
      <c r="A115" s="551" t="s">
        <v>646</v>
      </c>
      <c r="B115" s="551"/>
      <c r="C115" s="551"/>
      <c r="D115" s="551"/>
      <c r="E115" s="551"/>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row>
    <row r="116" spans="1:32">
      <c r="A116" s="551" t="s">
        <v>647</v>
      </c>
      <c r="B116" s="551"/>
      <c r="C116" s="551"/>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row>
    <row r="117" spans="1:32">
      <c r="A117" s="551" t="s">
        <v>648</v>
      </c>
      <c r="B117" s="551"/>
      <c r="C117" s="551"/>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row>
    <row r="118" spans="1:32">
      <c r="A118" s="551" t="s">
        <v>649</v>
      </c>
      <c r="B118" s="551"/>
      <c r="C118" s="551"/>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row>
    <row r="119" spans="1:32">
      <c r="A119" s="551" t="s">
        <v>650</v>
      </c>
      <c r="B119" s="551"/>
      <c r="C119" s="551"/>
      <c r="D119" s="551"/>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row>
    <row r="120" spans="1:32">
      <c r="A120" s="551" t="s">
        <v>651</v>
      </c>
      <c r="B120" s="551"/>
      <c r="C120" s="551"/>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row>
    <row r="121" spans="1:32">
      <c r="A121" s="551" t="s">
        <v>652</v>
      </c>
      <c r="B121" s="551"/>
      <c r="C121" s="551"/>
      <c r="D121" s="551"/>
      <c r="E121" s="551"/>
      <c r="F121" s="551"/>
      <c r="G121" s="551"/>
      <c r="H121" s="551"/>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551"/>
    </row>
    <row r="122" spans="1:32">
      <c r="A122" s="551" t="s">
        <v>653</v>
      </c>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row>
    <row r="123" spans="1:32">
      <c r="A123" s="551" t="s">
        <v>654</v>
      </c>
      <c r="B123" s="551"/>
      <c r="C123" s="551"/>
      <c r="D123" s="551"/>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row>
    <row r="124" spans="1:32">
      <c r="A124" s="551" t="s">
        <v>655</v>
      </c>
      <c r="B124" s="551"/>
      <c r="C124" s="551"/>
      <c r="D124" s="551"/>
      <c r="E124" s="551"/>
      <c r="F124" s="551"/>
      <c r="G124" s="551"/>
      <c r="H124" s="551"/>
      <c r="I124" s="551"/>
      <c r="J124" s="551"/>
      <c r="K124" s="551"/>
      <c r="L124" s="551"/>
      <c r="M124" s="551"/>
      <c r="N124" s="551"/>
      <c r="O124" s="551"/>
      <c r="P124" s="551"/>
      <c r="Q124" s="551"/>
      <c r="R124" s="551"/>
      <c r="S124" s="551"/>
      <c r="T124" s="551"/>
      <c r="U124" s="551"/>
      <c r="V124" s="551"/>
      <c r="W124" s="551"/>
      <c r="X124" s="551"/>
      <c r="Y124" s="551"/>
      <c r="Z124" s="551"/>
      <c r="AA124" s="551"/>
      <c r="AB124" s="551"/>
      <c r="AC124" s="551"/>
      <c r="AD124" s="551"/>
      <c r="AE124" s="551"/>
      <c r="AF124" s="551"/>
    </row>
    <row r="125" spans="1:32">
      <c r="A125" s="551" t="s">
        <v>648</v>
      </c>
      <c r="B125" s="551"/>
      <c r="C125" s="551"/>
      <c r="D125" s="551"/>
      <c r="E125" s="551"/>
      <c r="F125" s="551"/>
      <c r="G125" s="551"/>
      <c r="H125" s="551"/>
      <c r="I125" s="551"/>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51"/>
    </row>
    <row r="126" spans="1:32">
      <c r="A126" s="551" t="s">
        <v>656</v>
      </c>
      <c r="B126" s="551"/>
      <c r="C126" s="551"/>
      <c r="D126" s="551"/>
      <c r="E126" s="551"/>
      <c r="F126" s="551"/>
      <c r="G126" s="551"/>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row>
    <row r="127" spans="1:32">
      <c r="A127" s="551" t="s">
        <v>657</v>
      </c>
      <c r="B127" s="551"/>
      <c r="C127" s="551"/>
      <c r="D127" s="551"/>
      <c r="E127" s="551"/>
      <c r="F127" s="551"/>
      <c r="G127" s="551"/>
      <c r="H127" s="551"/>
      <c r="I127" s="551"/>
      <c r="J127" s="551"/>
      <c r="K127" s="551"/>
      <c r="L127" s="551"/>
      <c r="M127" s="551"/>
      <c r="N127" s="551"/>
      <c r="O127" s="551"/>
      <c r="P127" s="551"/>
      <c r="Q127" s="551"/>
      <c r="R127" s="551"/>
      <c r="S127" s="551"/>
      <c r="T127" s="551"/>
      <c r="U127" s="551"/>
      <c r="V127" s="551"/>
      <c r="W127" s="551"/>
      <c r="X127" s="551"/>
      <c r="Y127" s="551"/>
      <c r="Z127" s="551"/>
      <c r="AA127" s="551"/>
      <c r="AB127" s="551"/>
      <c r="AC127" s="551"/>
      <c r="AD127" s="551"/>
      <c r="AE127" s="551"/>
      <c r="AF127" s="551"/>
    </row>
    <row r="128" spans="1:32">
      <c r="A128" s="551" t="s">
        <v>658</v>
      </c>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551"/>
      <c r="Z128" s="551"/>
      <c r="AA128" s="551"/>
      <c r="AB128" s="551"/>
      <c r="AC128" s="551"/>
      <c r="AD128" s="551"/>
      <c r="AE128" s="551"/>
      <c r="AF128" s="551"/>
    </row>
    <row r="129" spans="1:32">
      <c r="A129" s="551" t="s">
        <v>626</v>
      </c>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1"/>
      <c r="X129" s="551"/>
      <c r="Y129" s="551"/>
      <c r="Z129" s="551"/>
      <c r="AA129" s="551"/>
      <c r="AB129" s="551"/>
      <c r="AC129" s="551"/>
      <c r="AD129" s="551"/>
      <c r="AE129" s="551"/>
      <c r="AF129" s="551"/>
    </row>
    <row r="130" spans="1:32">
      <c r="A130" s="551" t="s">
        <v>627</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row>
    <row r="131" spans="1:32">
      <c r="A131" s="551" t="s">
        <v>628</v>
      </c>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row>
    <row r="132" spans="1:32">
      <c r="A132" s="551" t="s">
        <v>659</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row>
    <row r="133" spans="1:32">
      <c r="A133" s="551" t="s">
        <v>660</v>
      </c>
      <c r="B133" s="551"/>
      <c r="C133" s="551"/>
      <c r="D133" s="551"/>
      <c r="E133" s="551"/>
      <c r="F133" s="551"/>
      <c r="G133" s="551"/>
      <c r="H133" s="551"/>
      <c r="I133" s="551"/>
      <c r="J133" s="551"/>
      <c r="K133" s="551"/>
      <c r="L133" s="551"/>
      <c r="M133" s="551"/>
      <c r="N133" s="551"/>
      <c r="O133" s="551"/>
      <c r="P133" s="551"/>
      <c r="Q133" s="551"/>
      <c r="R133" s="551"/>
      <c r="S133" s="551"/>
      <c r="T133" s="551"/>
      <c r="U133" s="551"/>
      <c r="V133" s="551"/>
      <c r="W133" s="551"/>
      <c r="X133" s="551"/>
      <c r="Y133" s="551"/>
      <c r="Z133" s="551"/>
      <c r="AA133" s="551"/>
      <c r="AB133" s="551"/>
      <c r="AC133" s="551"/>
      <c r="AD133" s="551"/>
      <c r="AE133" s="551"/>
      <c r="AF133" s="551"/>
    </row>
    <row r="134" spans="1:32">
      <c r="A134" s="551" t="s">
        <v>661</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row>
    <row r="135" spans="1:32">
      <c r="A135" s="551" t="s">
        <v>662</v>
      </c>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row>
    <row r="136" spans="1:32">
      <c r="A136" s="551" t="s">
        <v>663</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row>
    <row r="137" spans="1:32">
      <c r="A137" s="551" t="s">
        <v>664</v>
      </c>
      <c r="B137" s="551"/>
      <c r="C137" s="551"/>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551"/>
      <c r="Z137" s="551"/>
      <c r="AA137" s="551"/>
      <c r="AB137" s="551"/>
      <c r="AC137" s="551"/>
      <c r="AD137" s="551"/>
      <c r="AE137" s="551"/>
      <c r="AF137" s="551"/>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M122"/>
  <sheetViews>
    <sheetView topLeftCell="A12" workbookViewId="0">
      <selection activeCell="G79" sqref="G79"/>
    </sheetView>
  </sheetViews>
  <sheetFormatPr baseColWidth="10" defaultColWidth="12.5" defaultRowHeight="16" x14ac:dyDescent="0"/>
  <cols>
    <col min="1" max="1" width="47.33203125" style="5" customWidth="1"/>
    <col min="2" max="2" width="23" style="252" bestFit="1" customWidth="1"/>
    <col min="3" max="6" width="12.5" style="252"/>
    <col min="7" max="37" width="12.5" style="303"/>
    <col min="38" max="16384" width="12.5" style="5"/>
  </cols>
  <sheetData>
    <row r="1" spans="1:37">
      <c r="A1" s="269" t="s">
        <v>4</v>
      </c>
    </row>
    <row r="2" spans="1:37">
      <c r="A2" s="273" t="s">
        <v>715</v>
      </c>
    </row>
    <row r="3" spans="1:37">
      <c r="A3" s="273" t="s">
        <v>665</v>
      </c>
    </row>
    <row r="4" spans="1:37">
      <c r="A4" s="273" t="s">
        <v>666</v>
      </c>
    </row>
    <row r="6" spans="1:37">
      <c r="A6" s="6" t="s">
        <v>5</v>
      </c>
    </row>
    <row r="7" spans="1:37">
      <c r="A7" s="6" t="s">
        <v>6</v>
      </c>
    </row>
    <row r="8" spans="1:37">
      <c r="A8" s="78" t="s">
        <v>287</v>
      </c>
    </row>
    <row r="10" spans="1:37">
      <c r="AK10" s="304" t="s">
        <v>725</v>
      </c>
    </row>
    <row r="11" spans="1:37">
      <c r="B11" s="474" t="s">
        <v>7</v>
      </c>
      <c r="C11" s="474" t="s">
        <v>8</v>
      </c>
      <c r="D11" s="474" t="s">
        <v>9</v>
      </c>
      <c r="E11" s="474" t="s">
        <v>10</v>
      </c>
      <c r="F11" s="474" t="s">
        <v>11</v>
      </c>
      <c r="G11" s="304" t="s">
        <v>12</v>
      </c>
      <c r="H11" s="304" t="s">
        <v>13</v>
      </c>
      <c r="I11" s="304" t="s">
        <v>14</v>
      </c>
      <c r="J11" s="304" t="s">
        <v>15</v>
      </c>
      <c r="K11" s="304" t="s">
        <v>16</v>
      </c>
      <c r="L11" s="304" t="s">
        <v>17</v>
      </c>
      <c r="M11" s="304" t="s">
        <v>18</v>
      </c>
      <c r="N11" s="304" t="s">
        <v>19</v>
      </c>
      <c r="O11" s="304" t="s">
        <v>20</v>
      </c>
      <c r="P11" s="304" t="s">
        <v>21</v>
      </c>
      <c r="Q11" s="304" t="s">
        <v>22</v>
      </c>
      <c r="R11" s="304" t="s">
        <v>23</v>
      </c>
      <c r="S11" s="304" t="s">
        <v>24</v>
      </c>
      <c r="T11" s="304" t="s">
        <v>25</v>
      </c>
      <c r="U11" s="304" t="s">
        <v>26</v>
      </c>
      <c r="V11" s="304" t="s">
        <v>27</v>
      </c>
      <c r="W11" s="304" t="s">
        <v>28</v>
      </c>
      <c r="X11" s="304" t="s">
        <v>29</v>
      </c>
      <c r="Y11" s="304" t="s">
        <v>30</v>
      </c>
      <c r="Z11" s="304" t="s">
        <v>31</v>
      </c>
      <c r="AA11" s="304" t="s">
        <v>588</v>
      </c>
      <c r="AB11" s="304" t="s">
        <v>589</v>
      </c>
      <c r="AC11" s="304" t="s">
        <v>590</v>
      </c>
      <c r="AD11" s="304" t="s">
        <v>591</v>
      </c>
      <c r="AE11" s="304" t="s">
        <v>592</v>
      </c>
      <c r="AF11" s="304" t="s">
        <v>593</v>
      </c>
      <c r="AG11" s="304" t="s">
        <v>594</v>
      </c>
      <c r="AH11" s="304" t="s">
        <v>595</v>
      </c>
      <c r="AI11" s="304" t="s">
        <v>596</v>
      </c>
      <c r="AJ11" s="304" t="s">
        <v>597</v>
      </c>
      <c r="AK11" s="304">
        <v>2040</v>
      </c>
    </row>
    <row r="12" spans="1:37">
      <c r="B12" s="475"/>
      <c r="C12" s="475"/>
      <c r="D12" s="475"/>
      <c r="E12" s="475"/>
      <c r="F12" s="475"/>
    </row>
    <row r="13" spans="1:37">
      <c r="B13" s="475"/>
      <c r="C13" s="475"/>
      <c r="D13" s="475"/>
      <c r="E13" s="475"/>
      <c r="F13" s="475"/>
    </row>
    <row r="14" spans="1:37">
      <c r="A14" s="6" t="s">
        <v>32</v>
      </c>
      <c r="B14" s="475"/>
      <c r="C14" s="475"/>
      <c r="D14" s="475"/>
      <c r="E14" s="475"/>
      <c r="F14" s="475"/>
    </row>
    <row r="15" spans="1:37">
      <c r="A15" s="6" t="s">
        <v>33</v>
      </c>
      <c r="B15" s="475"/>
      <c r="C15" s="475"/>
      <c r="D15" s="475"/>
      <c r="E15" s="475"/>
      <c r="F15" s="475"/>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667</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668</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669</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s="497"/>
      <c r="C33" s="497"/>
      <c r="D33" s="497"/>
      <c r="E33" s="497"/>
      <c r="F33" s="497"/>
      <c r="G33" s="509">
        <v>1E-3</v>
      </c>
      <c r="H33" s="509">
        <v>1E-3</v>
      </c>
      <c r="I33" s="509">
        <v>1E-3</v>
      </c>
      <c r="J33" s="509">
        <v>1E-3</v>
      </c>
      <c r="K33" s="509">
        <v>1E-3</v>
      </c>
      <c r="L33" s="509">
        <v>1E-3</v>
      </c>
      <c r="M33" s="509">
        <v>1E-3</v>
      </c>
      <c r="N33" s="509">
        <v>1E-3</v>
      </c>
      <c r="O33" s="509">
        <v>1E-3</v>
      </c>
      <c r="P33" s="509">
        <v>1E-3</v>
      </c>
      <c r="Q33" s="509">
        <v>1E-3</v>
      </c>
      <c r="R33" s="509">
        <v>1E-3</v>
      </c>
      <c r="S33" s="509">
        <v>1E-3</v>
      </c>
      <c r="T33" s="509">
        <v>1E-3</v>
      </c>
      <c r="U33" s="509">
        <v>1E-3</v>
      </c>
      <c r="V33" s="509">
        <v>1E-3</v>
      </c>
      <c r="W33" s="509">
        <v>1E-3</v>
      </c>
      <c r="X33" s="509">
        <v>1E-3</v>
      </c>
      <c r="Y33" s="509">
        <v>1E-3</v>
      </c>
      <c r="Z33" s="509">
        <v>1E-3</v>
      </c>
      <c r="AA33" s="509">
        <v>1E-3</v>
      </c>
      <c r="AB33" s="509">
        <v>1E-3</v>
      </c>
      <c r="AC33" s="509">
        <v>1E-3</v>
      </c>
      <c r="AD33" s="509">
        <v>1E-3</v>
      </c>
      <c r="AE33" s="509">
        <v>1E-3</v>
      </c>
      <c r="AF33" s="509">
        <v>1E-3</v>
      </c>
      <c r="AG33" s="509">
        <v>1E-3</v>
      </c>
      <c r="AH33" s="509">
        <v>1E-3</v>
      </c>
      <c r="AI33" s="509">
        <v>1E-3</v>
      </c>
      <c r="AJ33" s="509">
        <v>1E-3</v>
      </c>
      <c r="AK33"/>
    </row>
    <row r="34" spans="1:39" s="18" customFormat="1">
      <c r="A34" s="17" t="s">
        <v>670</v>
      </c>
      <c r="B34" s="497"/>
      <c r="C34" s="497"/>
      <c r="D34" s="497"/>
      <c r="E34" s="497"/>
      <c r="F34" s="497"/>
      <c r="G34" s="509">
        <v>6.0000000000000001E-3</v>
      </c>
      <c r="H34" s="509">
        <v>5.2999999999999999E-2</v>
      </c>
      <c r="I34" s="509">
        <v>5.2912000000000001E-2</v>
      </c>
      <c r="J34" s="509">
        <v>5.2847999999999999E-2</v>
      </c>
      <c r="K34" s="509">
        <v>5.2773E-2</v>
      </c>
      <c r="L34" s="509">
        <v>5.2773E-2</v>
      </c>
      <c r="M34" s="509">
        <v>5.2771999999999999E-2</v>
      </c>
      <c r="N34" s="509">
        <v>5.2679999999999998E-2</v>
      </c>
      <c r="O34" s="509">
        <v>5.2675E-2</v>
      </c>
      <c r="P34" s="509">
        <v>5.2752E-2</v>
      </c>
      <c r="Q34" s="509">
        <v>5.2784999999999999E-2</v>
      </c>
      <c r="R34" s="509">
        <v>5.2782000000000003E-2</v>
      </c>
      <c r="S34" s="509">
        <v>5.2780000000000001E-2</v>
      </c>
      <c r="T34" s="509">
        <v>5.2729999999999999E-2</v>
      </c>
      <c r="U34" s="509">
        <v>5.2685999999999997E-2</v>
      </c>
      <c r="V34" s="509">
        <v>5.2685999999999997E-2</v>
      </c>
      <c r="W34" s="509">
        <v>5.2728999999999998E-2</v>
      </c>
      <c r="X34" s="509">
        <v>5.2641E-2</v>
      </c>
      <c r="Y34" s="509">
        <v>5.2680999999999999E-2</v>
      </c>
      <c r="Z34" s="509">
        <v>5.2734999999999997E-2</v>
      </c>
      <c r="AA34" s="509">
        <v>5.2715999999999999E-2</v>
      </c>
      <c r="AB34" s="509">
        <v>5.2715999999999999E-2</v>
      </c>
      <c r="AC34" s="509">
        <v>5.2718000000000001E-2</v>
      </c>
      <c r="AD34" s="509">
        <v>5.2672999999999998E-2</v>
      </c>
      <c r="AE34" s="509">
        <v>5.2718000000000001E-2</v>
      </c>
      <c r="AF34" s="509">
        <v>5.2729999999999999E-2</v>
      </c>
      <c r="AG34" s="509">
        <v>5.2727999999999997E-2</v>
      </c>
      <c r="AH34" s="509">
        <v>5.2676000000000001E-2</v>
      </c>
      <c r="AI34" s="509">
        <v>5.2767000000000001E-2</v>
      </c>
      <c r="AJ34" s="509">
        <v>5.2720000000000003E-2</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671</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672</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670</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672</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670</v>
      </c>
      <c r="B54"/>
      <c r="C54"/>
      <c r="D54"/>
      <c r="E54"/>
      <c r="F54"/>
      <c r="G54" s="509">
        <v>0.10515099999999999</v>
      </c>
      <c r="H54" s="509">
        <v>0.181751</v>
      </c>
      <c r="I54" s="509">
        <v>0.25749100000000003</v>
      </c>
      <c r="J54" s="509">
        <v>0.32264400000000004</v>
      </c>
      <c r="K54" s="509">
        <v>0.38070700000000002</v>
      </c>
      <c r="L54" s="509">
        <v>0.43086599999999997</v>
      </c>
      <c r="M54" s="509">
        <v>0.43435599999999996</v>
      </c>
      <c r="N54" s="509">
        <v>0.44001299999999999</v>
      </c>
      <c r="O54" s="509">
        <v>0.44943599999999995</v>
      </c>
      <c r="P54" s="509">
        <v>0.46376700000000004</v>
      </c>
      <c r="Q54" s="509">
        <v>0.47982800000000003</v>
      </c>
      <c r="R54" s="509">
        <v>0.49674200000000002</v>
      </c>
      <c r="S54" s="509">
        <v>0.51492099999999996</v>
      </c>
      <c r="T54" s="509">
        <v>0.53562700000000008</v>
      </c>
      <c r="U54" s="509">
        <v>0.55918400000000001</v>
      </c>
      <c r="V54" s="509">
        <v>0.58395200000000003</v>
      </c>
      <c r="W54" s="509">
        <v>0.61032500000000001</v>
      </c>
      <c r="X54" s="509">
        <v>0.63780199999999998</v>
      </c>
      <c r="Y54" s="509">
        <v>0.66662600000000005</v>
      </c>
      <c r="Z54" s="509">
        <v>0.69787299999999997</v>
      </c>
      <c r="AA54" s="509">
        <v>0.72970000000000002</v>
      </c>
      <c r="AB54" s="509">
        <v>0.761324</v>
      </c>
      <c r="AC54" s="509">
        <v>0.79276599999999997</v>
      </c>
      <c r="AD54" s="509">
        <v>0.82454799999999995</v>
      </c>
      <c r="AE54" s="509">
        <v>0.85692400000000002</v>
      </c>
      <c r="AF54" s="509">
        <v>0.88983699999999999</v>
      </c>
      <c r="AG54" s="509">
        <v>0.923037</v>
      </c>
      <c r="AH54" s="509">
        <v>0.95643800000000001</v>
      </c>
      <c r="AI54" s="509">
        <v>0.99025700000000005</v>
      </c>
      <c r="AJ54" s="509">
        <v>1.024494</v>
      </c>
      <c r="AK54"/>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s="252" customFormat="1">
      <c r="A57" s="252" t="s">
        <v>356</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row>
    <row r="58" spans="1:39" s="252" customFormat="1">
      <c r="A58" s="251" t="s">
        <v>355</v>
      </c>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c r="A59" s="6"/>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c r="A60" s="6" t="s">
        <v>49</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c r="A61" s="6" t="s">
        <v>50</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c r="A62" s="6" t="s">
        <v>51</v>
      </c>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row>
    <row r="63" spans="1:39">
      <c r="A63" s="6" t="s">
        <v>52</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row>
    <row r="64" spans="1:39">
      <c r="A64" s="6" t="s">
        <v>53</v>
      </c>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row>
    <row r="65" spans="1:39">
      <c r="A65" s="6" t="s">
        <v>673</v>
      </c>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row>
    <row r="66" spans="1:39">
      <c r="A66" s="6" t="s">
        <v>674</v>
      </c>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row>
    <row r="67" spans="1:39">
      <c r="A67" s="6" t="s">
        <v>55</v>
      </c>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c r="A68" s="6" t="s">
        <v>56</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c r="A69" s="6"/>
      <c r="B69" s="476"/>
      <c r="C69" s="476"/>
      <c r="D69" s="476"/>
      <c r="E69" s="476"/>
      <c r="F69" s="476"/>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2"/>
    </row>
    <row r="70" spans="1:39" s="90" customFormat="1">
      <c r="B70" s="477" t="s">
        <v>7</v>
      </c>
      <c r="C70" s="477" t="s">
        <v>8</v>
      </c>
      <c r="D70" s="477" t="s">
        <v>9</v>
      </c>
      <c r="E70" s="477" t="s">
        <v>10</v>
      </c>
      <c r="F70" s="477" t="s">
        <v>11</v>
      </c>
      <c r="G70" s="323" t="s">
        <v>12</v>
      </c>
      <c r="H70" s="323" t="s">
        <v>13</v>
      </c>
      <c r="I70" s="323" t="s">
        <v>14</v>
      </c>
      <c r="J70" s="323" t="s">
        <v>15</v>
      </c>
      <c r="K70" s="323" t="s">
        <v>16</v>
      </c>
      <c r="L70" s="323" t="s">
        <v>17</v>
      </c>
      <c r="M70" s="323" t="s">
        <v>18</v>
      </c>
      <c r="N70" s="323" t="s">
        <v>19</v>
      </c>
      <c r="O70" s="323" t="s">
        <v>20</v>
      </c>
      <c r="P70" s="323" t="s">
        <v>21</v>
      </c>
      <c r="Q70" s="323" t="s">
        <v>22</v>
      </c>
      <c r="R70" s="323" t="s">
        <v>23</v>
      </c>
      <c r="S70" s="323" t="s">
        <v>24</v>
      </c>
      <c r="T70" s="323" t="s">
        <v>25</v>
      </c>
      <c r="U70" s="323" t="s">
        <v>26</v>
      </c>
      <c r="V70" s="323" t="s">
        <v>27</v>
      </c>
      <c r="W70" s="323" t="s">
        <v>28</v>
      </c>
      <c r="X70" s="323" t="s">
        <v>29</v>
      </c>
      <c r="Y70" s="323" t="s">
        <v>30</v>
      </c>
      <c r="Z70" s="323" t="s">
        <v>31</v>
      </c>
      <c r="AA70" s="323" t="s">
        <v>588</v>
      </c>
      <c r="AB70" s="323" t="s">
        <v>589</v>
      </c>
      <c r="AC70" s="323" t="s">
        <v>590</v>
      </c>
      <c r="AD70" s="323" t="s">
        <v>591</v>
      </c>
      <c r="AE70" s="323" t="s">
        <v>592</v>
      </c>
      <c r="AF70" s="323" t="s">
        <v>593</v>
      </c>
      <c r="AG70" s="323" t="s">
        <v>594</v>
      </c>
      <c r="AH70" s="323" t="s">
        <v>595</v>
      </c>
      <c r="AI70" s="323" t="s">
        <v>596</v>
      </c>
      <c r="AJ70" s="323" t="s">
        <v>597</v>
      </c>
      <c r="AK70" s="323" t="s">
        <v>600</v>
      </c>
    </row>
    <row r="71" spans="1:39">
      <c r="B71" s="475"/>
      <c r="C71" s="475"/>
      <c r="D71" s="475"/>
      <c r="E71" s="475"/>
      <c r="F71" s="475"/>
    </row>
    <row r="72" spans="1:39" s="18" customFormat="1">
      <c r="A72" s="17" t="s">
        <v>57</v>
      </c>
      <c r="B72" s="478"/>
      <c r="C72" s="478"/>
      <c r="D72" s="478"/>
      <c r="E72" s="478"/>
      <c r="F72" s="478"/>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row>
    <row r="73" spans="1:39" s="18" customFormat="1">
      <c r="A73" s="17" t="s">
        <v>51</v>
      </c>
      <c r="B73" s="498">
        <v>27.344999999999999</v>
      </c>
      <c r="C73" s="498">
        <v>25.253</v>
      </c>
      <c r="D73" s="498">
        <v>26.722999999999999</v>
      </c>
      <c r="E73" s="498">
        <v>27.614999999999998</v>
      </c>
      <c r="F73" s="498">
        <v>25.472000000000001</v>
      </c>
      <c r="G73" s="509">
        <v>27.987073000000002</v>
      </c>
      <c r="H73" s="509">
        <v>24.643389000000003</v>
      </c>
      <c r="I73" s="509">
        <v>26.887491000000001</v>
      </c>
      <c r="J73" s="509">
        <v>27.478017999999999</v>
      </c>
      <c r="K73" s="509">
        <v>28.038938999999999</v>
      </c>
      <c r="L73" s="509">
        <v>28.626042999999999</v>
      </c>
      <c r="M73" s="509">
        <v>28.938745000000001</v>
      </c>
      <c r="N73" s="509">
        <v>28.938745000000001</v>
      </c>
      <c r="O73" s="509">
        <v>28.938745000000001</v>
      </c>
      <c r="P73" s="509">
        <v>28.938745000000001</v>
      </c>
      <c r="Q73" s="509">
        <v>28.938745000000001</v>
      </c>
      <c r="R73" s="509">
        <v>28.938738000000001</v>
      </c>
      <c r="S73" s="509">
        <v>29.125654000000001</v>
      </c>
      <c r="T73" s="509">
        <v>29.12565</v>
      </c>
      <c r="U73" s="509">
        <v>29.125658000000001</v>
      </c>
      <c r="V73" s="509">
        <v>29.125661999999998</v>
      </c>
      <c r="W73" s="509">
        <v>29.125661999999998</v>
      </c>
      <c r="X73" s="509">
        <v>29.125654000000001</v>
      </c>
      <c r="Y73" s="509">
        <v>29.125661999999998</v>
      </c>
      <c r="Z73" s="509">
        <v>29.125661999999998</v>
      </c>
      <c r="AA73" s="509">
        <v>29.125661999999998</v>
      </c>
      <c r="AB73" s="509">
        <v>29.125661999999998</v>
      </c>
      <c r="AC73" s="509">
        <v>29.125661999999998</v>
      </c>
      <c r="AD73" s="509">
        <v>29.125661999999998</v>
      </c>
      <c r="AE73" s="509">
        <v>29.125661999999998</v>
      </c>
      <c r="AF73" s="509">
        <v>29.125661999999998</v>
      </c>
      <c r="AG73" s="509">
        <v>29.125661999999998</v>
      </c>
      <c r="AH73" s="509">
        <v>29.125661999999998</v>
      </c>
      <c r="AI73" s="509">
        <v>29.125661999999998</v>
      </c>
      <c r="AJ73" s="509">
        <v>29.125661999999998</v>
      </c>
      <c r="AK73" s="493"/>
    </row>
    <row r="74" spans="1:39" s="18" customFormat="1">
      <c r="A74" s="17" t="s">
        <v>52</v>
      </c>
      <c r="B74" s="498">
        <v>1E-4</v>
      </c>
      <c r="C74" s="498">
        <v>1E-4</v>
      </c>
      <c r="D74" s="498">
        <v>1E-4</v>
      </c>
      <c r="E74" s="498">
        <v>1E-4</v>
      </c>
      <c r="F74" s="498">
        <v>1E-4</v>
      </c>
      <c r="G74" s="498">
        <v>1E-4</v>
      </c>
      <c r="H74" s="498">
        <v>1E-4</v>
      </c>
      <c r="I74" s="498">
        <v>1E-4</v>
      </c>
      <c r="J74" s="498">
        <v>1E-4</v>
      </c>
      <c r="K74" s="498">
        <v>1E-4</v>
      </c>
      <c r="L74" s="498">
        <v>1E-4</v>
      </c>
      <c r="M74" s="498">
        <v>1E-4</v>
      </c>
      <c r="N74" s="498">
        <v>1E-4</v>
      </c>
      <c r="O74" s="498">
        <v>1E-4</v>
      </c>
      <c r="P74" s="498">
        <v>1E-4</v>
      </c>
      <c r="Q74" s="498">
        <v>1E-4</v>
      </c>
      <c r="R74" s="498">
        <v>1E-4</v>
      </c>
      <c r="S74" s="498">
        <v>1E-4</v>
      </c>
      <c r="T74" s="498">
        <v>1E-4</v>
      </c>
      <c r="U74" s="498">
        <v>1E-4</v>
      </c>
      <c r="V74" s="498">
        <v>1E-4</v>
      </c>
      <c r="W74" s="498">
        <v>1E-4</v>
      </c>
      <c r="X74" s="498">
        <v>1E-4</v>
      </c>
      <c r="Y74" s="498">
        <v>1E-4</v>
      </c>
      <c r="Z74" s="498">
        <v>1E-4</v>
      </c>
      <c r="AA74" s="498">
        <v>1E-4</v>
      </c>
      <c r="AB74" s="498">
        <v>1E-4</v>
      </c>
      <c r="AC74" s="498">
        <v>1E-4</v>
      </c>
      <c r="AD74" s="498">
        <v>1E-4</v>
      </c>
      <c r="AE74" s="498">
        <v>1E-4</v>
      </c>
      <c r="AF74" s="498">
        <v>1E-4</v>
      </c>
      <c r="AG74" s="498">
        <v>1E-4</v>
      </c>
      <c r="AH74" s="498">
        <v>1E-4</v>
      </c>
      <c r="AI74" s="498">
        <v>1E-4</v>
      </c>
      <c r="AJ74" s="498">
        <v>1E-4</v>
      </c>
      <c r="AK74" s="493"/>
    </row>
    <row r="75" spans="1:39" s="18" customFormat="1">
      <c r="A75" s="17" t="s">
        <v>53</v>
      </c>
      <c r="B75" s="498">
        <v>1.41</v>
      </c>
      <c r="C75" s="498">
        <v>1.4419999999999999</v>
      </c>
      <c r="D75" s="498">
        <v>1.5129999999999999</v>
      </c>
      <c r="E75" s="498">
        <v>1.665</v>
      </c>
      <c r="F75" s="498">
        <v>1.671</v>
      </c>
      <c r="G75" s="509">
        <v>1.278905</v>
      </c>
      <c r="H75" s="509">
        <v>1.5085790000000001</v>
      </c>
      <c r="I75" s="509">
        <v>1.7970999999999999</v>
      </c>
      <c r="J75" s="509">
        <v>1.790778</v>
      </c>
      <c r="K75" s="509">
        <v>1.7909899999999999</v>
      </c>
      <c r="L75" s="509">
        <v>1.7915289999999999</v>
      </c>
      <c r="M75" s="509">
        <v>1.792092</v>
      </c>
      <c r="N75" s="509">
        <v>1.7866919999999999</v>
      </c>
      <c r="O75" s="509">
        <v>1.7866489999999999</v>
      </c>
      <c r="P75" s="509">
        <v>1.7870279999999998</v>
      </c>
      <c r="Q75" s="509">
        <v>1.7871539999999999</v>
      </c>
      <c r="R75" s="509">
        <v>1.7870550000000001</v>
      </c>
      <c r="S75" s="509">
        <v>1.786902</v>
      </c>
      <c r="T75" s="509">
        <v>1.7866580000000001</v>
      </c>
      <c r="U75" s="509">
        <v>1.786424</v>
      </c>
      <c r="V75" s="509">
        <v>1.7861659999999999</v>
      </c>
      <c r="W75" s="509">
        <v>1.785868</v>
      </c>
      <c r="X75" s="509">
        <v>1.7855379999999998</v>
      </c>
      <c r="Y75" s="509">
        <v>1.7852600000000001</v>
      </c>
      <c r="Z75" s="509">
        <v>1.785067</v>
      </c>
      <c r="AA75" s="509">
        <v>1.7848790000000001</v>
      </c>
      <c r="AB75" s="509">
        <v>1.784672</v>
      </c>
      <c r="AC75" s="509">
        <v>1.784473</v>
      </c>
      <c r="AD75" s="509">
        <v>1.784278</v>
      </c>
      <c r="AE75" s="509">
        <v>1.7840669999999998</v>
      </c>
      <c r="AF75" s="509">
        <v>1.7838669999999999</v>
      </c>
      <c r="AG75" s="509">
        <v>1.783684</v>
      </c>
      <c r="AH75" s="509">
        <v>1.7835160000000001</v>
      </c>
      <c r="AI75" s="509">
        <v>1.7833410000000001</v>
      </c>
      <c r="AJ75" s="509">
        <v>1.8759639999999997</v>
      </c>
      <c r="AK75" s="493"/>
    </row>
    <row r="76" spans="1:39" s="18" customFormat="1">
      <c r="A76" s="17" t="s">
        <v>58</v>
      </c>
      <c r="B76" s="499">
        <v>0.53200000000000003</v>
      </c>
      <c r="C76" s="499">
        <v>0.499</v>
      </c>
      <c r="D76" s="499">
        <v>0.55500000000000005</v>
      </c>
      <c r="E76" s="499">
        <v>0.53600000000000003</v>
      </c>
      <c r="F76" s="499">
        <v>0.54700000000000004</v>
      </c>
      <c r="G76" s="509">
        <v>0.44224799999999997</v>
      </c>
      <c r="H76" s="509">
        <v>0.48198000000000002</v>
      </c>
      <c r="I76" s="509">
        <v>0.63358099999999995</v>
      </c>
      <c r="J76" s="509">
        <v>0.68125100000000005</v>
      </c>
      <c r="K76" s="509">
        <v>0.78069</v>
      </c>
      <c r="L76" s="509">
        <v>0.80613000000000001</v>
      </c>
      <c r="M76" s="509">
        <v>1.2279640000000001</v>
      </c>
      <c r="N76" s="509">
        <v>1.256521</v>
      </c>
      <c r="O76" s="509">
        <v>1.3124800000000001</v>
      </c>
      <c r="P76" s="509">
        <v>1.3388679999999999</v>
      </c>
      <c r="Q76" s="509">
        <v>1.502489</v>
      </c>
      <c r="R76" s="509">
        <v>1.758953</v>
      </c>
      <c r="S76" s="509">
        <v>1.8163640000000001</v>
      </c>
      <c r="T76" s="509">
        <v>1.845207</v>
      </c>
      <c r="U76" s="509">
        <v>1.645718</v>
      </c>
      <c r="V76" s="509">
        <v>1.6508769999999999</v>
      </c>
      <c r="W76" s="509">
        <v>1.6608959999999999</v>
      </c>
      <c r="X76" s="509">
        <v>1.599113</v>
      </c>
      <c r="Y76" s="509">
        <v>1.6427830000000001</v>
      </c>
      <c r="Z76" s="509">
        <v>1.6613659999999999</v>
      </c>
      <c r="AA76" s="509">
        <v>1.6801200000000001</v>
      </c>
      <c r="AB76" s="509">
        <v>1.666647</v>
      </c>
      <c r="AC76" s="509">
        <v>1.683794</v>
      </c>
      <c r="AD76" s="509">
        <v>1.703875</v>
      </c>
      <c r="AE76" s="509">
        <v>1.7213780000000001</v>
      </c>
      <c r="AF76" s="509">
        <v>1.8091550000000001</v>
      </c>
      <c r="AG76" s="509">
        <v>1.7856780000000001</v>
      </c>
      <c r="AH76" s="509">
        <v>1.8053110000000001</v>
      </c>
      <c r="AI76" s="509">
        <v>1.828357</v>
      </c>
      <c r="AJ76" s="509">
        <v>1.847375</v>
      </c>
      <c r="AK76" s="493"/>
    </row>
    <row r="77" spans="1:39" s="18" customFormat="1">
      <c r="A77" s="17" t="s">
        <v>54</v>
      </c>
      <c r="B77" s="498">
        <v>0.65500000000000003</v>
      </c>
      <c r="C77" s="498">
        <v>0.83299999999999996</v>
      </c>
      <c r="D77" s="498">
        <v>1.2509999999999999</v>
      </c>
      <c r="E77" s="498">
        <v>2.266</v>
      </c>
      <c r="F77" s="498">
        <v>2.5960000000000001</v>
      </c>
      <c r="G77" s="509">
        <v>0.12620899999999999</v>
      </c>
      <c r="H77" s="509">
        <v>0.26159700000000002</v>
      </c>
      <c r="I77" s="509">
        <v>0.34909599999999996</v>
      </c>
      <c r="J77" s="509">
        <v>0.42460100000000001</v>
      </c>
      <c r="K77" s="509">
        <v>0.49194399999999999</v>
      </c>
      <c r="L77" s="509">
        <v>0.55020099999999994</v>
      </c>
      <c r="M77" s="509">
        <v>0.55429200000000001</v>
      </c>
      <c r="N77" s="509">
        <v>0.56083700000000003</v>
      </c>
      <c r="O77" s="509">
        <v>0.57190099999999999</v>
      </c>
      <c r="P77" s="509">
        <v>0.58884199999999998</v>
      </c>
      <c r="Q77" s="509">
        <v>0.60777100000000006</v>
      </c>
      <c r="R77" s="509">
        <v>0.62766600000000006</v>
      </c>
      <c r="S77" s="509">
        <v>0.64905900000000005</v>
      </c>
      <c r="T77" s="509">
        <v>0.67337500000000006</v>
      </c>
      <c r="U77" s="509">
        <v>0.70103099999999996</v>
      </c>
      <c r="V77" s="509">
        <v>0.73014099999999993</v>
      </c>
      <c r="W77" s="509">
        <v>0.76116000000000006</v>
      </c>
      <c r="X77" s="509">
        <v>0.79332999999999998</v>
      </c>
      <c r="Y77" s="509">
        <v>0.82719600000000004</v>
      </c>
      <c r="Z77" s="509">
        <v>0.86387799999999992</v>
      </c>
      <c r="AA77" s="509">
        <v>0.90116300000000005</v>
      </c>
      <c r="AB77" s="509">
        <v>0.93823199999999995</v>
      </c>
      <c r="AC77" s="509">
        <v>0.97509399999999991</v>
      </c>
      <c r="AD77" s="509">
        <v>1.0123059999999999</v>
      </c>
      <c r="AE77" s="509">
        <v>1.0503020000000001</v>
      </c>
      <c r="AF77" s="509">
        <v>1.0888960000000001</v>
      </c>
      <c r="AG77" s="509">
        <v>1.1278109999999999</v>
      </c>
      <c r="AH77" s="509">
        <v>1.1669100000000001</v>
      </c>
      <c r="AI77" s="509">
        <v>1.2066400000000002</v>
      </c>
      <c r="AJ77" s="509">
        <v>1.2467199999999998</v>
      </c>
      <c r="AK77" s="493"/>
    </row>
    <row r="78" spans="1:39" s="18" customFormat="1">
      <c r="A78" s="17" t="s">
        <v>55</v>
      </c>
      <c r="B78" s="498">
        <v>0.52200000000000002</v>
      </c>
      <c r="C78" s="498">
        <v>0.49199999999999999</v>
      </c>
      <c r="D78" s="498">
        <v>0.55500000000000005</v>
      </c>
      <c r="E78" s="498">
        <v>0.53600000000000003</v>
      </c>
      <c r="F78" s="498">
        <v>0.54700000000000004</v>
      </c>
      <c r="G78" s="509">
        <v>2.8336169999999998</v>
      </c>
      <c r="H78" s="509">
        <v>3.0153599999999998</v>
      </c>
      <c r="I78" s="509">
        <v>3.4934239999999996</v>
      </c>
      <c r="J78" s="509">
        <v>3.734051</v>
      </c>
      <c r="K78" s="509">
        <v>3.83405</v>
      </c>
      <c r="L78" s="509">
        <v>3.895349</v>
      </c>
      <c r="M78" s="509">
        <v>3.8958120000000003</v>
      </c>
      <c r="N78" s="509">
        <v>3.8955290000000002</v>
      </c>
      <c r="O78" s="509">
        <v>3.8951469999999997</v>
      </c>
      <c r="P78" s="509">
        <v>3.8965240000000003</v>
      </c>
      <c r="Q78" s="509">
        <v>3.8968780000000001</v>
      </c>
      <c r="R78" s="509">
        <v>3.8981699999999999</v>
      </c>
      <c r="S78" s="509">
        <v>3.9005350000000001</v>
      </c>
      <c r="T78" s="509">
        <v>3.9062359999999998</v>
      </c>
      <c r="U78" s="509">
        <v>3.9161950000000001</v>
      </c>
      <c r="V78" s="509">
        <v>3.9291140000000002</v>
      </c>
      <c r="W78" s="509">
        <v>3.9445140000000003</v>
      </c>
      <c r="X78" s="509">
        <v>3.9608680000000001</v>
      </c>
      <c r="Y78" s="509">
        <v>3.9772299999999996</v>
      </c>
      <c r="Z78" s="509">
        <v>3.9940540000000002</v>
      </c>
      <c r="AA78" s="509">
        <v>4.0105360000000001</v>
      </c>
      <c r="AB78" s="509">
        <v>4.0266349999999997</v>
      </c>
      <c r="AC78" s="509">
        <v>4.042122</v>
      </c>
      <c r="AD78" s="509">
        <v>4.0588839999999999</v>
      </c>
      <c r="AE78" s="509">
        <v>4.0768009999999997</v>
      </c>
      <c r="AF78" s="509">
        <v>4.0961100000000004</v>
      </c>
      <c r="AG78" s="509">
        <v>4.1142349999999999</v>
      </c>
      <c r="AH78" s="509">
        <v>4.1324680000000003</v>
      </c>
      <c r="AI78" s="509">
        <v>4.1531580000000003</v>
      </c>
      <c r="AJ78" s="509">
        <v>4.174531</v>
      </c>
      <c r="AK78" s="493"/>
    </row>
    <row r="79" spans="1:39" s="18" customFormat="1">
      <c r="A79" s="17" t="s">
        <v>56</v>
      </c>
      <c r="B79" s="500">
        <v>29.940999999999999</v>
      </c>
      <c r="C79" s="500">
        <v>28.027999999999999</v>
      </c>
      <c r="D79" s="500">
        <v>30.042000000000002</v>
      </c>
      <c r="E79" s="500">
        <v>32.082000000000001</v>
      </c>
      <c r="F79" s="500">
        <v>30.286000000000001</v>
      </c>
      <c r="G79" s="510">
        <v>32.668050000000001</v>
      </c>
      <c r="H79" s="510">
        <v>29.910905000000003</v>
      </c>
      <c r="I79" s="510">
        <v>33.160691</v>
      </c>
      <c r="J79" s="510">
        <v>34.108702000000001</v>
      </c>
      <c r="K79" s="510">
        <v>34.936612000000004</v>
      </c>
      <c r="L79" s="510">
        <v>35.669250999999996</v>
      </c>
      <c r="M79" s="510">
        <v>36.408904999999997</v>
      </c>
      <c r="N79" s="510">
        <v>36.438324999999999</v>
      </c>
      <c r="O79" s="510">
        <v>36.504922999999998</v>
      </c>
      <c r="P79" s="510">
        <v>36.55001</v>
      </c>
      <c r="Q79" s="510">
        <v>36.733036999999996</v>
      </c>
      <c r="R79" s="510">
        <v>37.010581999999999</v>
      </c>
      <c r="S79" s="510">
        <v>37.278511999999999</v>
      </c>
      <c r="T79" s="510">
        <v>37.337128999999997</v>
      </c>
      <c r="U79" s="510">
        <v>37.175027</v>
      </c>
      <c r="V79" s="510">
        <v>37.221958000000001</v>
      </c>
      <c r="W79" s="510">
        <v>37.278103000000002</v>
      </c>
      <c r="X79" s="510">
        <v>37.264503000000005</v>
      </c>
      <c r="Y79" s="510">
        <v>37.358131</v>
      </c>
      <c r="Z79" s="510">
        <v>37.430025000000001</v>
      </c>
      <c r="AA79" s="510">
        <v>37.502359000000006</v>
      </c>
      <c r="AB79" s="510">
        <v>37.541848999999999</v>
      </c>
      <c r="AC79" s="510">
        <v>37.611147000000003</v>
      </c>
      <c r="AD79" s="510">
        <v>37.685004999999997</v>
      </c>
      <c r="AE79" s="510">
        <v>37.758209000000001</v>
      </c>
      <c r="AF79" s="510">
        <v>37.903689999999997</v>
      </c>
      <c r="AG79" s="510">
        <v>37.937066000000002</v>
      </c>
      <c r="AH79" s="510">
        <v>38.013863000000001</v>
      </c>
      <c r="AI79" s="510">
        <v>38.097155999999998</v>
      </c>
      <c r="AJ79" s="510">
        <v>38.270249999999997</v>
      </c>
      <c r="AK79" s="494"/>
    </row>
    <row r="80" spans="1:39" s="256" customFormat="1">
      <c r="A80" s="255" t="s">
        <v>59</v>
      </c>
      <c r="B80" s="479">
        <f>B79*1000</f>
        <v>29941</v>
      </c>
      <c r="C80" s="479">
        <f t="shared" ref="C80:AJ80" si="0">C79*1000</f>
        <v>28028</v>
      </c>
      <c r="D80" s="479">
        <f t="shared" si="0"/>
        <v>30042</v>
      </c>
      <c r="E80" s="479">
        <f t="shared" si="0"/>
        <v>32082</v>
      </c>
      <c r="F80" s="479">
        <f t="shared" si="0"/>
        <v>30286</v>
      </c>
      <c r="G80" s="277">
        <f t="shared" si="0"/>
        <v>32668.05</v>
      </c>
      <c r="H80" s="277">
        <f t="shared" si="0"/>
        <v>29910.905000000002</v>
      </c>
      <c r="I80" s="277">
        <f t="shared" si="0"/>
        <v>33160.690999999999</v>
      </c>
      <c r="J80" s="277">
        <f t="shared" si="0"/>
        <v>34108.701999999997</v>
      </c>
      <c r="K80" s="277">
        <f t="shared" si="0"/>
        <v>34936.612000000001</v>
      </c>
      <c r="L80" s="277">
        <f t="shared" si="0"/>
        <v>35669.250999999997</v>
      </c>
      <c r="M80" s="277">
        <f t="shared" si="0"/>
        <v>36408.904999999999</v>
      </c>
      <c r="N80" s="277">
        <f t="shared" si="0"/>
        <v>36438.324999999997</v>
      </c>
      <c r="O80" s="277">
        <f t="shared" si="0"/>
        <v>36504.922999999995</v>
      </c>
      <c r="P80" s="277">
        <f t="shared" si="0"/>
        <v>36550.01</v>
      </c>
      <c r="Q80" s="277">
        <f t="shared" si="0"/>
        <v>36733.036999999997</v>
      </c>
      <c r="R80" s="277">
        <f t="shared" si="0"/>
        <v>37010.582000000002</v>
      </c>
      <c r="S80" s="277">
        <f t="shared" si="0"/>
        <v>37278.512000000002</v>
      </c>
      <c r="T80" s="277">
        <f t="shared" si="0"/>
        <v>37337.129000000001</v>
      </c>
      <c r="U80" s="277">
        <f t="shared" si="0"/>
        <v>37175.027000000002</v>
      </c>
      <c r="V80" s="277">
        <f t="shared" si="0"/>
        <v>37221.957999999999</v>
      </c>
      <c r="W80" s="277">
        <f t="shared" si="0"/>
        <v>37278.103000000003</v>
      </c>
      <c r="X80" s="277">
        <f t="shared" si="0"/>
        <v>37264.503000000004</v>
      </c>
      <c r="Y80" s="277">
        <f t="shared" si="0"/>
        <v>37358.131000000001</v>
      </c>
      <c r="Z80" s="277">
        <f t="shared" si="0"/>
        <v>37430.025000000001</v>
      </c>
      <c r="AA80" s="277">
        <f t="shared" si="0"/>
        <v>37502.359000000004</v>
      </c>
      <c r="AB80" s="277">
        <f t="shared" si="0"/>
        <v>37541.849000000002</v>
      </c>
      <c r="AC80" s="277">
        <f t="shared" si="0"/>
        <v>37611.147000000004</v>
      </c>
      <c r="AD80" s="277">
        <f t="shared" si="0"/>
        <v>37685.004999999997</v>
      </c>
      <c r="AE80" s="277">
        <f t="shared" si="0"/>
        <v>37758.209000000003</v>
      </c>
      <c r="AF80" s="277">
        <f t="shared" si="0"/>
        <v>37903.689999999995</v>
      </c>
      <c r="AG80" s="277">
        <f t="shared" si="0"/>
        <v>37937.065999999999</v>
      </c>
      <c r="AH80" s="277">
        <f t="shared" si="0"/>
        <v>38013.862999999998</v>
      </c>
      <c r="AI80" s="277">
        <f t="shared" si="0"/>
        <v>38097.155999999995</v>
      </c>
      <c r="AJ80" s="277">
        <f t="shared" si="0"/>
        <v>38270.25</v>
      </c>
      <c r="AK80" s="325"/>
    </row>
    <row r="81" spans="1:37" s="257" customFormat="1">
      <c r="A81" s="258" t="s">
        <v>345</v>
      </c>
      <c r="B81" s="261">
        <f t="shared" ref="B81:Q82" si="1">B74/SUM(B$74:B$78)</f>
        <v>3.206053028117085E-5</v>
      </c>
      <c r="C81" s="261">
        <f>C74/SUM(C$74:C$78)</f>
        <v>3.0617556106671571E-5</v>
      </c>
      <c r="D81" s="261">
        <f t="shared" si="1"/>
        <v>2.5812446761828554E-5</v>
      </c>
      <c r="E81" s="261">
        <f t="shared" si="1"/>
        <v>1.9987607683236393E-5</v>
      </c>
      <c r="F81" s="261">
        <f t="shared" si="1"/>
        <v>1.8652888399768708E-5</v>
      </c>
      <c r="G81" s="261">
        <f t="shared" si="1"/>
        <v>2.1362596102308895E-5</v>
      </c>
      <c r="H81" s="261">
        <f t="shared" si="1"/>
        <v>1.8983919860521345E-5</v>
      </c>
      <c r="I81" s="261">
        <f t="shared" si="1"/>
        <v>1.5940571000817595E-5</v>
      </c>
      <c r="J81" s="261">
        <f t="shared" si="1"/>
        <v>1.5081179728300483E-5</v>
      </c>
      <c r="K81" s="261">
        <f t="shared" si="1"/>
        <v>1.4497430620371152E-5</v>
      </c>
      <c r="L81" s="261">
        <f t="shared" si="1"/>
        <v>1.4197872051332692E-5</v>
      </c>
      <c r="M81" s="261">
        <f t="shared" si="1"/>
        <v>1.3386414930671756E-5</v>
      </c>
      <c r="N81" s="261">
        <f t="shared" si="1"/>
        <v>1.3333904024425578E-5</v>
      </c>
      <c r="O81" s="261">
        <f t="shared" si="1"/>
        <v>1.3216539653517841E-5</v>
      </c>
      <c r="P81" s="261">
        <f t="shared" si="1"/>
        <v>1.3138253048534546E-5</v>
      </c>
      <c r="Q81" s="261">
        <f t="shared" si="1"/>
        <v>1.2829737072500331E-5</v>
      </c>
      <c r="R81" s="261">
        <f t="shared" ref="R81:AJ82" si="2">R74/SUM(R$74:R$78)</f>
        <v>1.2388589415387421E-5</v>
      </c>
      <c r="S81" s="261">
        <f t="shared" si="2"/>
        <v>1.226548394693461E-5</v>
      </c>
      <c r="T81" s="261">
        <f t="shared" si="2"/>
        <v>1.2177930277939338E-5</v>
      </c>
      <c r="U81" s="261">
        <f t="shared" si="2"/>
        <v>1.2423181258686909E-5</v>
      </c>
      <c r="V81" s="261">
        <f t="shared" si="2"/>
        <v>1.2351171471560562E-5</v>
      </c>
      <c r="W81" s="261">
        <f t="shared" si="2"/>
        <v>1.2266118845444205E-5</v>
      </c>
      <c r="X81" s="261">
        <f t="shared" si="2"/>
        <v>1.2286598675086919E-5</v>
      </c>
      <c r="Y81" s="261">
        <f t="shared" si="2"/>
        <v>1.2146876631097779E-5</v>
      </c>
      <c r="Z81" s="261">
        <f t="shared" si="2"/>
        <v>1.204171490878702E-5</v>
      </c>
      <c r="AA81" s="261">
        <f t="shared" si="2"/>
        <v>1.1937735635979284E-5</v>
      </c>
      <c r="AB81" s="261">
        <f t="shared" si="2"/>
        <v>1.1881725502198952E-5</v>
      </c>
      <c r="AC81" s="261">
        <f t="shared" si="2"/>
        <v>1.1784694109998102E-5</v>
      </c>
      <c r="AD81" s="261">
        <f t="shared" si="2"/>
        <v>1.1683003204764609E-5</v>
      </c>
      <c r="AE81" s="261">
        <f t="shared" si="2"/>
        <v>1.1583931141406439E-5</v>
      </c>
      <c r="AF81" s="261">
        <f t="shared" si="2"/>
        <v>1.1391950538884828E-5</v>
      </c>
      <c r="AG81" s="261">
        <f t="shared" si="2"/>
        <v>1.1348795234595487E-5</v>
      </c>
      <c r="AH81" s="261">
        <f t="shared" si="2"/>
        <v>1.1250739032920227E-5</v>
      </c>
      <c r="AI81" s="261">
        <f t="shared" si="2"/>
        <v>1.1146288798559363E-5</v>
      </c>
      <c r="AJ81" s="261">
        <f t="shared" si="2"/>
        <v>1.093530781251196E-5</v>
      </c>
      <c r="AK81" s="326"/>
    </row>
    <row r="82" spans="1:37" s="257" customFormat="1">
      <c r="A82" s="258" t="s">
        <v>346</v>
      </c>
      <c r="B82" s="261">
        <f t="shared" si="1"/>
        <v>0.45205347696450893</v>
      </c>
      <c r="C82" s="261">
        <f t="shared" ref="C82:AA82" si="3">C75/SUM(C$74:C$78)</f>
        <v>0.44150515905820398</v>
      </c>
      <c r="D82" s="261">
        <f t="shared" si="3"/>
        <v>0.39054231950646601</v>
      </c>
      <c r="E82" s="261">
        <f t="shared" si="3"/>
        <v>0.33279366792588594</v>
      </c>
      <c r="F82" s="261">
        <f t="shared" si="3"/>
        <v>0.31168976516013508</v>
      </c>
      <c r="G82" s="261">
        <f t="shared" si="3"/>
        <v>0.27320730968223356</v>
      </c>
      <c r="H82" s="261">
        <f t="shared" si="3"/>
        <v>0.2863874283926543</v>
      </c>
      <c r="I82" s="261">
        <f t="shared" si="3"/>
        <v>0.28646800145569296</v>
      </c>
      <c r="J82" s="261">
        <f t="shared" si="3"/>
        <v>0.2700704487148648</v>
      </c>
      <c r="K82" s="261">
        <f t="shared" si="3"/>
        <v>0.25964753266778529</v>
      </c>
      <c r="L82" s="261">
        <f t="shared" si="3"/>
        <v>0.25435899518252003</v>
      </c>
      <c r="M82" s="261">
        <f t="shared" si="3"/>
        <v>0.2398968710593741</v>
      </c>
      <c r="N82" s="261">
        <f t="shared" si="3"/>
        <v>0.23823579649208984</v>
      </c>
      <c r="O82" s="261">
        <f t="shared" si="3"/>
        <v>0.23613317355417995</v>
      </c>
      <c r="P82" s="262">
        <f t="shared" si="3"/>
        <v>0.23478426068816591</v>
      </c>
      <c r="Q82" s="261">
        <f t="shared" si="3"/>
        <v>0.22928715928067256</v>
      </c>
      <c r="R82" s="261">
        <f t="shared" si="3"/>
        <v>0.22139090657715169</v>
      </c>
      <c r="S82" s="261">
        <f t="shared" si="3"/>
        <v>0.21917217795745347</v>
      </c>
      <c r="T82" s="261">
        <f t="shared" si="3"/>
        <v>0.2175779655452254</v>
      </c>
      <c r="U82" s="261">
        <f t="shared" si="3"/>
        <v>0.221930691568685</v>
      </c>
      <c r="V82" s="261">
        <f t="shared" si="3"/>
        <v>0.22061242542671441</v>
      </c>
      <c r="W82" s="261">
        <f t="shared" si="3"/>
        <v>0.21905669130275751</v>
      </c>
      <c r="X82" s="261">
        <f t="shared" si="3"/>
        <v>0.21938188825117344</v>
      </c>
      <c r="Y82" s="261">
        <f t="shared" si="3"/>
        <v>0.21685332974433619</v>
      </c>
      <c r="Z82" s="261">
        <f t="shared" si="3"/>
        <v>0.21495267907083718</v>
      </c>
      <c r="AA82" s="261">
        <f t="shared" si="3"/>
        <v>0.21307413644211068</v>
      </c>
      <c r="AB82" s="261">
        <f t="shared" si="2"/>
        <v>0.21204982815460408</v>
      </c>
      <c r="AC82" s="261">
        <f t="shared" si="2"/>
        <v>0.21029468452550643</v>
      </c>
      <c r="AD82" s="261">
        <f t="shared" si="2"/>
        <v>0.20845725592190989</v>
      </c>
      <c r="AE82" s="261">
        <f t="shared" si="2"/>
        <v>0.20666509279655557</v>
      </c>
      <c r="AF82" s="261">
        <f t="shared" si="2"/>
        <v>0.20321724631948859</v>
      </c>
      <c r="AG82" s="261">
        <f t="shared" si="2"/>
        <v>0.20242664479224215</v>
      </c>
      <c r="AH82" s="261">
        <f t="shared" si="2"/>
        <v>0.20065873077037752</v>
      </c>
      <c r="AI82" s="261">
        <f t="shared" si="2"/>
        <v>0.19877633812311651</v>
      </c>
      <c r="AJ82" s="261">
        <f t="shared" si="2"/>
        <v>0.20514243785191183</v>
      </c>
      <c r="AK82" s="326"/>
    </row>
    <row r="83" spans="1:37" s="257" customFormat="1">
      <c r="A83" s="258" t="s">
        <v>342</v>
      </c>
      <c r="B83" s="261">
        <f>B76/SUM(B$74:B$78)</f>
        <v>0.17056202109582891</v>
      </c>
      <c r="C83" s="261">
        <f t="shared" ref="C83:AJ83" si="4">C76/SUM(C$74:C$78)</f>
        <v>0.15278160497229112</v>
      </c>
      <c r="D83" s="261">
        <f t="shared" si="4"/>
        <v>0.14325907952814848</v>
      </c>
      <c r="E83" s="261">
        <f t="shared" si="4"/>
        <v>0.10713357718214708</v>
      </c>
      <c r="F83" s="261">
        <f t="shared" si="4"/>
        <v>0.10203129954673483</v>
      </c>
      <c r="G83" s="261">
        <f t="shared" si="4"/>
        <v>9.447565401053902E-2</v>
      </c>
      <c r="H83" s="261">
        <f t="shared" si="4"/>
        <v>9.149869694374077E-2</v>
      </c>
      <c r="I83" s="261">
        <f t="shared" si="4"/>
        <v>0.10099642915269011</v>
      </c>
      <c r="J83" s="261">
        <f t="shared" si="4"/>
        <v>0.10274068771084433</v>
      </c>
      <c r="K83" s="261">
        <f t="shared" si="4"/>
        <v>0.11317999111017554</v>
      </c>
      <c r="L83" s="261">
        <f t="shared" si="4"/>
        <v>0.11445330596740823</v>
      </c>
      <c r="M83" s="261">
        <f t="shared" si="4"/>
        <v>0.16438035623927413</v>
      </c>
      <c r="N83" s="261">
        <f t="shared" si="4"/>
        <v>0.16754330418675251</v>
      </c>
      <c r="O83" s="261">
        <f t="shared" si="4"/>
        <v>0.17346443964449096</v>
      </c>
      <c r="P83" s="262">
        <f t="shared" si="4"/>
        <v>0.17590386582585352</v>
      </c>
      <c r="Q83" s="261">
        <f t="shared" si="4"/>
        <v>0.19276538824323949</v>
      </c>
      <c r="R83" s="261">
        <f t="shared" si="4"/>
        <v>0.21790946517963949</v>
      </c>
      <c r="S83" s="261">
        <f t="shared" si="4"/>
        <v>0.22278583483789938</v>
      </c>
      <c r="T83" s="261">
        <f t="shared" si="4"/>
        <v>0.22470802194365611</v>
      </c>
      <c r="U83" s="261">
        <f t="shared" si="4"/>
        <v>0.20445053014683701</v>
      </c>
      <c r="V83" s="261">
        <f t="shared" si="4"/>
        <v>0.20390264905455485</v>
      </c>
      <c r="W83" s="261">
        <f t="shared" si="4"/>
        <v>0.20372747725922896</v>
      </c>
      <c r="X83" s="261">
        <f t="shared" si="4"/>
        <v>0.19647659667114267</v>
      </c>
      <c r="Y83" s="261">
        <f t="shared" si="4"/>
        <v>0.19954682432664703</v>
      </c>
      <c r="Z83" s="261">
        <f t="shared" si="4"/>
        <v>0.20005695731151854</v>
      </c>
      <c r="AA83" s="261">
        <f t="shared" si="4"/>
        <v>0.20056828396721516</v>
      </c>
      <c r="AB83" s="261">
        <f t="shared" si="4"/>
        <v>0.19802642163063375</v>
      </c>
      <c r="AC83" s="261">
        <f t="shared" si="4"/>
        <v>0.19842997234250143</v>
      </c>
      <c r="AD83" s="261">
        <f t="shared" si="4"/>
        <v>0.19906377085518298</v>
      </c>
      <c r="AE83" s="261">
        <f t="shared" si="4"/>
        <v>0.19940324220331931</v>
      </c>
      <c r="AF83" s="261">
        <f t="shared" si="4"/>
        <v>0.2060980427717618</v>
      </c>
      <c r="AG83" s="261">
        <f t="shared" si="4"/>
        <v>0.20265293976922</v>
      </c>
      <c r="AH83" s="261">
        <f t="shared" si="4"/>
        <v>0.20311082934260247</v>
      </c>
      <c r="AI83" s="261">
        <f t="shared" si="4"/>
        <v>0.20379395148867599</v>
      </c>
      <c r="AJ83" s="261">
        <f t="shared" si="4"/>
        <v>0.20201614270139281</v>
      </c>
      <c r="AK83" s="326"/>
    </row>
    <row r="84" spans="1:37" s="257" customFormat="1">
      <c r="A84" s="258" t="s">
        <v>344</v>
      </c>
      <c r="B84" s="261">
        <f>B77/SUM(B$74:B$78)</f>
        <v>0.20999647334166904</v>
      </c>
      <c r="C84" s="261">
        <f t="shared" ref="C84:AJ84" si="5">C77/SUM(C$74:C$78)</f>
        <v>0.25504424236857415</v>
      </c>
      <c r="D84" s="261">
        <f t="shared" si="5"/>
        <v>0.32291370899047517</v>
      </c>
      <c r="E84" s="261">
        <f t="shared" si="5"/>
        <v>0.45291919010213672</v>
      </c>
      <c r="F84" s="261">
        <f t="shared" si="5"/>
        <v>0.48422898285799559</v>
      </c>
      <c r="G84" s="261">
        <f t="shared" si="5"/>
        <v>2.696151891476303E-2</v>
      </c>
      <c r="H84" s="261">
        <f t="shared" si="5"/>
        <v>4.9661364837528019E-2</v>
      </c>
      <c r="I84" s="261">
        <f t="shared" si="5"/>
        <v>5.5647895741014183E-2</v>
      </c>
      <c r="J84" s="261">
        <f t="shared" si="5"/>
        <v>6.4034839938161128E-2</v>
      </c>
      <c r="K84" s="261">
        <f t="shared" si="5"/>
        <v>7.1319240091078651E-2</v>
      </c>
      <c r="L84" s="261">
        <f t="shared" si="5"/>
        <v>7.8116834005152971E-2</v>
      </c>
      <c r="M84" s="261">
        <f t="shared" si="5"/>
        <v>7.4199827047519096E-2</v>
      </c>
      <c r="N84" s="261">
        <f t="shared" si="5"/>
        <v>7.4781467313467687E-2</v>
      </c>
      <c r="O84" s="261">
        <f t="shared" si="5"/>
        <v>7.5585522443865072E-2</v>
      </c>
      <c r="P84" s="262">
        <f t="shared" si="5"/>
        <v>7.7363552016051787E-2</v>
      </c>
      <c r="Q84" s="261">
        <f t="shared" si="5"/>
        <v>7.7975421302905995E-2</v>
      </c>
      <c r="R84" s="261">
        <f t="shared" si="5"/>
        <v>7.775896363998562E-2</v>
      </c>
      <c r="S84" s="261">
        <f t="shared" si="5"/>
        <v>7.9610227451134316E-2</v>
      </c>
      <c r="T84" s="261">
        <f t="shared" si="5"/>
        <v>8.2003138009074023E-2</v>
      </c>
      <c r="U84" s="261">
        <f t="shared" si="5"/>
        <v>8.7090351809585409E-2</v>
      </c>
      <c r="V84" s="261">
        <f t="shared" si="5"/>
        <v>9.0180966894166992E-2</v>
      </c>
      <c r="W84" s="261">
        <f t="shared" si="5"/>
        <v>9.3364790203983111E-2</v>
      </c>
      <c r="X84" s="261">
        <f t="shared" si="5"/>
        <v>9.7473273269067046E-2</v>
      </c>
      <c r="Y84" s="261">
        <f t="shared" si="5"/>
        <v>0.10047847761737558</v>
      </c>
      <c r="Z84" s="261">
        <f t="shared" si="5"/>
        <v>0.10402572591973112</v>
      </c>
      <c r="AA84" s="261">
        <f t="shared" si="5"/>
        <v>0.10757845658925999</v>
      </c>
      <c r="AB84" s="261">
        <f t="shared" si="5"/>
        <v>0.11147815081379127</v>
      </c>
      <c r="AC84" s="261">
        <f t="shared" si="5"/>
        <v>0.11491184518494488</v>
      </c>
      <c r="AD84" s="261">
        <f t="shared" si="5"/>
        <v>0.11826774242202441</v>
      </c>
      <c r="AE84" s="261">
        <f t="shared" si="5"/>
        <v>0.12166626045681465</v>
      </c>
      <c r="AF84" s="261">
        <f t="shared" si="5"/>
        <v>0.12404649373989535</v>
      </c>
      <c r="AG84" s="261">
        <f t="shared" si="5"/>
        <v>0.12799296102324367</v>
      </c>
      <c r="AH84" s="261">
        <f t="shared" si="5"/>
        <v>0.13128599884904943</v>
      </c>
      <c r="AI84" s="261">
        <f t="shared" si="5"/>
        <v>0.1344955791589367</v>
      </c>
      <c r="AJ84" s="261">
        <f t="shared" si="5"/>
        <v>0.13633266956014908</v>
      </c>
      <c r="AK84" s="326"/>
    </row>
    <row r="85" spans="1:37" s="257" customFormat="1">
      <c r="A85" s="258" t="s">
        <v>343</v>
      </c>
      <c r="B85" s="261">
        <f>B78/SUM(B$74:B$78)</f>
        <v>0.16735596806771183</v>
      </c>
      <c r="C85" s="261">
        <f t="shared" ref="C85:AJ85" si="6">C78/SUM(C$74:C$78)</f>
        <v>0.15063837604482411</v>
      </c>
      <c r="D85" s="261">
        <f t="shared" si="6"/>
        <v>0.14325907952814848</v>
      </c>
      <c r="E85" s="261">
        <f t="shared" si="6"/>
        <v>0.10713357718214708</v>
      </c>
      <c r="F85" s="261">
        <f t="shared" si="6"/>
        <v>0.10203129954673483</v>
      </c>
      <c r="G85" s="261">
        <f t="shared" si="6"/>
        <v>0.6053341547963621</v>
      </c>
      <c r="H85" s="261">
        <f t="shared" si="6"/>
        <v>0.57243352590621632</v>
      </c>
      <c r="I85" s="261">
        <f t="shared" si="6"/>
        <v>0.55687173307960192</v>
      </c>
      <c r="J85" s="261">
        <f t="shared" si="6"/>
        <v>0.5631389424564015</v>
      </c>
      <c r="K85" s="261">
        <f t="shared" si="6"/>
        <v>0.55583873870034017</v>
      </c>
      <c r="L85" s="261">
        <f t="shared" si="6"/>
        <v>0.55305666697286748</v>
      </c>
      <c r="M85" s="261">
        <f t="shared" si="6"/>
        <v>0.52150955923890197</v>
      </c>
      <c r="N85" s="261">
        <f t="shared" si="6"/>
        <v>0.51942609810366547</v>
      </c>
      <c r="O85" s="261">
        <f t="shared" si="6"/>
        <v>0.51480364781781052</v>
      </c>
      <c r="P85" s="262">
        <f t="shared" si="6"/>
        <v>0.51193518321688025</v>
      </c>
      <c r="Q85" s="261">
        <f t="shared" si="6"/>
        <v>0.49995920143610945</v>
      </c>
      <c r="R85" s="261">
        <f t="shared" si="6"/>
        <v>0.48292827601380778</v>
      </c>
      <c r="S85" s="261">
        <f t="shared" si="6"/>
        <v>0.47841949426956593</v>
      </c>
      <c r="T85" s="261">
        <f t="shared" si="6"/>
        <v>0.47569869657176644</v>
      </c>
      <c r="U85" s="261">
        <f t="shared" si="6"/>
        <v>0.48651600329363376</v>
      </c>
      <c r="V85" s="261">
        <f t="shared" si="6"/>
        <v>0.48529160745309208</v>
      </c>
      <c r="W85" s="261">
        <f t="shared" si="6"/>
        <v>0.48383877511518503</v>
      </c>
      <c r="X85" s="261">
        <f t="shared" si="6"/>
        <v>0.4866559552099417</v>
      </c>
      <c r="Y85" s="261">
        <f t="shared" si="6"/>
        <v>0.48310922143501012</v>
      </c>
      <c r="Z85" s="261">
        <f t="shared" si="6"/>
        <v>0.48095259598300433</v>
      </c>
      <c r="AA85" s="261">
        <f t="shared" si="6"/>
        <v>0.47876718526577811</v>
      </c>
      <c r="AB85" s="261">
        <f t="shared" si="6"/>
        <v>0.47843371767546872</v>
      </c>
      <c r="AC85" s="261">
        <f t="shared" si="6"/>
        <v>0.47635171325293746</v>
      </c>
      <c r="AD85" s="261">
        <f t="shared" si="6"/>
        <v>0.47419954779767798</v>
      </c>
      <c r="AE85" s="261">
        <f t="shared" si="6"/>
        <v>0.47225382061216903</v>
      </c>
      <c r="AF85" s="261">
        <f t="shared" si="6"/>
        <v>0.46662682521831533</v>
      </c>
      <c r="AG85" s="261">
        <f t="shared" si="6"/>
        <v>0.46691610562005958</v>
      </c>
      <c r="AH85" s="261">
        <f t="shared" si="6"/>
        <v>0.46493319029893782</v>
      </c>
      <c r="AI85" s="261">
        <f t="shared" si="6"/>
        <v>0.46292298494047207</v>
      </c>
      <c r="AJ85" s="261">
        <f t="shared" si="6"/>
        <v>0.45649781457873362</v>
      </c>
      <c r="AK85" s="326"/>
    </row>
    <row r="86" spans="1:37" s="257" customFormat="1">
      <c r="A86" s="257" t="s">
        <v>347</v>
      </c>
      <c r="B86" s="261">
        <f>SUM(B81:B85)</f>
        <v>0.99999999999999989</v>
      </c>
      <c r="C86" s="261">
        <f t="shared" ref="C86:AJ86" si="7">SUM(C81:C85)</f>
        <v>1</v>
      </c>
      <c r="D86" s="261">
        <f t="shared" si="7"/>
        <v>1</v>
      </c>
      <c r="E86" s="261">
        <f t="shared" si="7"/>
        <v>1</v>
      </c>
      <c r="F86" s="261">
        <f t="shared" si="7"/>
        <v>1</v>
      </c>
      <c r="G86" s="261">
        <f t="shared" si="7"/>
        <v>1</v>
      </c>
      <c r="H86" s="261">
        <f t="shared" si="7"/>
        <v>1</v>
      </c>
      <c r="I86" s="261">
        <f t="shared" si="7"/>
        <v>1</v>
      </c>
      <c r="J86" s="261">
        <f t="shared" si="7"/>
        <v>1</v>
      </c>
      <c r="K86" s="261">
        <f t="shared" si="7"/>
        <v>1</v>
      </c>
      <c r="L86" s="261">
        <f t="shared" si="7"/>
        <v>1</v>
      </c>
      <c r="M86" s="261">
        <f t="shared" si="7"/>
        <v>1</v>
      </c>
      <c r="N86" s="261">
        <f t="shared" si="7"/>
        <v>0.99999999999999989</v>
      </c>
      <c r="O86" s="261">
        <f t="shared" si="7"/>
        <v>1</v>
      </c>
      <c r="P86" s="261">
        <f t="shared" si="7"/>
        <v>1</v>
      </c>
      <c r="Q86" s="261">
        <f t="shared" si="7"/>
        <v>1</v>
      </c>
      <c r="R86" s="261">
        <f t="shared" si="7"/>
        <v>1</v>
      </c>
      <c r="S86" s="261">
        <f t="shared" si="7"/>
        <v>1</v>
      </c>
      <c r="T86" s="261">
        <f t="shared" si="7"/>
        <v>0.99999999999999989</v>
      </c>
      <c r="U86" s="261">
        <f t="shared" si="7"/>
        <v>0.99999999999999978</v>
      </c>
      <c r="V86" s="261">
        <f t="shared" si="7"/>
        <v>0.99999999999999989</v>
      </c>
      <c r="W86" s="261">
        <f t="shared" si="7"/>
        <v>1</v>
      </c>
      <c r="X86" s="261">
        <f t="shared" si="7"/>
        <v>1</v>
      </c>
      <c r="Y86" s="261">
        <f t="shared" si="7"/>
        <v>1</v>
      </c>
      <c r="Z86" s="261">
        <f t="shared" si="7"/>
        <v>1</v>
      </c>
      <c r="AA86" s="261">
        <f t="shared" si="7"/>
        <v>0.99999999999999989</v>
      </c>
      <c r="AB86" s="261">
        <f t="shared" si="7"/>
        <v>1</v>
      </c>
      <c r="AC86" s="261">
        <f t="shared" si="7"/>
        <v>1.0000000000000002</v>
      </c>
      <c r="AD86" s="261">
        <f t="shared" si="7"/>
        <v>1</v>
      </c>
      <c r="AE86" s="261">
        <f t="shared" si="7"/>
        <v>0.99999999999999989</v>
      </c>
      <c r="AF86" s="261">
        <f t="shared" si="7"/>
        <v>0.99999999999999989</v>
      </c>
      <c r="AG86" s="261">
        <f t="shared" si="7"/>
        <v>1</v>
      </c>
      <c r="AH86" s="261">
        <f t="shared" si="7"/>
        <v>1.0000000000000002</v>
      </c>
      <c r="AI86" s="261">
        <f t="shared" si="7"/>
        <v>0.99999999999999978</v>
      </c>
      <c r="AJ86" s="261">
        <f t="shared" si="7"/>
        <v>0.99999999999999989</v>
      </c>
      <c r="AK86" s="326"/>
    </row>
    <row r="87" spans="1:37">
      <c r="A87" s="550" t="s">
        <v>640</v>
      </c>
      <c r="B87" s="550"/>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row>
    <row r="88" spans="1:37">
      <c r="A88" s="551" t="s">
        <v>675</v>
      </c>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row>
    <row r="89" spans="1:37">
      <c r="A89" s="551" t="s">
        <v>676</v>
      </c>
      <c r="B89" s="551"/>
      <c r="C89" s="551"/>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row>
    <row r="90" spans="1:37">
      <c r="A90" s="551" t="s">
        <v>677</v>
      </c>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row>
    <row r="91" spans="1:37">
      <c r="A91" s="551" t="s">
        <v>678</v>
      </c>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row>
    <row r="92" spans="1:37">
      <c r="A92" s="551" t="s">
        <v>679</v>
      </c>
      <c r="B92" s="551"/>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row>
    <row r="93" spans="1:37">
      <c r="A93" s="551" t="s">
        <v>680</v>
      </c>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row>
    <row r="94" spans="1:37">
      <c r="A94" s="551" t="s">
        <v>681</v>
      </c>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row>
    <row r="95" spans="1:37">
      <c r="A95" s="551" t="s">
        <v>682</v>
      </c>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row>
    <row r="96" spans="1:37">
      <c r="A96" s="551" t="s">
        <v>683</v>
      </c>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row>
    <row r="97" spans="1:32">
      <c r="A97" s="551" t="s">
        <v>684</v>
      </c>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row>
    <row r="98" spans="1:32">
      <c r="A98" s="551" t="s">
        <v>685</v>
      </c>
      <c r="B98" s="551"/>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row>
    <row r="99" spans="1:32">
      <c r="A99" s="551" t="s">
        <v>686</v>
      </c>
      <c r="B99" s="551"/>
      <c r="C99" s="551"/>
      <c r="D99" s="551"/>
      <c r="E99" s="55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row>
    <row r="100" spans="1:32">
      <c r="A100" s="551" t="s">
        <v>687</v>
      </c>
      <c r="B100" s="551"/>
      <c r="C100" s="551"/>
      <c r="D100" s="551"/>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row>
    <row r="101" spans="1:32">
      <c r="A101" s="551" t="s">
        <v>688</v>
      </c>
      <c r="B101" s="551"/>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row>
    <row r="102" spans="1:32">
      <c r="A102" s="551" t="s">
        <v>689</v>
      </c>
      <c r="B102" s="551"/>
      <c r="C102" s="551"/>
      <c r="D102" s="551"/>
      <c r="E102" s="551"/>
      <c r="F102" s="551"/>
      <c r="G102" s="551"/>
      <c r="H102" s="551"/>
      <c r="I102" s="551"/>
      <c r="J102" s="551"/>
      <c r="K102" s="551"/>
      <c r="L102" s="551"/>
      <c r="M102" s="551"/>
      <c r="N102" s="551"/>
      <c r="O102" s="551"/>
      <c r="P102" s="551"/>
      <c r="Q102" s="551"/>
      <c r="R102" s="551"/>
      <c r="S102" s="551"/>
      <c r="T102" s="551"/>
      <c r="U102" s="551"/>
      <c r="V102" s="551"/>
      <c r="W102" s="551"/>
      <c r="X102" s="551"/>
      <c r="Y102" s="551"/>
      <c r="Z102" s="551"/>
      <c r="AA102" s="551"/>
      <c r="AB102" s="551"/>
      <c r="AC102" s="551"/>
      <c r="AD102" s="551"/>
      <c r="AE102" s="551"/>
      <c r="AF102" s="551"/>
    </row>
    <row r="103" spans="1:32">
      <c r="A103" s="551" t="s">
        <v>690</v>
      </c>
      <c r="B103" s="551"/>
      <c r="C103" s="551"/>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row>
    <row r="104" spans="1:32">
      <c r="A104" s="551" t="s">
        <v>691</v>
      </c>
      <c r="B104" s="551"/>
      <c r="C104" s="551"/>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row>
    <row r="105" spans="1:32">
      <c r="A105" s="551" t="s">
        <v>692</v>
      </c>
      <c r="B105" s="551"/>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row>
    <row r="106" spans="1:32">
      <c r="A106" s="551" t="s">
        <v>693</v>
      </c>
      <c r="B106" s="551"/>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row>
    <row r="107" spans="1:32">
      <c r="A107" s="551" t="s">
        <v>694</v>
      </c>
      <c r="B107" s="551"/>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row>
    <row r="108" spans="1:32">
      <c r="A108" s="551" t="s">
        <v>644</v>
      </c>
      <c r="B108" s="551"/>
      <c r="C108" s="551"/>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row>
    <row r="109" spans="1:32">
      <c r="A109" s="551" t="s">
        <v>695</v>
      </c>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row>
    <row r="110" spans="1:32">
      <c r="A110" s="551" t="s">
        <v>696</v>
      </c>
      <c r="B110" s="551"/>
      <c r="C110" s="551"/>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1"/>
    </row>
    <row r="111" spans="1:32">
      <c r="A111" s="551" t="s">
        <v>651</v>
      </c>
      <c r="B111" s="551"/>
      <c r="C111" s="551"/>
      <c r="D111" s="551"/>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row>
    <row r="112" spans="1:32">
      <c r="A112" s="551" t="s">
        <v>652</v>
      </c>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row>
    <row r="113" spans="1:32">
      <c r="A113" s="551" t="s">
        <v>653</v>
      </c>
      <c r="B113" s="551"/>
      <c r="C113" s="551"/>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row>
    <row r="114" spans="1:32">
      <c r="A114" s="551" t="s">
        <v>697</v>
      </c>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row>
    <row r="115" spans="1:32">
      <c r="A115" s="551" t="s">
        <v>698</v>
      </c>
      <c r="B115" s="551"/>
      <c r="C115" s="551"/>
      <c r="D115" s="551"/>
      <c r="E115" s="551"/>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row>
    <row r="116" spans="1:32">
      <c r="A116" s="551" t="s">
        <v>626</v>
      </c>
      <c r="B116" s="551"/>
      <c r="C116" s="551"/>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row>
    <row r="117" spans="1:32">
      <c r="A117" s="551" t="s">
        <v>627</v>
      </c>
      <c r="B117" s="551"/>
      <c r="C117" s="551"/>
      <c r="D117" s="551"/>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row>
    <row r="118" spans="1:32">
      <c r="A118" s="551" t="s">
        <v>628</v>
      </c>
      <c r="B118" s="551"/>
      <c r="C118" s="551"/>
      <c r="D118" s="551"/>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row>
    <row r="119" spans="1:32">
      <c r="A119" s="551" t="s">
        <v>699</v>
      </c>
      <c r="B119" s="551"/>
      <c r="C119" s="551"/>
      <c r="D119" s="551"/>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row>
    <row r="120" spans="1:32">
      <c r="A120" s="551" t="s">
        <v>700</v>
      </c>
      <c r="B120" s="551"/>
      <c r="C120" s="551"/>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row>
    <row r="121" spans="1:32">
      <c r="A121" s="551" t="s">
        <v>630</v>
      </c>
      <c r="B121" s="551"/>
      <c r="C121" s="551"/>
      <c r="D121" s="551"/>
      <c r="E121" s="551"/>
      <c r="F121" s="551"/>
      <c r="G121" s="551"/>
      <c r="H121" s="551"/>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551"/>
    </row>
    <row r="122" spans="1:32">
      <c r="A122" s="551" t="s">
        <v>633</v>
      </c>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251</v>
      </c>
      <c r="AB12" s="53" t="s">
        <v>250</v>
      </c>
      <c r="AC12" s="72">
        <v>0.06</v>
      </c>
      <c r="AW12" s="53" t="s">
        <v>249</v>
      </c>
      <c r="BB12" s="54"/>
      <c r="BC12" s="55" t="s">
        <v>251</v>
      </c>
    </row>
    <row r="13" spans="1:55">
      <c r="A13" s="58"/>
      <c r="B13" s="73" t="s">
        <v>257</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255</v>
      </c>
    </row>
    <row r="14" spans="1:55">
      <c r="AX14" s="54" t="s">
        <v>248</v>
      </c>
      <c r="BB14" s="54"/>
    </row>
    <row r="15" spans="1:55" s="67" customFormat="1">
      <c r="A15" s="71" t="s">
        <v>150</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243</v>
      </c>
      <c r="AL15" s="67" t="s">
        <v>242</v>
      </c>
      <c r="AM15" s="67" t="s">
        <v>241</v>
      </c>
      <c r="AN15" s="67" t="s">
        <v>240</v>
      </c>
      <c r="AO15" s="67">
        <v>1995</v>
      </c>
      <c r="AP15" s="67">
        <v>1996</v>
      </c>
      <c r="AQ15" s="67">
        <v>1997</v>
      </c>
      <c r="AR15" s="67">
        <v>1998</v>
      </c>
      <c r="AS15" s="67">
        <v>1999</v>
      </c>
      <c r="AT15" s="67">
        <v>2000</v>
      </c>
      <c r="AU15" s="67">
        <v>2001</v>
      </c>
      <c r="AV15" s="67">
        <v>2002</v>
      </c>
      <c r="AW15" s="67">
        <v>2003</v>
      </c>
      <c r="AX15" s="68">
        <v>2004</v>
      </c>
      <c r="BB15" s="68"/>
    </row>
    <row r="16" spans="1:55">
      <c r="A16" s="55" t="s">
        <v>247</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245</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244</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246</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245</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244</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299</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243</v>
      </c>
      <c r="AL24" s="67" t="s">
        <v>242</v>
      </c>
      <c r="AM24" s="67" t="s">
        <v>241</v>
      </c>
      <c r="AN24" s="67" t="s">
        <v>240</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239</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256</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264</v>
      </c>
      <c r="B27" s="60"/>
      <c r="C27" s="60"/>
      <c r="D27" s="60"/>
      <c r="E27" s="60"/>
      <c r="F27" s="66">
        <v>0.2</v>
      </c>
      <c r="G27" s="61" t="s">
        <v>254</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297</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298</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289</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290</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236</v>
      </c>
      <c r="C39" s="60"/>
      <c r="D39" s="60"/>
      <c r="F39" s="60"/>
      <c r="G39" s="60"/>
      <c r="H39" s="60"/>
      <c r="I39" s="60"/>
      <c r="J39" s="61" t="s">
        <v>237</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235</v>
      </c>
    </row>
    <row r="52" spans="1:50">
      <c r="A52" s="55" t="s">
        <v>234</v>
      </c>
      <c r="B52" s="55"/>
    </row>
    <row r="53" spans="1:50">
      <c r="A53" s="55" t="s">
        <v>233</v>
      </c>
      <c r="B53" s="55"/>
    </row>
    <row r="54" spans="1:50">
      <c r="A54" s="55" t="s">
        <v>232</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2015-02-19T00:37:44Z</dcterms:modified>
</cp:coreProperties>
</file>