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J78" i="8"/>
  <c r="J79" i="8"/>
  <c r="J54" i="11"/>
  <c r="J58" i="11"/>
  <c r="H13" i="15"/>
  <c r="H14" i="15"/>
  <c r="H29" i="15"/>
  <c r="H100" i="15"/>
  <c r="H30" i="15"/>
  <c r="H101" i="15"/>
  <c r="H16" i="9"/>
  <c r="H42" i="15"/>
  <c r="H112" i="15"/>
  <c r="H108" i="15"/>
  <c r="H113" i="15"/>
  <c r="H43" i="15"/>
  <c r="H47" i="15"/>
  <c r="H116" i="15"/>
  <c r="H48" i="15"/>
  <c r="H117" i="15"/>
  <c r="H118" i="15"/>
  <c r="H127" i="15"/>
  <c r="H128" i="15"/>
  <c r="H139" i="15"/>
  <c r="H135" i="15"/>
  <c r="H140" i="15"/>
  <c r="H143" i="15"/>
  <c r="H144" i="15"/>
  <c r="H145" i="15"/>
  <c r="H249" i="15"/>
  <c r="H252" i="15"/>
  <c r="H179" i="15"/>
  <c r="H50" i="9"/>
  <c r="H47" i="9"/>
  <c r="H52" i="9"/>
  <c r="H55" i="9"/>
  <c r="H68" i="9"/>
  <c r="H65" i="9"/>
  <c r="H70" i="9"/>
  <c r="H73" i="9"/>
  <c r="H176" i="15"/>
  <c r="H182" i="15"/>
  <c r="H185" i="15"/>
  <c r="H78" i="8"/>
  <c r="H79" i="8"/>
  <c r="H54" i="11"/>
  <c r="H58" i="11"/>
  <c r="H56" i="11"/>
  <c r="I78" i="8"/>
  <c r="I79" i="8"/>
  <c r="I54" i="11"/>
  <c r="I58" i="11"/>
  <c r="I56" i="11"/>
  <c r="J56" i="11"/>
  <c r="K78" i="8"/>
  <c r="K79" i="8"/>
  <c r="K54" i="11"/>
  <c r="K58" i="11"/>
  <c r="K56" i="11"/>
  <c r="L78" i="8"/>
  <c r="L79" i="8"/>
  <c r="L54" i="11"/>
  <c r="L58" i="11"/>
  <c r="L56" i="11"/>
  <c r="M78" i="8"/>
  <c r="M79" i="8"/>
  <c r="M54" i="11"/>
  <c r="M58" i="11"/>
  <c r="M56" i="11"/>
  <c r="N78" i="8"/>
  <c r="N79" i="8"/>
  <c r="N54" i="11"/>
  <c r="N58" i="11"/>
  <c r="N56" i="11"/>
  <c r="O78" i="8"/>
  <c r="O79" i="8"/>
  <c r="O54" i="11"/>
  <c r="O58" i="11"/>
  <c r="O56" i="11"/>
  <c r="P78" i="8"/>
  <c r="P79" i="8"/>
  <c r="P54" i="11"/>
  <c r="P58" i="11"/>
  <c r="P56" i="11"/>
  <c r="Q78" i="8"/>
  <c r="Q79" i="8"/>
  <c r="Q54" i="11"/>
  <c r="Q58" i="11"/>
  <c r="Q56" i="11"/>
  <c r="R78" i="8"/>
  <c r="R79" i="8"/>
  <c r="R54" i="11"/>
  <c r="R58" i="11"/>
  <c r="R56" i="11"/>
  <c r="S78" i="8"/>
  <c r="S79" i="8"/>
  <c r="S54" i="11"/>
  <c r="S58" i="11"/>
  <c r="S56" i="11"/>
  <c r="T78" i="8"/>
  <c r="T79" i="8"/>
  <c r="T54" i="11"/>
  <c r="T58" i="11"/>
  <c r="T56" i="11"/>
  <c r="U78" i="8"/>
  <c r="U79" i="8"/>
  <c r="U54" i="11"/>
  <c r="U58" i="11"/>
  <c r="U56" i="11"/>
  <c r="V78" i="8"/>
  <c r="V79" i="8"/>
  <c r="V54" i="11"/>
  <c r="V58" i="11"/>
  <c r="V56" i="11"/>
  <c r="W78" i="8"/>
  <c r="W79" i="8"/>
  <c r="W54" i="11"/>
  <c r="W58" i="11"/>
  <c r="W56" i="11"/>
  <c r="X78" i="8"/>
  <c r="X79" i="8"/>
  <c r="X54" i="11"/>
  <c r="X58" i="11"/>
  <c r="X56" i="11"/>
  <c r="Y78" i="8"/>
  <c r="Y79" i="8"/>
  <c r="Y54" i="11"/>
  <c r="Y58" i="11"/>
  <c r="Y56" i="11"/>
  <c r="Z78" i="8"/>
  <c r="Z79" i="8"/>
  <c r="Z54" i="11"/>
  <c r="Z58" i="11"/>
  <c r="Z56" i="11"/>
  <c r="AA78" i="8"/>
  <c r="AA79" i="8"/>
  <c r="AA54" i="11"/>
  <c r="AA58" i="11"/>
  <c r="AA56" i="11"/>
  <c r="AB78" i="8"/>
  <c r="AB79" i="8"/>
  <c r="AB54" i="11"/>
  <c r="AB58" i="11"/>
  <c r="AB56" i="11"/>
  <c r="AC78" i="8"/>
  <c r="AC79" i="8"/>
  <c r="AC54" i="11"/>
  <c r="AC58" i="11"/>
  <c r="AC56" i="11"/>
  <c r="AD78" i="8"/>
  <c r="AD79" i="8"/>
  <c r="AD54" i="11"/>
  <c r="AD58" i="11"/>
  <c r="AD56" i="11"/>
  <c r="AE78" i="8"/>
  <c r="AE79" i="8"/>
  <c r="AE54" i="11"/>
  <c r="AE58" i="11"/>
  <c r="AE56" i="11"/>
  <c r="AF78" i="8"/>
  <c r="AF79" i="8"/>
  <c r="AF54" i="11"/>
  <c r="AF58" i="11"/>
  <c r="AF56" i="11"/>
  <c r="AG78" i="8"/>
  <c r="AG79" i="8"/>
  <c r="AG54" i="11"/>
  <c r="AG58" i="11"/>
  <c r="AG56" i="11"/>
  <c r="AH78" i="8"/>
  <c r="AH79" i="8"/>
  <c r="AH54" i="11"/>
  <c r="AH58" i="11"/>
  <c r="AH56" i="11"/>
  <c r="AI78" i="8"/>
  <c r="AI79" i="8"/>
  <c r="AI54" i="11"/>
  <c r="AI58" i="11"/>
  <c r="AI56" i="11"/>
  <c r="AJ78" i="8"/>
  <c r="AJ79" i="8"/>
  <c r="AJ54" i="11"/>
  <c r="AJ58" i="11"/>
  <c r="AJ56" i="11"/>
  <c r="G78" i="8"/>
  <c r="G79" i="8"/>
  <c r="G54" i="11"/>
  <c r="G58" i="11"/>
  <c r="G56"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H74" i="8"/>
  <c r="I74" i="8"/>
  <c r="J74" i="8"/>
  <c r="K74" i="8"/>
  <c r="L74" i="8"/>
  <c r="M74" i="8"/>
  <c r="N74" i="8"/>
  <c r="O74" i="8"/>
  <c r="P74" i="8"/>
  <c r="Q74" i="8"/>
  <c r="R74" i="8"/>
  <c r="S74" i="8"/>
  <c r="T74" i="8"/>
  <c r="U74" i="8"/>
  <c r="V74" i="8"/>
  <c r="W74" i="8"/>
  <c r="X74" i="8"/>
  <c r="Y74" i="8"/>
  <c r="Z74" i="8"/>
  <c r="AA74" i="8"/>
  <c r="AB74" i="8"/>
  <c r="AC74" i="8"/>
  <c r="AD74" i="8"/>
  <c r="AE74" i="8"/>
  <c r="AF74" i="8"/>
  <c r="AG74" i="8"/>
  <c r="AH74" i="8"/>
  <c r="AI74" i="8"/>
  <c r="AJ74" i="8"/>
  <c r="G74" i="8"/>
  <c r="N13" i="15"/>
  <c r="N14" i="15"/>
  <c r="D35" i="5"/>
  <c r="C35" i="5"/>
  <c r="X13" i="15"/>
  <c r="X14" i="15"/>
  <c r="D29" i="5"/>
  <c r="C29" i="5"/>
  <c r="D28" i="5"/>
  <c r="C28" i="5"/>
  <c r="F35" i="5"/>
  <c r="AH13" i="15"/>
  <c r="AH14" i="15"/>
  <c r="D30" i="5"/>
  <c r="C30" i="5"/>
  <c r="H35" i="5"/>
  <c r="AH26" i="15"/>
  <c r="AH31" i="15"/>
  <c r="D36" i="5"/>
  <c r="C36" i="5"/>
  <c r="F36" i="5"/>
  <c r="H36" i="5"/>
  <c r="AH18" i="15"/>
  <c r="AH32" i="15"/>
  <c r="D17" i="5"/>
  <c r="N11" i="9"/>
  <c r="N16" i="9"/>
  <c r="N18" i="9"/>
  <c r="D11"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AH43" i="15"/>
  <c r="F34" i="5"/>
  <c r="H34" i="5"/>
  <c r="AH24" i="15"/>
  <c r="AH30" i="15"/>
  <c r="AH46" i="15"/>
  <c r="AH47" i="15"/>
  <c r="AH48" i="15"/>
  <c r="AH49" i="15"/>
  <c r="AH93" i="15"/>
  <c r="X26" i="15"/>
  <c r="X31" i="15"/>
  <c r="X18" i="15"/>
  <c r="X32" i="15"/>
  <c r="X34" i="15"/>
  <c r="X35" i="15"/>
  <c r="X37" i="15"/>
  <c r="X38" i="15"/>
  <c r="X39" i="15"/>
  <c r="X40" i="15"/>
  <c r="X42" i="15"/>
  <c r="X43" i="15"/>
  <c r="X24" i="15"/>
  <c r="X30" i="15"/>
  <c r="X46" i="15"/>
  <c r="X47" i="15"/>
  <c r="X48" i="15"/>
  <c r="X49" i="15"/>
  <c r="X93" i="15"/>
  <c r="AH78" i="15"/>
  <c r="AH94" i="15"/>
  <c r="X94" i="15"/>
  <c r="AH79" i="15"/>
  <c r="AH87" i="15"/>
  <c r="X87" i="15"/>
  <c r="AH72" i="15"/>
  <c r="N26" i="15"/>
  <c r="N31" i="15"/>
  <c r="N18" i="15"/>
  <c r="N32" i="15"/>
  <c r="C24" i="5"/>
  <c r="E17" i="5"/>
  <c r="N19" i="15"/>
  <c r="N20" i="15"/>
  <c r="N21" i="15"/>
  <c r="N34" i="15"/>
  <c r="E19" i="5"/>
  <c r="N35" i="15"/>
  <c r="E20" i="5"/>
  <c r="N37" i="15"/>
  <c r="E21" i="5"/>
  <c r="N38" i="15"/>
  <c r="E22" i="5"/>
  <c r="N39" i="15"/>
  <c r="E18" i="5"/>
  <c r="N40" i="15"/>
  <c r="E23" i="5"/>
  <c r="N42" i="15"/>
  <c r="N43" i="15"/>
  <c r="N30" i="15"/>
  <c r="N46" i="15"/>
  <c r="N47" i="15"/>
  <c r="N48" i="15"/>
  <c r="N49" i="15"/>
  <c r="N93" i="15"/>
  <c r="X78" i="15"/>
  <c r="N94" i="15"/>
  <c r="X79" i="15"/>
  <c r="N87" i="15"/>
  <c r="X72" i="15"/>
  <c r="H11" i="9"/>
  <c r="H35" i="15"/>
  <c r="H46" i="15"/>
  <c r="H49" i="15"/>
  <c r="H93" i="15"/>
  <c r="N78" i="15"/>
  <c r="H94" i="15"/>
  <c r="N79" i="15"/>
  <c r="H87" i="15"/>
  <c r="N72" i="15"/>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G76"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49" i="11"/>
  <c r="H50" i="11"/>
  <c r="H51" i="11"/>
  <c r="I49" i="11"/>
  <c r="I50" i="11"/>
  <c r="I51" i="11"/>
  <c r="J49" i="11"/>
  <c r="J50" i="11"/>
  <c r="J51" i="11"/>
  <c r="K49" i="11"/>
  <c r="K50" i="11"/>
  <c r="K51" i="11"/>
  <c r="L49" i="11"/>
  <c r="L50" i="11"/>
  <c r="L51" i="11"/>
  <c r="M49" i="11"/>
  <c r="M50" i="11"/>
  <c r="M51" i="11"/>
  <c r="N49" i="11"/>
  <c r="N50" i="11"/>
  <c r="N51" i="11"/>
  <c r="O49" i="11"/>
  <c r="O50" i="11"/>
  <c r="O51" i="11"/>
  <c r="P49" i="11"/>
  <c r="P50" i="11"/>
  <c r="P51" i="11"/>
  <c r="Q49" i="11"/>
  <c r="Q50" i="11"/>
  <c r="Q51" i="11"/>
  <c r="R49" i="11"/>
  <c r="R50" i="11"/>
  <c r="R51" i="11"/>
  <c r="S49" i="11"/>
  <c r="S50" i="11"/>
  <c r="S51" i="11"/>
  <c r="T49" i="11"/>
  <c r="T50" i="11"/>
  <c r="T51" i="11"/>
  <c r="U49" i="11"/>
  <c r="U50" i="11"/>
  <c r="U51" i="11"/>
  <c r="V49" i="11"/>
  <c r="V50" i="11"/>
  <c r="V51" i="11"/>
  <c r="W49" i="11"/>
  <c r="W50" i="11"/>
  <c r="W51" i="11"/>
  <c r="X49" i="11"/>
  <c r="X50" i="11"/>
  <c r="X51" i="11"/>
  <c r="Y49" i="11"/>
  <c r="Y50" i="11"/>
  <c r="Y51" i="11"/>
  <c r="Z49" i="11"/>
  <c r="Z50" i="11"/>
  <c r="Z51" i="11"/>
  <c r="AA49" i="11"/>
  <c r="AA50" i="11"/>
  <c r="AA51" i="11"/>
  <c r="AB49" i="11"/>
  <c r="AB50" i="11"/>
  <c r="AB51" i="11"/>
  <c r="AC49" i="11"/>
  <c r="AC50" i="11"/>
  <c r="AC51" i="11"/>
  <c r="AD49" i="11"/>
  <c r="AD50" i="11"/>
  <c r="AD51" i="11"/>
  <c r="AE49" i="11"/>
  <c r="AE50" i="11"/>
  <c r="AE51" i="11"/>
  <c r="AF49" i="11"/>
  <c r="AF50" i="11"/>
  <c r="AF51" i="11"/>
  <c r="AG49" i="11"/>
  <c r="AG50" i="11"/>
  <c r="AG51" i="11"/>
  <c r="AH49" i="11"/>
  <c r="AH50" i="11"/>
  <c r="AH51" i="11"/>
  <c r="AI49" i="11"/>
  <c r="AI50" i="11"/>
  <c r="AI51" i="11"/>
  <c r="AJ49" i="11"/>
  <c r="AJ50" i="11"/>
  <c r="AJ51" i="11"/>
  <c r="AH16" i="15"/>
  <c r="Z13" i="15"/>
  <c r="Z14" i="15"/>
  <c r="N10" i="9"/>
  <c r="N8" i="9"/>
  <c r="P73" i="8"/>
  <c r="N7" i="9"/>
  <c r="N12" i="9"/>
  <c r="N13" i="9"/>
  <c r="N14" i="9"/>
  <c r="X8" i="9"/>
  <c r="Z73" i="8"/>
  <c r="X7" i="9"/>
  <c r="Z60" i="11"/>
  <c r="X58" i="15"/>
  <c r="AJ60" i="11"/>
  <c r="AH86" i="15"/>
  <c r="X86" i="15"/>
  <c r="AH71" i="15"/>
  <c r="Y58" i="15"/>
  <c r="Z58" i="15"/>
  <c r="Z10" i="9"/>
  <c r="Z34" i="15"/>
  <c r="Y26" i="15"/>
  <c r="Z26" i="15"/>
  <c r="Z31" i="15"/>
  <c r="Y18" i="15"/>
  <c r="Z18" i="15"/>
  <c r="Z32" i="15"/>
  <c r="X59" i="15"/>
  <c r="Y59" i="15"/>
  <c r="Z59" i="15"/>
  <c r="Z11" i="9"/>
  <c r="Z35" i="15"/>
  <c r="X61" i="15"/>
  <c r="AH89" i="15"/>
  <c r="X89" i="15"/>
  <c r="AH74" i="15"/>
  <c r="Y61" i="15"/>
  <c r="Z61" i="15"/>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7"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51" i="11"/>
  <c r="G49" i="11"/>
  <c r="B58" i="11"/>
  <c r="C58" i="11"/>
  <c r="D58" i="11"/>
  <c r="E58" i="11"/>
  <c r="F58" i="11"/>
  <c r="X10" i="9"/>
  <c r="X11" i="9"/>
  <c r="X12" i="9"/>
  <c r="X13" i="9"/>
  <c r="X14" i="9"/>
  <c r="X16" i="9"/>
  <c r="X18" i="9"/>
  <c r="D12" i="5"/>
  <c r="E12" i="5"/>
  <c r="AH8" i="9"/>
  <c r="AH7" i="9"/>
  <c r="AH10" i="9"/>
  <c r="AH11" i="9"/>
  <c r="AH12" i="9"/>
  <c r="AH13"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16" i="15"/>
  <c r="N86" i="15"/>
  <c r="H32" i="15"/>
  <c r="H13" i="9"/>
  <c r="H38" i="15"/>
  <c r="H14" i="9"/>
  <c r="H39" i="15"/>
  <c r="H7" i="9"/>
  <c r="H31" i="15"/>
  <c r="H10" i="9"/>
  <c r="H34" i="15"/>
  <c r="H12" i="9"/>
  <c r="H37"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50" i="15"/>
  <c r="H251" i="15"/>
  <c r="H253" i="15"/>
  <c r="H254"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07" i="15"/>
  <c r="H134" i="15"/>
  <c r="H67" i="15"/>
  <c r="H44" i="15"/>
  <c r="H45" i="15"/>
  <c r="H104" i="15"/>
  <c r="H115" i="15"/>
  <c r="H214" i="15"/>
  <c r="H131"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<sst xmlns="http://schemas.openxmlformats.org/spreadsheetml/2006/main" count="1326" uniqueCount="763">
  <si>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</si>
  <si>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</si>
  <si>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</si>
  <si>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</si>
  <si>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</si>
  <si>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</si>
  <si>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</si>
  <si>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</si>
  <si>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</si>
  <si>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</si>
  <si>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</si>
  <si>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</si>
  <si>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</si>
  <si>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</si>
  <si>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</si>
  <si>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</si>
  <si>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</si>
  <si>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</si>
  <si>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</si>
  <si>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</si>
  <si>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</si>
  <si>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</si>
  <si>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</si>
  <si>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</si>
  <si>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</si>
  <si>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</si>
  <si>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</si>
  <si>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</si>
  <si>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</si>
  <si>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</si>
  <si>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</si>
  <si>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</si>
  <si>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</si>
  <si>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</si>
  <si>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</si>
  <si>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</si>
  <si>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</si>
  <si>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</si>
  <si>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</si>
  <si>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</si>
  <si>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</si>
  <si>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</si>
  <si>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</si>
  <si>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</si>
  <si>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</si>
  <si>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</si>
  <si>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</si>
  <si>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</si>
  <si>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</si>
  <si>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</si>
  <si>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</si>
  <si>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</si>
  <si>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</si>
  <si>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</si>
  <si>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</si>
  <si>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</si>
  <si>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</si>
  <si>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</si>
  <si>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</si>
  <si>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</si>
  <si>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</si>
  <si>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</si>
  <si>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</si>
  <si>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</si>
  <si>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</si>
  <si>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</si>
  <si>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</si>
  <si>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</si>
  <si>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</si>
  <si>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</si>
  <si>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</si>
  <si>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</si>
  <si>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</si>
  <si>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</si>
  <si>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</si>
  <si>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</si>
  <si>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</si>
  <si>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</si>
  <si>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</si>
  <si>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</si>
  <si>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</si>
  <si>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</si>
  <si>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</si>
  <si>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</si>
  <si>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</si>
  <si>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</si>
  <si>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</si>
  <si>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</si>
  <si>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</si>
  <si>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</si>
  <si>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</si>
  <si>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</si>
  <si>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</si>
  <si>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</si>
  <si>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</si>
  <si>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</si>
  <si>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</si>
  <si>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</si>
  <si>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</si>
  <si>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</si>
  <si>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</si>
  <si>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</si>
  <si>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</si>
  <si>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</si>
  <si>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</si>
  <si>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</si>
  <si>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</si>
  <si>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</si>
  <si>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</si>
  <si>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</si>
  <si>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</si>
  <si>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</si>
  <si>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</si>
  <si>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</si>
  <si>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</si>
  <si>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</si>
  <si>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</si>
  <si>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</si>
  <si>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</si>
  <si>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</si>
  <si>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</si>
  <si>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</si>
  <si>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</si>
  <si>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</si>
  <si>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</si>
  <si>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</si>
  <si>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</si>
  <si>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</si>
  <si>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</si>
  <si>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</si>
  <si>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</si>
  <si>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</si>
  <si>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</si>
  <si>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</si>
  <si>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</si>
  <si>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</si>
  <si>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</si>
  <si>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</si>
  <si>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</si>
  <si>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</si>
  <si>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</si>
  <si>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</si>
  <si>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</si>
  <si>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</si>
  <si>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</si>
  <si>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</si>
  <si>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</si>
  <si>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</si>
  <si>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</si>
  <si>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</si>
  <si>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</si>
  <si>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</si>
  <si>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</si>
  <si>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</si>
  <si>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</si>
  <si>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</si>
  <si>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</si>
  <si>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</si>
  <si>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</si>
  <si>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</si>
  <si>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</si>
  <si>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</si>
  <si>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</si>
  <si>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</si>
  <si>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</si>
  <si>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</si>
  <si>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</si>
  <si>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</si>
  <si>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</si>
  <si>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</si>
  <si>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</si>
  <si>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</si>
  <si>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</si>
  <si>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</si>
  <si>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</si>
  <si>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</si>
  <si>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</si>
  <si>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</si>
  <si>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</si>
  <si>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</si>
  <si>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</si>
  <si>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</si>
  <si>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</si>
  <si>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</si>
  <si>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</si>
  <si>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</si>
  <si>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</si>
  <si>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</si>
  <si>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</si>
  <si>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</si>
  <si>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</si>
  <si>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</si>
  <si>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</si>
  <si>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</si>
  <si>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</si>
  <si>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</si>
  <si>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</si>
  <si>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</si>
  <si>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</si>
  <si>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</si>
  <si>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</si>
  <si>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</si>
  <si>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</si>
  <si>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</si>
  <si>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</si>
  <si>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</si>
  <si>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</si>
  <si>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</si>
  <si>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</si>
  <si>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</si>
  <si>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</si>
  <si>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</si>
  <si>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</si>
  <si>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</si>
  <si>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</si>
  <si>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</si>
  <si>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</si>
  <si>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</si>
  <si>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</si>
  <si>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</si>
  <si>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</si>
  <si>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</si>
  <si>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</si>
  <si>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</si>
  <si>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</si>
  <si>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</si>
  <si>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</si>
  <si>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</si>
  <si>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</si>
  <si>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</si>
  <si>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</si>
  <si>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</si>
  <si>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</si>
  <si>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</si>
  <si>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</si>
  <si>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</si>
  <si>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</si>
  <si>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</si>
  <si>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</si>
  <si>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</si>
  <si>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</si>
  <si>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</si>
  <si>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</si>
  <si>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</si>
  <si>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</si>
  <si>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</si>
  <si>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</si>
  <si>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</si>
  <si>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</si>
  <si>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</si>
  <si>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</si>
  <si>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</si>
  <si>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</si>
  <si>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</si>
  <si>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</si>
  <si>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</si>
  <si>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</si>
  <si>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</si>
  <si>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</si>
  <si>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</si>
  <si>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</si>
  <si>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</si>
  <si>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</si>
  <si>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</si>
  <si>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</si>
  <si>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</si>
  <si>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</si>
  <si>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</si>
  <si>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</si>
  <si>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</si>
  <si>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</si>
  <si>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</si>
  <si>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</si>
  <si>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</si>
  <si>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</si>
  <si>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</si>
  <si>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</si>
  <si>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</si>
  <si>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</si>
  <si>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</si>
  <si>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</si>
  <si>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</si>
  <si>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</si>
  <si>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</si>
  <si>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</si>
  <si>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</si>
  <si>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</si>
  <si>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</si>
  <si>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</si>
  <si>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</si>
  <si>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</si>
  <si>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</si>
  <si>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</si>
  <si>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</si>
  <si>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</si>
  <si>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</si>
  <si>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</si>
  <si>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</si>
  <si>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</si>
  <si>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</si>
  <si>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</si>
  <si>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</si>
  <si>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</si>
  <si>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</si>
  <si>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</si>
  <si>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</si>
  <si>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</si>
  <si>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</si>
  <si>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</si>
  <si>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</si>
  <si>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</si>
  <si>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</si>
  <si>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</si>
  <si>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</si>
  <si>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</si>
  <si>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</si>
  <si>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</si>
  <si>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</si>
  <si>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</si>
  <si>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</si>
  <si>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</si>
  <si>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</si>
  <si>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</si>
  <si>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</si>
  <si>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</si>
  <si>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</si>
  <si>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</si>
  <si>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</si>
  <si>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</si>
  <si>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</si>
  <si>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</si>
  <si>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</si>
  <si>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</si>
  <si>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</si>
  <si>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</si>
  <si>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</si>
  <si>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</si>
  <si>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</si>
  <si>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</si>
  <si>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</si>
  <si>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</si>
  <si>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</si>
  <si>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</si>
  <si>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</si>
  <si>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</si>
  <si>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</si>
  <si>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</si>
  <si>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</si>
  <si>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</si>
  <si>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</si>
  <si>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</si>
  <si>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</si>
  <si>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</si>
  <si>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</si>
  <si>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</si>
  <si>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</si>
  <si>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</si>
  <si>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</si>
  <si>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</si>
  <si>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</si>
  <si>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</si>
  <si>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</si>
  <si>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</si>
  <si>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</si>
  <si>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</si>
  <si>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</si>
  <si>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</si>
  <si>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</si>
  <si>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</si>
  <si>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</si>
  <si>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</si>
  <si>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</si>
  <si>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</si>
  <si>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</si>
  <si>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</si>
  <si>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</si>
  <si>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</si>
  <si>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</si>
  <si>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</si>
  <si>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</si>
  <si>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</si>
  <si>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</si>
  <si>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</si>
  <si>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</si>
  <si>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</si>
  <si>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</si>
  <si>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</si>
  <si>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</si>
  <si>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</si>
  <si>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</si>
  <si>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</si>
  <si>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</si>
  <si>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</si>
  <si>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</si>
  <si>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</si>
  <si>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</si>
  <si>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</si>
  <si>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</si>
  <si>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</si>
  <si>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</si>
  <si>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</si>
  <si>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</si>
  <si>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</si>
  <si>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</si>
  <si>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</si>
  <si>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</si>
  <si>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</si>
  <si>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</si>
  <si>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</si>
  <si>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</si>
  <si>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</si>
  <si>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</si>
  <si>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</si>
  <si>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</si>
  <si>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</si>
  <si>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</si>
  <si>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</si>
  <si>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</si>
  <si>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</si>
  <si>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</si>
  <si>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</si>
  <si>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</si>
  <si>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</si>
  <si>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</si>
  <si>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</si>
  <si>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</si>
  <si>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</si>
  <si>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</si>
  <si>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</si>
  <si>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</si>
  <si>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</si>
  <si>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</si>
  <si>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</si>
  <si>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</si>
  <si>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</si>
  <si>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</si>
  <si>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</si>
  <si>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</si>
  <si>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</si>
  <si>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</si>
  <si>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</si>
  <si>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</si>
  <si>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</si>
  <si>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</si>
  <si>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</si>
  <si>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</si>
  <si>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</si>
  <si>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</si>
  <si>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</si>
  <si>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</si>
  <si>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</si>
  <si>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</si>
  <si>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</si>
  <si>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</si>
  <si>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</si>
  <si>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</si>
  <si>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</si>
  <si>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</si>
  <si>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</si>
  <si>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</si>
  <si>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</si>
  <si>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</si>
  <si>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</si>
  <si>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</si>
  <si>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</si>
  <si>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</si>
  <si>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</si>
  <si>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</si>
  <si>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</si>
  <si>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</si>
  <si>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</si>
  <si>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</si>
  <si>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</si>
  <si>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</si>
  <si>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</si>
  <si>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</si>
  <si>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</si>
  <si>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</si>
  <si>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</si>
  <si>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</si>
  <si>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</si>
  <si>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</si>
  <si>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</si>
  <si>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</si>
  <si>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</si>
  <si>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</si>
  <si>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</si>
  <si>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</si>
  <si>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</si>
  <si>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</si>
  <si>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</si>
  <si>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</si>
  <si>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</si>
  <si>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</si>
  <si>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</si>
  <si>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</si>
  <si>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</si>
  <si>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</si>
  <si>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</si>
  <si>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</si>
  <si>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</si>
  <si>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</si>
  <si>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</si>
  <si>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</si>
  <si>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</si>
  <si>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</si>
  <si>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</si>
  <si>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</si>
  <si>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</si>
  <si>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</si>
  <si>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</si>
  <si>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</si>
  <si>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</si>
  <si>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</si>
  <si>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</si>
  <si>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</si>
  <si>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</si>
  <si>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</si>
  <si>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</si>
  <si>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</si>
  <si>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</si>
  <si>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</si>
  <si>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</si>
  <si>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</si>
  <si>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</si>
  <si>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</si>
  <si>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</si>
  <si>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</si>
  <si>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</si>
  <si>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</si>
  <si>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</si>
  <si>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</si>
  <si>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</si>
  <si>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</si>
  <si>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</si>
  <si>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</si>
  <si>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</si>
  <si>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</si>
  <si>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</si>
  <si>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</si>
  <si>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</si>
  <si>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</si>
  <si>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</si>
  <si>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</si>
  <si>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</si>
  <si>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</si>
  <si>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</si>
  <si>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</si>
  <si>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</si>
  <si>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</si>
  <si>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</si>
  <si>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</si>
  <si>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</si>
  <si>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</si>
  <si>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</si>
  <si>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</si>
  <si>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</si>
  <si>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</si>
  <si>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</si>
  <si>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</si>
  <si>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</si>
  <si>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</si>
  <si>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</si>
  <si>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</si>
  <si>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</si>
  <si>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</si>
  <si>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</si>
  <si>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</si>
  <si>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</si>
  <si>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</si>
  <si>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</si>
  <si>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</si>
  <si>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</si>
  <si>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</si>
  <si>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</si>
  <si>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</si>
  <si>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</si>
  <si>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</si>
  <si>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</si>
  <si>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</si>
  <si>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</si>
  <si>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</si>
  <si>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</si>
  <si>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</si>
  <si>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</si>
  <si>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</si>
  <si>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</si>
  <si>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</si>
  <si>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</si>
  <si>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</si>
  <si>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</si>
  <si>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</si>
  <si>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</si>
  <si>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</si>
  <si>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</si>
  <si>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</si>
  <si>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</si>
  <si>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</si>
  <si>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</si>
  <si>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</si>
  <si>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</si>
  <si>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</si>
  <si>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</si>
  <si>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</si>
  <si>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</si>
  <si>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</si>
  <si>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</si>
  <si>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</si>
  <si>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</si>
  <si>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</si>
  <si>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</si>
  <si>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</si>
  <si>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</si>
  <si>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</si>
  <si>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</si>
  <si>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</si>
  <si>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</si>
  <si>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</si>
  <si>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</si>
  <si>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</si>
  <si>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</si>
  <si>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</si>
  <si>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</si>
  <si>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</si>
  <si>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</si>
  <si>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</si>
  <si>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</si>
  <si>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</si>
  <si>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</si>
  <si>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</si>
  <si>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</si>
  <si>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</si>
  <si>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</si>
  <si>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</si>
  <si>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</si>
  <si>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</si>
  <si>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</si>
  <si>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</si>
  <si>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</si>
  <si>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</si>
  <si>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</si>
  <si>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</si>
  <si>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</si>
  <si>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</si>
  <si>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</si>
  <si>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</si>
  <si>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</si>
  <si>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</si>
  <si>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</si>
  <si>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</si>
  <si>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</si>
  <si>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</si>
  <si>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</si>
  <si>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</si>
  <si>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</si>
  <si>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</si>
  <si>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</si>
  <si>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</si>
  <si>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</si>
  <si>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</si>
  <si>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</si>
  <si>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</si>
  <si>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</si>
  <si>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</si>
  <si>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</si>
  <si>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</si>
  <si>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</si>
  <si>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</si>
  <si>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</si>
  <si>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</si>
  <si>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</si>
  <si>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</si>
  <si>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</si>
  <si>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</si>
  <si>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</si>
  <si>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</si>
  <si>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</si>
  <si>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</si>
  <si>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</si>
  <si>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</si>
  <si>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</si>
  <si>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</si>
  <si>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</si>
  <si>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</si>
  <si>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</si>
  <si>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</si>
  <si>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</si>
  <si>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</si>
  <si>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</si>
  <si>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</si>
  <si>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</si>
  <si>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</si>
  <si>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</si>
  <si>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</si>
  <si>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</si>
  <si>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</si>
  <si>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</si>
  <si>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</si>
  <si>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</si>
  <si>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</si>
  <si>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</si>
  <si>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</si>
  <si>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</si>
  <si>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</si>
  <si>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</si>
  <si>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</si>
  <si>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</si>
  <si>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</si>
  <si>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</si>
  <si>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</si>
  <si>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</si>
  <si>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</si>
  <si>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</si>
  <si>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</si>
  <si>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</si>
  <si>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</si>
  <si>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</si>
  <si>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</si>
  <si>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</si>
  <si>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</si>
  <si>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</si>
  <si>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</si>
  <si>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</si>
  <si>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</si>
  <si>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</si>
  <si>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</si>
  <si>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</si>
  <si>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</si>
  <si>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</si>
  <si>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</si>
  <si>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</si>
  <si>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</si>
  <si>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</si>
  <si>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</si>
  <si>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</si>
  <si>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</si>
  <si>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</si>
  <si>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</si>
  <si>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</si>
  <si>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</si>
  <si>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</si>
  <si>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</si>
  <si>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</si>
  <si>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</si>
  <si>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</si>
  <si>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Total Electricity Generation by Fuel from EIA for Midwest</t>
  </si>
  <si>
    <t>Generation from EIA Midwest region from EIA</t>
  </si>
  <si>
    <t>Energy 0ource</t>
  </si>
  <si>
    <t xml:space="preserve">    Natural Ga0</t>
  </si>
  <si>
    <t xml:space="preserve">    Other Ga0e0</t>
  </si>
  <si>
    <t>Renewable0</t>
  </si>
  <si>
    <t>Pumped 0torage</t>
  </si>
  <si>
    <t>0olar</t>
  </si>
  <si>
    <t>Wood/Wood Wa0te</t>
  </si>
  <si>
    <t>M0W Biogenic/Landfill Ga0</t>
  </si>
  <si>
    <t>Other Bioma00</t>
  </si>
  <si>
    <t>Fossil</t>
  </si>
  <si>
    <t>Energy Source</t>
  </si>
  <si>
    <t>Total Electricity Generation by Fuel by computation for North Dakota</t>
  </si>
  <si>
    <t>Contribution of North Dakota</t>
  </si>
  <si>
    <t>Proportion for North Dakota</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</si>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</sst>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1"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26">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66">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7" fontId="0" fillId="2" borderId="1" xfId="10" applyNumberFormat="1" applyFont="1" applyFill="1" applyBorder="1" applyAlignment="1">
      <alignment horizontal="center"/>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168" fontId="28" fillId="2" borderId="53" xfId="0" applyNumberFormat="1" applyFont="1" applyFill="1" applyBorder="1" applyAlignment="1">
      <alignment wrapText="1"/>
    </xf>
    <xf numFmtId="0" fontId="0" fillId="0" borderId="0" xfId="0" applyAlignment="1">
      <alignment horizontal="center"/>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31" xfId="0" applyBorder="1"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26">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12549192"/>
        <c:axId val="2093260376"/>
      </c:lineChart>
      <c:catAx>
        <c:axId val="211254919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3260376"/>
        <c:crosses val="autoZero"/>
        <c:auto val="1"/>
        <c:lblAlgn val="ctr"/>
        <c:lblOffset val="100"/>
        <c:noMultiLvlLbl val="0"/>
      </c:catAx>
      <c:valAx>
        <c:axId val="2093260376"/>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2549192"/>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93954840"/>
        <c:axId val="2112594344"/>
      </c:lineChart>
      <c:catAx>
        <c:axId val="209395484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2594344"/>
        <c:crosses val="autoZero"/>
        <c:auto val="1"/>
        <c:lblAlgn val="ctr"/>
        <c:lblOffset val="100"/>
        <c:noMultiLvlLbl val="0"/>
      </c:catAx>
      <c:valAx>
        <c:axId val="2112594344"/>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395484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2"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0"/>
      <c r="B1" s="530"/>
      <c r="C1" s="530"/>
      <c r="D1" s="530"/>
      <c r="E1" s="530"/>
      <c r="F1" s="530"/>
      <c r="G1" s="530"/>
      <c r="H1" s="530"/>
      <c r="I1" s="530"/>
      <c r="J1" s="530"/>
      <c r="K1" s="530"/>
      <c r="L1" s="530"/>
      <c r="M1" s="530"/>
      <c r="N1" s="530"/>
      <c r="O1" s="530"/>
      <c r="P1" s="530"/>
      <c r="Q1" s="530"/>
      <c r="R1" s="530"/>
      <c r="S1" s="530"/>
      <c r="T1" s="530"/>
    </row>
    <row r="2" spans="1:20" ht="113.25" customHeight="1">
      <c r="A2" s="530"/>
      <c r="B2" s="530"/>
      <c r="C2" s="530"/>
      <c r="D2" s="530"/>
      <c r="E2" s="530"/>
      <c r="F2" s="530"/>
      <c r="G2" s="530"/>
      <c r="H2" s="530"/>
      <c r="I2" s="530"/>
      <c r="J2" s="530"/>
      <c r="K2" s="530"/>
      <c r="L2" s="530"/>
      <c r="M2" s="530"/>
      <c r="N2" s="530"/>
      <c r="O2" s="530"/>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708</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0" t="s">
        <v>555</v>
      </c>
      <c r="D7" s="114">
        <f>'Output - Jobs vs Yr (BAU)'!X4/'Output - Jobs vs Yr (BAU)'!C4-1</f>
        <v>-2.1700856906281873E-2</v>
      </c>
      <c r="E7" s="92" t="s">
        <v>519</v>
      </c>
      <c r="F7" s="109"/>
      <c r="G7" s="109"/>
      <c r="H7" s="29" t="s">
        <v>0</v>
      </c>
      <c r="I7" s="29"/>
      <c r="J7" s="29"/>
      <c r="K7" s="29"/>
      <c r="L7" s="29"/>
      <c r="M7" s="7" t="s">
        <v>0</v>
      </c>
      <c r="N7" t="s">
        <v>0</v>
      </c>
      <c r="O7" t="s">
        <v>0</v>
      </c>
      <c r="P7" t="s">
        <v>0</v>
      </c>
    </row>
    <row r="8" spans="1:20" ht="15" thickBot="1">
      <c r="B8" s="1" t="s">
        <v>368</v>
      </c>
      <c r="C8" s="109"/>
      <c r="D8" s="104" t="s">
        <v>342</v>
      </c>
      <c r="E8" s="498" t="s">
        <v>718</v>
      </c>
      <c r="F8" s="109"/>
      <c r="G8" s="498" t="s">
        <v>719</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521">
        <v>0.25</v>
      </c>
      <c r="D11" s="125">
        <f>'Output - Jobs vs Yr (BAU)'!N18/'Output -Jobs vs Yr'!N14</f>
        <v>0.21944448570396274</v>
      </c>
      <c r="E11" s="497">
        <f>(7.7/3)^(1/6)</f>
        <v>1.1701141873017888</v>
      </c>
      <c r="F11" s="109"/>
      <c r="G11" s="494">
        <f>(12.5/3)^(1/6)</f>
        <v>1.2685223586294079</v>
      </c>
      <c r="H11"/>
      <c r="I11"/>
      <c r="J11"/>
      <c r="K11"/>
      <c r="L11"/>
      <c r="M11" t="s">
        <v>0</v>
      </c>
      <c r="N11" t="s">
        <v>0</v>
      </c>
      <c r="O11" s="111" t="s">
        <v>0</v>
      </c>
      <c r="P11" s="31" t="s">
        <v>0</v>
      </c>
    </row>
    <row r="12" spans="1:20" ht="15" thickBot="1">
      <c r="B12" t="s">
        <v>381</v>
      </c>
      <c r="C12" s="209">
        <v>0.3</v>
      </c>
      <c r="D12" s="125">
        <f>'Output - Jobs vs Yr (BAU)'!X18/'Output -Jobs vs Yr'!X14</f>
        <v>0.21608195993597498</v>
      </c>
      <c r="E12" s="497">
        <f>(D12/D11)^(1/10)</f>
        <v>0.99845704077190434</v>
      </c>
      <c r="F12" s="109"/>
      <c r="G12" s="495">
        <f>(C12/C11)^(1/10)</f>
        <v>1.0183993761470242</v>
      </c>
      <c r="H12"/>
      <c r="I12"/>
      <c r="J12"/>
      <c r="K12"/>
      <c r="L12"/>
      <c r="M12" t="s">
        <v>0</v>
      </c>
      <c r="N12" t="s">
        <v>0</v>
      </c>
      <c r="O12" s="111" t="s">
        <v>0</v>
      </c>
      <c r="P12" s="31" t="s">
        <v>0</v>
      </c>
    </row>
    <row r="13" spans="1:20" ht="15" thickBot="1">
      <c r="B13" t="s">
        <v>578</v>
      </c>
      <c r="C13" s="210">
        <v>0.31</v>
      </c>
      <c r="D13" s="172">
        <f>'Output - Jobs vs Yr (BAU)'!AH18/'Output -Jobs vs Yr'!AH14</f>
        <v>0.21875452808602919</v>
      </c>
      <c r="E13" s="497">
        <f>(D13/D12)^(1/10)</f>
        <v>1.0012300003290731</v>
      </c>
      <c r="F13" s="109"/>
      <c r="G13" s="496">
        <f>(C13/C12)^(1/10)</f>
        <v>1.0032843640253086</v>
      </c>
      <c r="H13"/>
      <c r="I13"/>
      <c r="J13"/>
      <c r="K13"/>
      <c r="L13"/>
      <c r="M13"/>
      <c r="O13" s="111"/>
      <c r="P13" s="31"/>
    </row>
    <row r="14" spans="1:20">
      <c r="B14" t="s">
        <v>579</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713</v>
      </c>
      <c r="O15" s="31" t="s">
        <v>713</v>
      </c>
      <c r="P15" s="31" t="s">
        <v>714</v>
      </c>
      <c r="Q15" t="s">
        <v>711</v>
      </c>
    </row>
    <row r="16" spans="1:20" ht="15" thickBot="1">
      <c r="B16" s="32" t="s">
        <v>363</v>
      </c>
      <c r="C16" s="106" t="s">
        <v>366</v>
      </c>
      <c r="D16" s="104" t="s">
        <v>535</v>
      </c>
      <c r="E16" s="104" t="s">
        <v>364</v>
      </c>
      <c r="F16" s="104" t="s">
        <v>359</v>
      </c>
      <c r="G16" s="104" t="s">
        <v>545</v>
      </c>
      <c r="H16" s="104" t="s">
        <v>364</v>
      </c>
      <c r="I16" s="104" t="s">
        <v>707</v>
      </c>
      <c r="J16" s="104" t="s">
        <v>706</v>
      </c>
      <c r="K16" s="104" t="s">
        <v>364</v>
      </c>
      <c r="L16" s="104"/>
      <c r="M16" s="44" t="s">
        <v>257</v>
      </c>
      <c r="N16" s="291">
        <v>2020</v>
      </c>
      <c r="O16" s="291">
        <v>2030</v>
      </c>
      <c r="P16" s="291">
        <v>2040</v>
      </c>
      <c r="Q16" s="198">
        <v>2031</v>
      </c>
    </row>
    <row r="17" spans="2:17" ht="15" thickBot="1">
      <c r="B17" t="s">
        <v>353</v>
      </c>
      <c r="C17" s="195">
        <f>D17*$C$11/$D$11</f>
        <v>1.4069501057654819E-4</v>
      </c>
      <c r="D17" s="126">
        <f>'Output - Jobs vs Yr (BAU)'!N10/'Output -Jobs vs Yr'!$N$14</f>
        <v>1.2349897694833686E-4</v>
      </c>
      <c r="E17" s="105">
        <f t="shared" ref="E17:E23" si="0">IF($C$24&lt;&gt;0,C17/$C$24,0)</f>
        <v>5.6278004230619276E-4</v>
      </c>
      <c r="F17" s="172">
        <f>C17*$C$12/$C$11</f>
        <v>1.6883401269185782E-4</v>
      </c>
      <c r="G17" s="105">
        <f>'Output - Jobs vs Yr (BAU)'!X10/'Output - Jobs vs Yr (BAU)'!X24</f>
        <v>1.6453924382803849E-4</v>
      </c>
      <c r="H17" s="105">
        <f t="shared" ref="H17:H23" si="1">G17/$G$24</f>
        <v>7.6147366142923553E-4</v>
      </c>
      <c r="I17" s="172">
        <f>F17*$C$13/$C$12</f>
        <v>1.7446181311491976E-4</v>
      </c>
      <c r="J17" s="105">
        <f>'Output - Jobs vs Yr (BAU)'!AH10/'Output - Jobs vs Yr (BAU)'!AH24</f>
        <v>1.9978393733958427E-4</v>
      </c>
      <c r="K17" s="105">
        <f>J17/$J$24</f>
        <v>9.1328183528229E-4</v>
      </c>
      <c r="L17" s="105"/>
      <c r="M17" s="45" t="s">
        <v>259</v>
      </c>
      <c r="N17" s="86">
        <f>HLOOKUP(N16,'Output -Jobs vs Yr'!$H$175:$AH$184,9)</f>
        <v>59.574264821691941</v>
      </c>
      <c r="O17" s="86">
        <f>HLOOKUP(O16,'Output -Jobs vs Yr'!$H$175:$AH$184,9)</f>
        <v>166.38419755749874</v>
      </c>
      <c r="P17" s="86">
        <f>HLOOKUP(P16,'Output -Jobs vs Yr'!$H$175:$AH$184,9)</f>
        <v>179.59624984366019</v>
      </c>
      <c r="Q17" s="86">
        <f>HLOOKUP(Q16,'Output -Jobs vs Yr'!$H$175:$AH$184,9)</f>
        <v>168.21377419002511</v>
      </c>
    </row>
    <row r="18" spans="2:17" ht="15" thickBot="1">
      <c r="B18" s="4" t="s">
        <v>354</v>
      </c>
      <c r="C18" s="195">
        <f>D18*$C$11/$D$11</f>
        <v>3.4615840489015466E-7</v>
      </c>
      <c r="D18" s="126">
        <f>'Output - Jobs vs Yr (BAU)'!N15/'Output -Jobs vs Yr'!$N$14</f>
        <v>3.0385021253289637E-7</v>
      </c>
      <c r="E18" s="105">
        <f t="shared" si="0"/>
        <v>1.3846336195606186E-6</v>
      </c>
      <c r="F18" s="172">
        <f t="shared" ref="F18:F23" si="2">C18*$C$12/$C$11</f>
        <v>4.1539008586818559E-7</v>
      </c>
      <c r="G18" s="105">
        <f>'Output - Jobs vs Yr (BAU)'!X15/'Output - Jobs vs Yr (BAU)'!X24</f>
        <v>2.9929231762172744E-7</v>
      </c>
      <c r="H18" s="105">
        <f t="shared" si="1"/>
        <v>1.3850994549071971E-6</v>
      </c>
      <c r="I18" s="172">
        <f t="shared" ref="I18:I24" si="3">F18*$C$13/$C$12</f>
        <v>4.2923642206379173E-7</v>
      </c>
      <c r="J18" s="105">
        <f>'Output - Jobs vs Yr (BAU)'!AH15/'Output - Jobs vs Yr (BAU)'!AH24</f>
        <v>3.0009686688940551E-7</v>
      </c>
      <c r="K18" s="105">
        <f t="shared" ref="K18:K24" si="4">J18/$J$24</f>
        <v>1.3718471114590343E-6</v>
      </c>
      <c r="L18" s="105"/>
      <c r="M18" s="46" t="s">
        <v>260</v>
      </c>
      <c r="N18" s="87">
        <f>HLOOKUP(N16,'Output -Jobs vs Yr'!$H$175:$AH$184,10)</f>
        <v>53.616530744644024</v>
      </c>
      <c r="O18" s="87">
        <f>HLOOKUP(O16,'Output -Jobs vs Yr'!$H$175:$AH$184,10)</f>
        <v>149.74540307005827</v>
      </c>
      <c r="P18" s="87">
        <f>HLOOKUP(P16,'Output -Jobs vs Yr'!$H$175:$AH$184,10)</f>
        <v>161.63623867236947</v>
      </c>
      <c r="Q18" s="87">
        <f>HLOOKUP(Q16,'Output -Jobs vs Yr'!$H$175:$AH$184,10)</f>
        <v>151.39202085467969</v>
      </c>
    </row>
    <row r="19" spans="2:17" ht="15" thickBot="1">
      <c r="B19" s="4" t="s">
        <v>355</v>
      </c>
      <c r="C19" s="195">
        <f>D19*$C$11/$D$11</f>
        <v>3.4615840489015468E-12</v>
      </c>
      <c r="D19" s="126">
        <f>'Output - Jobs vs Yr (BAU)'!N11/'Output -Jobs vs Yr'!$N$14</f>
        <v>3.0385021253289639E-12</v>
      </c>
      <c r="E19" s="105">
        <f t="shared" si="0"/>
        <v>1.3846336195606187E-11</v>
      </c>
      <c r="F19" s="172">
        <f t="shared" si="2"/>
        <v>4.1539008586818563E-12</v>
      </c>
      <c r="G19" s="105">
        <f>'Output - Jobs vs Yr (BAU)'!X11/'Output - Jobs vs Yr (BAU)'!X24</f>
        <v>2.9929231762172746E-12</v>
      </c>
      <c r="H19" s="105">
        <f t="shared" si="1"/>
        <v>1.3850994549071973E-11</v>
      </c>
      <c r="I19" s="172">
        <f t="shared" si="3"/>
        <v>4.2923642206379181E-12</v>
      </c>
      <c r="J19" s="105">
        <f>'Output - Jobs vs Yr (BAU)'!AH11/'Output - Jobs vs Yr (BAU)'!AH24</f>
        <v>3.0009686688940556E-12</v>
      </c>
      <c r="K19" s="105">
        <f t="shared" si="4"/>
        <v>1.3718471114590345E-11</v>
      </c>
      <c r="L19" s="105"/>
      <c r="M19" s="46" t="s">
        <v>261</v>
      </c>
      <c r="N19" s="87">
        <f>HLOOKUP(N16,'Output -Jobs vs Yr'!$H$175:$AH$184,8)</f>
        <v>113.19079556633551</v>
      </c>
      <c r="O19" s="87">
        <f>HLOOKUP(O16,'Output -Jobs vs Yr'!$H$175:$AH$184,8)</f>
        <v>316.12960062755701</v>
      </c>
      <c r="P19" s="87">
        <f>HLOOKUP(P16,'Output -Jobs vs Yr'!$H$175:$AH$184,8)</f>
        <v>341.23248851602875</v>
      </c>
      <c r="Q19" s="87">
        <f>HLOOKUP(Q16,'Output -Jobs vs Yr'!$H$175:$AH$184,8)</f>
        <v>319.60579504470479</v>
      </c>
    </row>
    <row r="20" spans="2:17" ht="15" thickBot="1">
      <c r="B20" s="4" t="s">
        <v>51</v>
      </c>
      <c r="C20" s="195">
        <f>D20*$C$11/$D$11</f>
        <v>3.4615840489015465E-6</v>
      </c>
      <c r="D20" s="126">
        <f>'Output - Jobs vs Yr (BAU)'!N12/'Output -Jobs vs Yr'!$N$14</f>
        <v>3.0385021253289637E-6</v>
      </c>
      <c r="E20" s="105">
        <f t="shared" si="0"/>
        <v>1.3846336195606186E-5</v>
      </c>
      <c r="F20" s="172">
        <f t="shared" si="2"/>
        <v>4.1539008586818553E-6</v>
      </c>
      <c r="G20" s="105">
        <f>'Output - Jobs vs Yr (BAU)'!X12/'Output - Jobs vs Yr (BAU)'!X24</f>
        <v>2.9929231762172745E-6</v>
      </c>
      <c r="H20" s="105">
        <f t="shared" si="1"/>
        <v>1.3850994549071971E-5</v>
      </c>
      <c r="I20" s="172">
        <f t="shared" si="3"/>
        <v>4.2923642206379174E-6</v>
      </c>
      <c r="J20" s="105">
        <f>'Output - Jobs vs Yr (BAU)'!AH12/'Output - Jobs vs Yr (BAU)'!AH24</f>
        <v>3.0009686688940556E-6</v>
      </c>
      <c r="K20" s="105">
        <f t="shared" si="4"/>
        <v>1.3718471114590344E-5</v>
      </c>
      <c r="L20" s="105"/>
      <c r="M20" s="47" t="s">
        <v>459</v>
      </c>
      <c r="N20" s="88">
        <f>HLOOKUP(N16,'Output -Jobs vs Yr'!$H$175:$AH$188,11)-HLOOKUP(N16,'Output -Jobs vs Yr'!$H$175:$AH$188,14)</f>
        <v>158.74138744605716</v>
      </c>
      <c r="O20" s="88">
        <f>HLOOKUP(O16,'Output -Jobs vs Yr'!$H$175:$AH$188,11)-HLOOKUP(O16,'Output -Jobs vs Yr'!$H$175:$AH$188,14)</f>
        <v>2422.0425427229266</v>
      </c>
      <c r="P20" s="88">
        <f>HLOOKUP(P16,'Output -Jobs vs Yr'!$H$175:$AH$188,11)-HLOOKUP(P16,'Output -Jobs vs Yr'!$H$175:$AH$188,14)</f>
        <v>5731.7785100189531</v>
      </c>
      <c r="Q20" s="88">
        <f>HLOOKUP(Q16,'Output -Jobs vs Yr'!$H$175:$AH$188,11)-HLOOKUP(Q16,'Output -Jobs vs Yr'!$H$175:$AH$188,14)</f>
        <v>2741.6483377676313</v>
      </c>
    </row>
    <row r="21" spans="2:17" ht="15" thickBot="1">
      <c r="B21" t="s">
        <v>356</v>
      </c>
      <c r="C21" s="195">
        <f t="shared" ref="C21:C23" si="5">D21*$C$11/$D$11</f>
        <v>6.923168097803093E-6</v>
      </c>
      <c r="D21" s="126">
        <f>'Output - Jobs vs Yr (BAU)'!N13/'Output -Jobs vs Yr'!$N$14</f>
        <v>6.0770042506579273E-6</v>
      </c>
      <c r="E21" s="105">
        <f t="shared" si="0"/>
        <v>2.7692672391212372E-5</v>
      </c>
      <c r="F21" s="172">
        <f t="shared" si="2"/>
        <v>8.3078017173637105E-6</v>
      </c>
      <c r="G21" s="105">
        <f>'Output - Jobs vs Yr (BAU)'!X13/'Output - Jobs vs Yr (BAU)'!X24</f>
        <v>5.985846352434549E-6</v>
      </c>
      <c r="H21" s="105">
        <f t="shared" si="1"/>
        <v>2.7701989098143942E-5</v>
      </c>
      <c r="I21" s="172">
        <f t="shared" si="3"/>
        <v>8.5847284412758349E-6</v>
      </c>
      <c r="J21" s="105">
        <f>'Output - Jobs vs Yr (BAU)'!AH13/'Output - Jobs vs Yr (BAU)'!AH24</f>
        <v>0</v>
      </c>
      <c r="K21" s="105">
        <f t="shared" si="4"/>
        <v>0</v>
      </c>
      <c r="L21" s="105"/>
      <c r="N21" s="160"/>
    </row>
    <row r="22" spans="2:17" ht="15" thickBot="1">
      <c r="B22" s="4" t="s">
        <v>357</v>
      </c>
      <c r="C22" s="195">
        <f t="shared" si="5"/>
        <v>3.4615840489015465E-6</v>
      </c>
      <c r="D22" s="126">
        <f>'Output - Jobs vs Yr (BAU)'!N14/'Output -Jobs vs Yr'!$N$14</f>
        <v>3.0385021253289637E-6</v>
      </c>
      <c r="E22" s="105">
        <f t="shared" si="0"/>
        <v>1.3846336195606186E-5</v>
      </c>
      <c r="F22" s="172">
        <f t="shared" si="2"/>
        <v>4.1539008586818553E-6</v>
      </c>
      <c r="G22" s="105">
        <f>'Output - Jobs vs Yr (BAU)'!X14/'Output - Jobs vs Yr (BAU)'!X24</f>
        <v>2.9929231762172745E-6</v>
      </c>
      <c r="H22" s="105">
        <f t="shared" si="1"/>
        <v>1.3850994549071971E-5</v>
      </c>
      <c r="I22" s="172">
        <f t="shared" si="3"/>
        <v>4.2923642206379174E-6</v>
      </c>
      <c r="J22" s="105">
        <f>'Output - Jobs vs Yr (BAU)'!AH14/'Output - Jobs vs Yr (BAU)'!AH24</f>
        <v>3.0009686688940556E-6</v>
      </c>
      <c r="K22" s="105">
        <f t="shared" si="4"/>
        <v>1.3718471114590344E-5</v>
      </c>
      <c r="L22" s="105"/>
      <c r="O22" t="s">
        <v>0</v>
      </c>
    </row>
    <row r="23" spans="2:17" ht="15" thickBot="1">
      <c r="B23" t="s">
        <v>358</v>
      </c>
      <c r="C23" s="195">
        <f t="shared" si="5"/>
        <v>0.24984511249136138</v>
      </c>
      <c r="D23" s="126">
        <f>'Output - Jobs vs Yr (BAU)'!N16/'Output -Jobs vs Yr'!$N$14</f>
        <v>0.21930852886526206</v>
      </c>
      <c r="E23" s="105">
        <f t="shared" si="0"/>
        <v>0.99938044996544551</v>
      </c>
      <c r="F23" s="172">
        <f t="shared" si="2"/>
        <v>0.29981413498963366</v>
      </c>
      <c r="G23" s="105">
        <f>'Output - Jobs vs Yr (BAU)'!X16/'Output - Jobs vs Yr (BAU)'!X24</f>
        <v>0.21590320955401393</v>
      </c>
      <c r="H23" s="105">
        <f t="shared" si="1"/>
        <v>0.99918173724706849</v>
      </c>
      <c r="I23" s="172">
        <f t="shared" si="3"/>
        <v>0.30980793948928814</v>
      </c>
      <c r="J23" s="105">
        <f>'Output - Jobs vs Yr (BAU)'!AH16/'Output - Jobs vs Yr (BAU)'!AH24</f>
        <v>0.218547785635999</v>
      </c>
      <c r="K23" s="105">
        <f t="shared" si="4"/>
        <v>0.99905790936165861</v>
      </c>
      <c r="L23" s="105"/>
      <c r="M23" s="44"/>
      <c r="N23" s="197"/>
      <c r="O23" t="s">
        <v>0</v>
      </c>
    </row>
    <row r="24" spans="2:17">
      <c r="B24" s="108" t="s">
        <v>370</v>
      </c>
      <c r="C24" s="137">
        <f t="shared" ref="C24:H24" si="6">SUM(C17:C23)</f>
        <v>0.25</v>
      </c>
      <c r="D24" s="205">
        <f t="shared" si="6"/>
        <v>0.21944448570396274</v>
      </c>
      <c r="E24" s="200">
        <f t="shared" si="6"/>
        <v>1</v>
      </c>
      <c r="F24" s="200">
        <f t="shared" si="6"/>
        <v>0.30000000000000004</v>
      </c>
      <c r="G24" s="200">
        <f t="shared" si="6"/>
        <v>0.21608001978585739</v>
      </c>
      <c r="H24" s="105">
        <f t="shared" si="6"/>
        <v>0.99999999999999989</v>
      </c>
      <c r="I24" s="172">
        <f t="shared" si="3"/>
        <v>0.31000000000000005</v>
      </c>
      <c r="J24" s="105">
        <f>SUM(J17:J23)</f>
        <v>0.21875387161054421</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25%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0" t="s">
        <v>342</v>
      </c>
      <c r="E27" s="107"/>
      <c r="F27" s="98"/>
      <c r="G27" s="134" t="s">
        <v>0</v>
      </c>
      <c r="H27" s="135" t="s">
        <v>0</v>
      </c>
      <c r="I27" s="135"/>
      <c r="J27" s="135"/>
      <c r="K27" s="135"/>
      <c r="L27" s="135"/>
      <c r="M27"/>
    </row>
    <row r="28" spans="2:17" ht="15" thickBot="1">
      <c r="B28" t="s">
        <v>371</v>
      </c>
      <c r="C28" s="208">
        <f>D28</f>
        <v>5.841740462662208E-2</v>
      </c>
      <c r="D28" s="105">
        <f>('Output - Jobs vs Yr (BAU)'!N8+'Output - Jobs vs Yr (BAU)'!N7)/'Output -Jobs vs Yr'!N14</f>
        <v>5.841740462662208E-2</v>
      </c>
      <c r="E28" s="136" t="s">
        <v>0</v>
      </c>
      <c r="F28" s="98"/>
      <c r="G28" s="98" t="s">
        <v>0</v>
      </c>
      <c r="H28" s="135" t="s">
        <v>0</v>
      </c>
      <c r="I28" s="135"/>
      <c r="J28" s="135"/>
      <c r="K28" s="135"/>
      <c r="L28" s="135"/>
      <c r="M28"/>
    </row>
    <row r="29" spans="2:17" ht="15" thickBot="1">
      <c r="B29" t="s">
        <v>372</v>
      </c>
      <c r="C29" s="278">
        <f>D29</f>
        <v>6.0822357939568514E-2</v>
      </c>
      <c r="D29" s="105">
        <f>('Output - Jobs vs Yr (BAU)'!X8+'Output - Jobs vs Yr (BAU)'!X7)/'Output -Jobs vs Yr'!X14</f>
        <v>6.0822357939568514E-2</v>
      </c>
      <c r="E29" s="107"/>
      <c r="F29" s="98"/>
      <c r="G29" s="96"/>
      <c r="H29"/>
      <c r="I29"/>
      <c r="J29"/>
      <c r="K29"/>
      <c r="L29"/>
    </row>
    <row r="30" spans="2:17" ht="15" thickBot="1">
      <c r="B30" t="s">
        <v>580</v>
      </c>
      <c r="C30" s="210">
        <f>D30</f>
        <v>6.1340424146895209E-2</v>
      </c>
      <c r="D30" s="105">
        <f>('Output - Jobs vs Yr (BAU)'!AH8+'Output - Jobs vs Yr (BAU)'!AH7)/'Output -Jobs vs Yr'!AH14</f>
        <v>6.1340424146895209E-2</v>
      </c>
      <c r="E30" s="107"/>
      <c r="F30" s="98"/>
      <c r="G30" s="96"/>
      <c r="H30"/>
      <c r="I30"/>
      <c r="J30"/>
      <c r="K30"/>
      <c r="L30"/>
    </row>
    <row r="31" spans="2:17">
      <c r="B31" t="s">
        <v>581</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0" t="s">
        <v>342</v>
      </c>
      <c r="E33" s="200" t="s">
        <v>537</v>
      </c>
      <c r="F33" s="201" t="s">
        <v>359</v>
      </c>
      <c r="G33" s="202" t="s">
        <v>342</v>
      </c>
      <c r="H33" s="201" t="s">
        <v>707</v>
      </c>
      <c r="I33" s="202" t="s">
        <v>342</v>
      </c>
      <c r="J33" s="163"/>
      <c r="K33" s="163"/>
      <c r="L33" s="163"/>
      <c r="M33" s="7" t="s">
        <v>0</v>
      </c>
    </row>
    <row r="34" spans="1:18" ht="15" thickBot="1">
      <c r="B34" s="4" t="s">
        <v>367</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5.841740462662208E-2</v>
      </c>
      <c r="D35" s="105">
        <f>'Output - Jobs vs Yr (BAU)'!N7/'Output -Jobs vs Yr'!N14</f>
        <v>5.841740462662208E-2</v>
      </c>
      <c r="E35" s="203">
        <f>C35</f>
        <v>5.841740462662208E-2</v>
      </c>
      <c r="F35" s="200">
        <f>C35*$C$29/$C$28</f>
        <v>6.0822357939568514E-2</v>
      </c>
      <c r="G35" s="204">
        <f>'Output - Jobs vs Yr (BAU)'!X7/'Output - Jobs vs Yr (BAU)'!X24</f>
        <v>6.0821811829634378E-2</v>
      </c>
      <c r="H35" s="200">
        <f>F35*$C$30/$C$29</f>
        <v>6.1340424146895209E-2</v>
      </c>
      <c r="I35" s="204">
        <f>'Output - Jobs vs Yr (BAU)'!AH7/'Output - Jobs vs Yr (BAU)'!AH24</f>
        <v>6.1340240066204206E-2</v>
      </c>
      <c r="J35"/>
      <c r="K35"/>
      <c r="L35"/>
    </row>
    <row r="36" spans="1:18" ht="15" thickBot="1">
      <c r="B36" s="4" t="s">
        <v>365</v>
      </c>
      <c r="C36" s="209">
        <f>D36</f>
        <v>0</v>
      </c>
      <c r="D36" s="105">
        <f>'Output - Jobs vs Yr (BAU)'!N8/'Output -Jobs vs Yr'!N14</f>
        <v>0</v>
      </c>
      <c r="E36" s="203">
        <f>C36</f>
        <v>0</v>
      </c>
      <c r="F36" s="200">
        <f>C36*$C$29/$C$28</f>
        <v>0</v>
      </c>
      <c r="G36" s="204">
        <f>'Output - Jobs vs Yr (BAU)'!X8/'Output - Jobs vs Yr (BAU)'!X24</f>
        <v>0</v>
      </c>
      <c r="H36" s="200">
        <f>F36*$C$30/$C$29</f>
        <v>0</v>
      </c>
      <c r="I36" s="204">
        <f>'Output - Jobs vs Yr (BAU)'!AH8/'Output - Jobs vs Yr (BAU)'!AH24</f>
        <v>0</v>
      </c>
      <c r="J36"/>
      <c r="K36"/>
      <c r="L36"/>
    </row>
    <row r="37" spans="1:18">
      <c r="B37" s="4" t="s">
        <v>369</v>
      </c>
      <c r="C37" s="138">
        <f>SUM(C35:C36)+'Output -Jobs vs Yr'!N30/'Output -Jobs vs Yr'!N49</f>
        <v>5.841740462662208E-2</v>
      </c>
      <c r="D37" s="105">
        <f>SUM(D34:D36)</f>
        <v>5.841740462662208E-2</v>
      </c>
      <c r="E37" s="203">
        <f>SUM(E34:E36)</f>
        <v>5.841740462662208E-2</v>
      </c>
      <c r="F37" s="203">
        <f>SUM(F34:F36)</f>
        <v>6.0822357939568514E-2</v>
      </c>
      <c r="G37" s="203">
        <f>SUM(G34:G36)</f>
        <v>6.0821811829634378E-2</v>
      </c>
      <c r="H37" s="200">
        <f>C37*$C$30/$C$28</f>
        <v>6.1340424146895209E-2</v>
      </c>
      <c r="I37" s="203">
        <f>SUM(I34:I36)</f>
        <v>6.1340240066204206E-2</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5,8%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0.25</v>
      </c>
      <c r="D40" s="105" t="s">
        <v>0</v>
      </c>
      <c r="E40" s="105" t="s">
        <v>0</v>
      </c>
      <c r="F40" s="105" t="s">
        <v>0</v>
      </c>
      <c r="G40" s="103" t="s">
        <v>0</v>
      </c>
      <c r="H40"/>
      <c r="I40"/>
      <c r="J40"/>
      <c r="K40"/>
      <c r="L40"/>
    </row>
    <row r="41" spans="1:18">
      <c r="B41" s="4" t="s">
        <v>375</v>
      </c>
      <c r="C41" s="105">
        <f>C24+C37</f>
        <v>0.30841740462662209</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77"/>
      <c r="J44" s="277"/>
      <c r="K44" s="277"/>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523</v>
      </c>
    </row>
    <row r="46" spans="1:18" s="1" customFormat="1" ht="15" thickBot="1">
      <c r="A46"/>
      <c r="B46" s="4" t="s">
        <v>121</v>
      </c>
      <c r="C46" s="84">
        <v>0.21</v>
      </c>
      <c r="D46" s="4" t="s">
        <v>0</v>
      </c>
      <c r="E46" s="28" t="s">
        <v>524</v>
      </c>
      <c r="F46" s="28"/>
      <c r="H46" s="49">
        <v>0.9</v>
      </c>
      <c r="I46" s="277"/>
      <c r="J46" s="277"/>
      <c r="K46" s="277"/>
      <c r="L46"/>
      <c r="M46" s="12">
        <f t="shared" si="7"/>
        <v>0.39900000000000002</v>
      </c>
      <c r="N46" s="28" t="s">
        <v>524</v>
      </c>
      <c r="O46"/>
      <c r="P46"/>
      <c r="Q46"/>
      <c r="R46"/>
    </row>
    <row r="47" spans="1:18" s="1" customFormat="1" ht="15" thickBot="1">
      <c r="A47"/>
      <c r="B47" s="4" t="s">
        <v>118</v>
      </c>
      <c r="C47" s="42">
        <v>0.18</v>
      </c>
      <c r="D47" s="4"/>
      <c r="E47" s="28" t="s">
        <v>524</v>
      </c>
      <c r="F47" s="28"/>
      <c r="H47" s="49">
        <v>0.9</v>
      </c>
      <c r="I47" s="277"/>
      <c r="J47" s="277"/>
      <c r="K47" s="277"/>
      <c r="L47"/>
      <c r="M47" s="12">
        <f t="shared" si="7"/>
        <v>0.34199999999999997</v>
      </c>
      <c r="N47" s="28" t="s">
        <v>524</v>
      </c>
      <c r="O47"/>
      <c r="P47"/>
      <c r="Q47"/>
    </row>
    <row r="48" spans="1:18" ht="15" thickBot="1">
      <c r="B48" s="4" t="s">
        <v>49</v>
      </c>
      <c r="C48" s="42">
        <v>0.15</v>
      </c>
      <c r="D48" s="4"/>
      <c r="E48" s="28" t="s">
        <v>524</v>
      </c>
      <c r="F48" s="28"/>
      <c r="G48" s="1"/>
      <c r="H48" s="49">
        <v>0.9</v>
      </c>
      <c r="I48" s="277"/>
      <c r="J48" s="277"/>
      <c r="K48" s="277"/>
      <c r="L48"/>
      <c r="M48" s="12">
        <f t="shared" si="7"/>
        <v>0.28500000000000003</v>
      </c>
      <c r="N48" s="28" t="s">
        <v>524</v>
      </c>
    </row>
    <row r="49" spans="1:17" s="1" customFormat="1" ht="15" thickBot="1">
      <c r="A49"/>
      <c r="B49" s="4" t="s">
        <v>50</v>
      </c>
      <c r="C49" s="42">
        <v>0.25</v>
      </c>
      <c r="D49" s="4" t="s">
        <v>0</v>
      </c>
      <c r="E49" s="28" t="s">
        <v>524</v>
      </c>
      <c r="F49" s="28"/>
      <c r="H49" s="49">
        <v>0.9</v>
      </c>
      <c r="I49" s="277"/>
      <c r="J49" s="277"/>
      <c r="K49" s="277"/>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77"/>
      <c r="J50" s="277"/>
      <c r="K50" s="277"/>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77"/>
      <c r="J51" s="277"/>
      <c r="K51" s="277"/>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77"/>
      <c r="J52" s="277"/>
      <c r="K52" s="277"/>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77"/>
      <c r="J53" s="277"/>
      <c r="K53" s="277"/>
      <c r="L53"/>
      <c r="M53" s="161">
        <f t="shared" si="7"/>
        <v>0.26600000000000001</v>
      </c>
      <c r="N53" s="28" t="s">
        <v>524</v>
      </c>
    </row>
    <row r="54" spans="1:17" ht="15" thickBot="1">
      <c r="B54" s="4" t="s">
        <v>347</v>
      </c>
      <c r="C54" s="84">
        <v>0.79</v>
      </c>
      <c r="D54" s="4" t="s">
        <v>0</v>
      </c>
      <c r="E54" s="28" t="s">
        <v>524</v>
      </c>
      <c r="F54" s="28"/>
      <c r="G54" s="110"/>
      <c r="H54" s="49">
        <v>0.9</v>
      </c>
      <c r="I54" s="277"/>
      <c r="J54" s="277"/>
      <c r="K54" s="277"/>
      <c r="L54"/>
      <c r="M54" s="12">
        <f t="shared" si="7"/>
        <v>1.5010000000000001</v>
      </c>
      <c r="N54" s="28" t="s">
        <v>524</v>
      </c>
    </row>
    <row r="55" spans="1:17" ht="15" thickBot="1">
      <c r="B55" s="4" t="s">
        <v>348</v>
      </c>
      <c r="C55" s="84">
        <v>0.23</v>
      </c>
      <c r="D55" s="4"/>
      <c r="E55" s="28" t="s">
        <v>524</v>
      </c>
      <c r="F55" s="28"/>
      <c r="G55" s="110"/>
      <c r="H55" s="49">
        <v>0.9</v>
      </c>
      <c r="I55" s="277"/>
      <c r="J55" s="277"/>
      <c r="K55" s="277"/>
      <c r="L55"/>
      <c r="M55" s="12">
        <f t="shared" si="7"/>
        <v>0.43700000000000006</v>
      </c>
      <c r="N55" s="28" t="s">
        <v>524</v>
      </c>
    </row>
    <row r="56" spans="1:17" ht="15.75" hidden="1" customHeight="1" thickBot="1">
      <c r="B56" s="4" t="s">
        <v>120</v>
      </c>
      <c r="C56" s="42">
        <v>0.11</v>
      </c>
      <c r="D56" s="4"/>
      <c r="E56" s="28" t="s">
        <v>524</v>
      </c>
      <c r="F56" s="28"/>
      <c r="G56" s="110"/>
      <c r="H56" s="49">
        <v>0.8</v>
      </c>
      <c r="I56" s="277"/>
      <c r="J56" s="277"/>
      <c r="K56" s="277"/>
      <c r="L56"/>
      <c r="M56" s="12">
        <f t="shared" si="7"/>
        <v>0.19800000000000001</v>
      </c>
      <c r="N56" s="28"/>
    </row>
    <row r="57" spans="1:17" ht="15" thickBot="1">
      <c r="B57" s="4" t="s">
        <v>53</v>
      </c>
      <c r="C57" s="84">
        <v>0.17</v>
      </c>
      <c r="D57" s="4" t="s">
        <v>0</v>
      </c>
      <c r="E57" s="28" t="s">
        <v>524</v>
      </c>
      <c r="F57" s="28"/>
      <c r="G57" s="110"/>
      <c r="H57" s="49">
        <v>0.9</v>
      </c>
      <c r="I57" s="277"/>
      <c r="J57" s="277"/>
      <c r="K57" s="277"/>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524</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524</v>
      </c>
      <c r="F60" s="28"/>
      <c r="G60" s="110"/>
      <c r="H60" s="49">
        <v>0.9</v>
      </c>
      <c r="I60" s="277"/>
      <c r="J60" s="277"/>
      <c r="K60" s="277"/>
      <c r="L60"/>
      <c r="M60" s="161">
        <f t="shared" si="7"/>
        <v>0.20900000000000002</v>
      </c>
      <c r="N60" s="28" t="s">
        <v>524</v>
      </c>
    </row>
    <row r="61" spans="1:17" ht="15" thickBot="1">
      <c r="B61" s="4" t="s">
        <v>76</v>
      </c>
      <c r="C61" s="42">
        <v>0.11</v>
      </c>
      <c r="D61" s="4"/>
      <c r="E61" s="28" t="s">
        <v>524</v>
      </c>
      <c r="F61" s="28"/>
      <c r="G61" s="110"/>
      <c r="H61" s="49">
        <v>0.9</v>
      </c>
      <c r="I61" s="277"/>
      <c r="J61" s="277"/>
      <c r="K61" s="277"/>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705</v>
      </c>
    </row>
    <row r="2" spans="1:37">
      <c r="A2" s="272" t="s">
        <v>657</v>
      </c>
    </row>
    <row r="3" spans="1:37">
      <c r="A3" s="272" t="s">
        <v>658</v>
      </c>
    </row>
    <row r="5" spans="1:37">
      <c r="A5" s="6" t="s">
        <v>185</v>
      </c>
    </row>
    <row r="6" spans="1:37">
      <c r="A6" s="6" t="s">
        <v>184</v>
      </c>
    </row>
    <row r="9" spans="1:37">
      <c r="AK9" s="300" t="s">
        <v>715</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582</v>
      </c>
      <c r="AB10" s="300" t="s">
        <v>583</v>
      </c>
      <c r="AC10" s="300" t="s">
        <v>584</v>
      </c>
      <c r="AD10" s="300" t="s">
        <v>585</v>
      </c>
      <c r="AE10" s="300" t="s">
        <v>586</v>
      </c>
      <c r="AF10" s="300" t="s">
        <v>587</v>
      </c>
      <c r="AG10" s="300" t="s">
        <v>588</v>
      </c>
      <c r="AH10" s="300" t="s">
        <v>589</v>
      </c>
      <c r="AI10" s="300" t="s">
        <v>590</v>
      </c>
      <c r="AJ10" s="300" t="s">
        <v>591</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691</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692</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693</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695</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694</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696</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697</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698</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699</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700</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701</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702</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703</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704</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595</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0" t="s">
        <v>596</v>
      </c>
      <c r="B78" s="560"/>
      <c r="C78" s="560"/>
      <c r="D78" s="560"/>
      <c r="E78" s="560"/>
      <c r="F78" s="560"/>
      <c r="G78" s="560"/>
      <c r="H78" s="560"/>
      <c r="I78" s="560"/>
      <c r="J78" s="560"/>
      <c r="K78" s="560"/>
      <c r="L78" s="560"/>
      <c r="M78" s="560"/>
      <c r="N78" s="560"/>
      <c r="O78" s="560"/>
      <c r="P78" s="560"/>
      <c r="Q78" s="560"/>
      <c r="R78" s="560"/>
      <c r="S78" s="560"/>
      <c r="T78" s="560"/>
      <c r="U78" s="560"/>
      <c r="V78" s="560"/>
      <c r="W78" s="560"/>
      <c r="X78" s="560"/>
      <c r="Y78" s="560"/>
      <c r="Z78" s="560"/>
      <c r="AA78" s="560"/>
      <c r="AB78" s="560"/>
      <c r="AC78" s="560"/>
      <c r="AD78" s="560"/>
      <c r="AE78" s="560"/>
      <c r="AF78" s="560"/>
      <c r="AG78" s="298"/>
      <c r="AH78" s="298"/>
      <c r="AI78" s="298"/>
      <c r="AJ78" s="298"/>
      <c r="AK78" s="298"/>
    </row>
    <row r="79" spans="1:37" customFormat="1" ht="15" customHeight="1">
      <c r="A79" s="559" t="s">
        <v>597</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297"/>
      <c r="AH79" s="297"/>
      <c r="AI79" s="297"/>
      <c r="AJ79" s="297"/>
      <c r="AK79" s="297"/>
    </row>
    <row r="80" spans="1:37" customFormat="1" ht="15" customHeight="1">
      <c r="A80" s="559" t="s">
        <v>598</v>
      </c>
      <c r="B80" s="559"/>
      <c r="C80" s="559"/>
      <c r="D80" s="559"/>
      <c r="E80" s="559"/>
      <c r="F80" s="559"/>
      <c r="G80" s="559"/>
      <c r="H80" s="559"/>
      <c r="I80" s="559"/>
      <c r="J80" s="559"/>
      <c r="K80" s="559"/>
      <c r="L80" s="559"/>
      <c r="M80" s="559"/>
      <c r="N80" s="559"/>
      <c r="O80" s="559"/>
      <c r="P80" s="559"/>
      <c r="Q80" s="559"/>
      <c r="R80" s="559"/>
      <c r="S80" s="559"/>
      <c r="T80" s="559"/>
      <c r="U80" s="559"/>
      <c r="V80" s="559"/>
      <c r="W80" s="559"/>
      <c r="X80" s="559"/>
      <c r="Y80" s="559"/>
      <c r="Z80" s="559"/>
      <c r="AA80" s="559"/>
      <c r="AB80" s="559"/>
      <c r="AC80" s="559"/>
      <c r="AD80" s="559"/>
      <c r="AE80" s="559"/>
      <c r="AF80" s="559"/>
      <c r="AG80" s="297"/>
      <c r="AH80" s="297"/>
      <c r="AI80" s="297"/>
      <c r="AJ80" s="297"/>
      <c r="AK80" s="297"/>
    </row>
    <row r="81" spans="1:37" customFormat="1" ht="15" customHeight="1">
      <c r="A81" s="559" t="s">
        <v>599</v>
      </c>
      <c r="B81" s="559"/>
      <c r="C81" s="559"/>
      <c r="D81" s="559"/>
      <c r="E81" s="559"/>
      <c r="F81" s="559"/>
      <c r="G81" s="559"/>
      <c r="H81" s="559"/>
      <c r="I81" s="559"/>
      <c r="J81" s="559"/>
      <c r="K81" s="559"/>
      <c r="L81" s="559"/>
      <c r="M81" s="559"/>
      <c r="N81" s="559"/>
      <c r="O81" s="559"/>
      <c r="P81" s="559"/>
      <c r="Q81" s="559"/>
      <c r="R81" s="559"/>
      <c r="S81" s="559"/>
      <c r="T81" s="559"/>
      <c r="U81" s="559"/>
      <c r="V81" s="559"/>
      <c r="W81" s="559"/>
      <c r="X81" s="559"/>
      <c r="Y81" s="559"/>
      <c r="Z81" s="559"/>
      <c r="AA81" s="559"/>
      <c r="AB81" s="559"/>
      <c r="AC81" s="559"/>
      <c r="AD81" s="559"/>
      <c r="AE81" s="559"/>
      <c r="AF81" s="559"/>
      <c r="AG81" s="297"/>
      <c r="AH81" s="297"/>
      <c r="AI81" s="297"/>
      <c r="AJ81" s="297"/>
      <c r="AK81" s="297"/>
    </row>
    <row r="82" spans="1:37" customFormat="1" ht="15" customHeight="1">
      <c r="A82" s="559" t="s">
        <v>600</v>
      </c>
      <c r="B82" s="559"/>
      <c r="C82" s="559"/>
      <c r="D82" s="559"/>
      <c r="E82" s="559"/>
      <c r="F82" s="559"/>
      <c r="G82" s="559"/>
      <c r="H82" s="559"/>
      <c r="I82" s="559"/>
      <c r="J82" s="559"/>
      <c r="K82" s="559"/>
      <c r="L82" s="559"/>
      <c r="M82" s="559"/>
      <c r="N82" s="559"/>
      <c r="O82" s="559"/>
      <c r="P82" s="559"/>
      <c r="Q82" s="559"/>
      <c r="R82" s="559"/>
      <c r="S82" s="559"/>
      <c r="T82" s="559"/>
      <c r="U82" s="559"/>
      <c r="V82" s="559"/>
      <c r="W82" s="559"/>
      <c r="X82" s="559"/>
      <c r="Y82" s="559"/>
      <c r="Z82" s="559"/>
      <c r="AA82" s="559"/>
      <c r="AB82" s="559"/>
      <c r="AC82" s="559"/>
      <c r="AD82" s="559"/>
      <c r="AE82" s="559"/>
      <c r="AF82" s="559"/>
      <c r="AG82" s="297"/>
      <c r="AH82" s="297"/>
      <c r="AI82" s="297"/>
      <c r="AJ82" s="297"/>
      <c r="AK82" s="297"/>
    </row>
    <row r="83" spans="1:37" customFormat="1" ht="15" customHeight="1">
      <c r="A83" s="559" t="s">
        <v>601</v>
      </c>
      <c r="B83" s="559"/>
      <c r="C83" s="559"/>
      <c r="D83" s="559"/>
      <c r="E83" s="559"/>
      <c r="F83" s="559"/>
      <c r="G83" s="559"/>
      <c r="H83" s="559"/>
      <c r="I83" s="559"/>
      <c r="J83" s="559"/>
      <c r="K83" s="559"/>
      <c r="L83" s="559"/>
      <c r="M83" s="559"/>
      <c r="N83" s="559"/>
      <c r="O83" s="559"/>
      <c r="P83" s="559"/>
      <c r="Q83" s="559"/>
      <c r="R83" s="559"/>
      <c r="S83" s="559"/>
      <c r="T83" s="559"/>
      <c r="U83" s="559"/>
      <c r="V83" s="559"/>
      <c r="W83" s="559"/>
      <c r="X83" s="559"/>
      <c r="Y83" s="559"/>
      <c r="Z83" s="559"/>
      <c r="AA83" s="559"/>
      <c r="AB83" s="559"/>
      <c r="AC83" s="559"/>
      <c r="AD83" s="559"/>
      <c r="AE83" s="559"/>
      <c r="AF83" s="559"/>
      <c r="AG83" s="297"/>
      <c r="AH83" s="297"/>
      <c r="AI83" s="297"/>
      <c r="AJ83" s="297"/>
      <c r="AK83" s="297"/>
    </row>
    <row r="84" spans="1:37" customFormat="1" ht="15" customHeight="1">
      <c r="A84" s="559" t="s">
        <v>602</v>
      </c>
      <c r="B84" s="559"/>
      <c r="C84" s="559"/>
      <c r="D84" s="559"/>
      <c r="E84" s="559"/>
      <c r="F84" s="559"/>
      <c r="G84" s="559"/>
      <c r="H84" s="559"/>
      <c r="I84" s="559"/>
      <c r="J84" s="559"/>
      <c r="K84" s="559"/>
      <c r="L84" s="559"/>
      <c r="M84" s="559"/>
      <c r="N84" s="559"/>
      <c r="O84" s="559"/>
      <c r="P84" s="559"/>
      <c r="Q84" s="559"/>
      <c r="R84" s="559"/>
      <c r="S84" s="559"/>
      <c r="T84" s="559"/>
      <c r="U84" s="559"/>
      <c r="V84" s="559"/>
      <c r="W84" s="559"/>
      <c r="X84" s="559"/>
      <c r="Y84" s="559"/>
      <c r="Z84" s="559"/>
      <c r="AA84" s="559"/>
      <c r="AB84" s="559"/>
      <c r="AC84" s="559"/>
      <c r="AD84" s="559"/>
      <c r="AE84" s="559"/>
      <c r="AF84" s="559"/>
      <c r="AG84" s="297"/>
      <c r="AH84" s="297"/>
      <c r="AI84" s="297"/>
      <c r="AJ84" s="297"/>
      <c r="AK84" s="297"/>
    </row>
    <row r="85" spans="1:37" customFormat="1" ht="15" customHeight="1">
      <c r="A85" s="559" t="s">
        <v>603</v>
      </c>
      <c r="B85" s="559"/>
      <c r="C85" s="559"/>
      <c r="D85" s="559"/>
      <c r="E85" s="559"/>
      <c r="F85" s="559"/>
      <c r="G85" s="559"/>
      <c r="H85" s="559"/>
      <c r="I85" s="559"/>
      <c r="J85" s="559"/>
      <c r="K85" s="559"/>
      <c r="L85" s="559"/>
      <c r="M85" s="559"/>
      <c r="N85" s="559"/>
      <c r="O85" s="559"/>
      <c r="P85" s="559"/>
      <c r="Q85" s="559"/>
      <c r="R85" s="559"/>
      <c r="S85" s="559"/>
      <c r="T85" s="559"/>
      <c r="U85" s="559"/>
      <c r="V85" s="559"/>
      <c r="W85" s="559"/>
      <c r="X85" s="559"/>
      <c r="Y85" s="559"/>
      <c r="Z85" s="559"/>
      <c r="AA85" s="559"/>
      <c r="AB85" s="559"/>
      <c r="AC85" s="559"/>
      <c r="AD85" s="559"/>
      <c r="AE85" s="559"/>
      <c r="AF85" s="559"/>
      <c r="AG85" s="297"/>
      <c r="AH85" s="297"/>
      <c r="AI85" s="297"/>
      <c r="AJ85" s="297"/>
      <c r="AK85" s="297"/>
    </row>
    <row r="86" spans="1:37" customFormat="1" ht="15" customHeight="1">
      <c r="A86" s="559" t="s">
        <v>604</v>
      </c>
      <c r="B86" s="559"/>
      <c r="C86" s="559"/>
      <c r="D86" s="559"/>
      <c r="E86" s="559"/>
      <c r="F86" s="559"/>
      <c r="G86" s="559"/>
      <c r="H86" s="559"/>
      <c r="I86" s="559"/>
      <c r="J86" s="559"/>
      <c r="K86" s="559"/>
      <c r="L86" s="559"/>
      <c r="M86" s="559"/>
      <c r="N86" s="559"/>
      <c r="O86" s="559"/>
      <c r="P86" s="559"/>
      <c r="Q86" s="559"/>
      <c r="R86" s="559"/>
      <c r="S86" s="559"/>
      <c r="T86" s="559"/>
      <c r="U86" s="559"/>
      <c r="V86" s="559"/>
      <c r="W86" s="559"/>
      <c r="X86" s="559"/>
      <c r="Y86" s="559"/>
      <c r="Z86" s="559"/>
      <c r="AA86" s="559"/>
      <c r="AB86" s="559"/>
      <c r="AC86" s="559"/>
      <c r="AD86" s="559"/>
      <c r="AE86" s="559"/>
      <c r="AF86" s="559"/>
      <c r="AG86" s="297"/>
      <c r="AH86" s="297"/>
      <c r="AI86" s="297"/>
      <c r="AJ86" s="297"/>
      <c r="AK86" s="297"/>
    </row>
    <row r="87" spans="1:37" customFormat="1" ht="15" customHeight="1">
      <c r="A87" s="559" t="s">
        <v>605</v>
      </c>
      <c r="B87" s="559"/>
      <c r="C87" s="559"/>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c r="AC87" s="559"/>
      <c r="AD87" s="559"/>
      <c r="AE87" s="559"/>
      <c r="AF87" s="559"/>
      <c r="AG87" s="297"/>
      <c r="AH87" s="297"/>
      <c r="AI87" s="297"/>
      <c r="AJ87" s="297"/>
      <c r="AK87" s="297"/>
    </row>
    <row r="88" spans="1:37" customFormat="1" ht="15" customHeight="1">
      <c r="A88" s="559" t="s">
        <v>606</v>
      </c>
      <c r="B88" s="559"/>
      <c r="C88" s="559"/>
      <c r="D88" s="559"/>
      <c r="E88" s="559"/>
      <c r="F88" s="559"/>
      <c r="G88" s="559"/>
      <c r="H88" s="559"/>
      <c r="I88" s="559"/>
      <c r="J88" s="559"/>
      <c r="K88" s="559"/>
      <c r="L88" s="559"/>
      <c r="M88" s="559"/>
      <c r="N88" s="559"/>
      <c r="O88" s="559"/>
      <c r="P88" s="559"/>
      <c r="Q88" s="559"/>
      <c r="R88" s="559"/>
      <c r="S88" s="559"/>
      <c r="T88" s="559"/>
      <c r="U88" s="559"/>
      <c r="V88" s="559"/>
      <c r="W88" s="559"/>
      <c r="X88" s="559"/>
      <c r="Y88" s="559"/>
      <c r="Z88" s="559"/>
      <c r="AA88" s="559"/>
      <c r="AB88" s="559"/>
      <c r="AC88" s="559"/>
      <c r="AD88" s="559"/>
      <c r="AE88" s="559"/>
      <c r="AF88" s="559"/>
      <c r="AG88" s="297"/>
      <c r="AH88" s="297"/>
      <c r="AI88" s="297"/>
      <c r="AJ88" s="297"/>
      <c r="AK88" s="297"/>
    </row>
    <row r="89" spans="1:37" customFormat="1" ht="15" customHeight="1">
      <c r="A89" s="559" t="s">
        <v>607</v>
      </c>
      <c r="B89" s="559"/>
      <c r="C89" s="559"/>
      <c r="D89" s="559"/>
      <c r="E89" s="559"/>
      <c r="F89" s="559"/>
      <c r="G89" s="559"/>
      <c r="H89" s="559"/>
      <c r="I89" s="559"/>
      <c r="J89" s="559"/>
      <c r="K89" s="559"/>
      <c r="L89" s="559"/>
      <c r="M89" s="559"/>
      <c r="N89" s="559"/>
      <c r="O89" s="559"/>
      <c r="P89" s="559"/>
      <c r="Q89" s="559"/>
      <c r="R89" s="559"/>
      <c r="S89" s="559"/>
      <c r="T89" s="559"/>
      <c r="U89" s="559"/>
      <c r="V89" s="559"/>
      <c r="W89" s="559"/>
      <c r="X89" s="559"/>
      <c r="Y89" s="559"/>
      <c r="Z89" s="559"/>
      <c r="AA89" s="559"/>
      <c r="AB89" s="559"/>
      <c r="AC89" s="559"/>
      <c r="AD89" s="559"/>
      <c r="AE89" s="559"/>
      <c r="AF89" s="559"/>
      <c r="AG89" s="297"/>
      <c r="AH89" s="297"/>
      <c r="AI89" s="297"/>
      <c r="AJ89" s="297"/>
      <c r="AK89" s="297"/>
    </row>
    <row r="90" spans="1:37" customFormat="1" ht="15" customHeight="1">
      <c r="A90" s="559" t="s">
        <v>608</v>
      </c>
      <c r="B90" s="559"/>
      <c r="C90" s="559"/>
      <c r="D90" s="559"/>
      <c r="E90" s="559"/>
      <c r="F90" s="559"/>
      <c r="G90" s="559"/>
      <c r="H90" s="559"/>
      <c r="I90" s="559"/>
      <c r="J90" s="559"/>
      <c r="K90" s="559"/>
      <c r="L90" s="559"/>
      <c r="M90" s="559"/>
      <c r="N90" s="559"/>
      <c r="O90" s="559"/>
      <c r="P90" s="559"/>
      <c r="Q90" s="559"/>
      <c r="R90" s="559"/>
      <c r="S90" s="559"/>
      <c r="T90" s="559"/>
      <c r="U90" s="559"/>
      <c r="V90" s="559"/>
      <c r="W90" s="559"/>
      <c r="X90" s="559"/>
      <c r="Y90" s="559"/>
      <c r="Z90" s="559"/>
      <c r="AA90" s="559"/>
      <c r="AB90" s="559"/>
      <c r="AC90" s="559"/>
      <c r="AD90" s="559"/>
      <c r="AE90" s="559"/>
      <c r="AF90" s="559"/>
      <c r="AG90" s="297"/>
      <c r="AH90" s="297"/>
      <c r="AI90" s="297"/>
      <c r="AJ90" s="297"/>
      <c r="AK90" s="297"/>
    </row>
    <row r="91" spans="1:37" customFormat="1" ht="15" customHeight="1">
      <c r="A91" s="559" t="s">
        <v>609</v>
      </c>
      <c r="B91" s="559"/>
      <c r="C91" s="559"/>
      <c r="D91" s="559"/>
      <c r="E91" s="559"/>
      <c r="F91" s="559"/>
      <c r="G91" s="559"/>
      <c r="H91" s="559"/>
      <c r="I91" s="559"/>
      <c r="J91" s="559"/>
      <c r="K91" s="559"/>
      <c r="L91" s="559"/>
      <c r="M91" s="559"/>
      <c r="N91" s="559"/>
      <c r="O91" s="559"/>
      <c r="P91" s="559"/>
      <c r="Q91" s="559"/>
      <c r="R91" s="559"/>
      <c r="S91" s="559"/>
      <c r="T91" s="559"/>
      <c r="U91" s="559"/>
      <c r="V91" s="559"/>
      <c r="W91" s="559"/>
      <c r="X91" s="559"/>
      <c r="Y91" s="559"/>
      <c r="Z91" s="559"/>
      <c r="AA91" s="559"/>
      <c r="AB91" s="559"/>
      <c r="AC91" s="559"/>
      <c r="AD91" s="559"/>
      <c r="AE91" s="559"/>
      <c r="AF91" s="559"/>
      <c r="AG91" s="297"/>
      <c r="AH91" s="297"/>
      <c r="AI91" s="297"/>
      <c r="AJ91" s="297"/>
      <c r="AK91" s="297"/>
    </row>
    <row r="92" spans="1:37" customFormat="1" ht="15" customHeight="1">
      <c r="A92" s="559" t="s">
        <v>610</v>
      </c>
      <c r="B92" s="559"/>
      <c r="C92" s="559"/>
      <c r="D92" s="559"/>
      <c r="E92" s="559"/>
      <c r="F92" s="559"/>
      <c r="G92" s="559"/>
      <c r="H92" s="559"/>
      <c r="I92" s="559"/>
      <c r="J92" s="559"/>
      <c r="K92" s="559"/>
      <c r="L92" s="559"/>
      <c r="M92" s="559"/>
      <c r="N92" s="559"/>
      <c r="O92" s="559"/>
      <c r="P92" s="559"/>
      <c r="Q92" s="559"/>
      <c r="R92" s="559"/>
      <c r="S92" s="559"/>
      <c r="T92" s="559"/>
      <c r="U92" s="559"/>
      <c r="V92" s="559"/>
      <c r="W92" s="559"/>
      <c r="X92" s="559"/>
      <c r="Y92" s="559"/>
      <c r="Z92" s="559"/>
      <c r="AA92" s="559"/>
      <c r="AB92" s="559"/>
      <c r="AC92" s="559"/>
      <c r="AD92" s="559"/>
      <c r="AE92" s="559"/>
      <c r="AF92" s="559"/>
      <c r="AG92" s="297"/>
      <c r="AH92" s="297"/>
      <c r="AI92" s="297"/>
      <c r="AJ92" s="297"/>
      <c r="AK92" s="297"/>
    </row>
    <row r="93" spans="1:37" customFormat="1" ht="15" customHeight="1">
      <c r="A93" s="559" t="s">
        <v>611</v>
      </c>
      <c r="B93" s="559"/>
      <c r="C93" s="559"/>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c r="AC93" s="559"/>
      <c r="AD93" s="559"/>
      <c r="AE93" s="559"/>
      <c r="AF93" s="559"/>
      <c r="AG93" s="297"/>
      <c r="AH93" s="297"/>
      <c r="AI93" s="297"/>
      <c r="AJ93" s="297"/>
      <c r="AK93" s="297"/>
    </row>
    <row r="94" spans="1:37" customFormat="1" ht="15" customHeight="1">
      <c r="A94" s="559" t="s">
        <v>612</v>
      </c>
      <c r="B94" s="559"/>
      <c r="C94" s="559"/>
      <c r="D94" s="559"/>
      <c r="E94" s="559"/>
      <c r="F94" s="559"/>
      <c r="G94" s="559"/>
      <c r="H94" s="559"/>
      <c r="I94" s="559"/>
      <c r="J94" s="559"/>
      <c r="K94" s="559"/>
      <c r="L94" s="559"/>
      <c r="M94" s="559"/>
      <c r="N94" s="559"/>
      <c r="O94" s="559"/>
      <c r="P94" s="559"/>
      <c r="Q94" s="559"/>
      <c r="R94" s="559"/>
      <c r="S94" s="559"/>
      <c r="T94" s="559"/>
      <c r="U94" s="559"/>
      <c r="V94" s="559"/>
      <c r="W94" s="559"/>
      <c r="X94" s="559"/>
      <c r="Y94" s="559"/>
      <c r="Z94" s="559"/>
      <c r="AA94" s="559"/>
      <c r="AB94" s="559"/>
      <c r="AC94" s="559"/>
      <c r="AD94" s="559"/>
      <c r="AE94" s="559"/>
      <c r="AF94" s="559"/>
      <c r="AG94" s="297"/>
      <c r="AH94" s="297"/>
      <c r="AI94" s="297"/>
      <c r="AJ94" s="297"/>
      <c r="AK94" s="297"/>
    </row>
    <row r="95" spans="1:37" customFormat="1" ht="15" customHeight="1">
      <c r="A95" s="559" t="s">
        <v>613</v>
      </c>
      <c r="B95" s="559"/>
      <c r="C95" s="559"/>
      <c r="D95" s="559"/>
      <c r="E95" s="559"/>
      <c r="F95" s="559"/>
      <c r="G95" s="559"/>
      <c r="H95" s="559"/>
      <c r="I95" s="559"/>
      <c r="J95" s="559"/>
      <c r="K95" s="559"/>
      <c r="L95" s="559"/>
      <c r="M95" s="559"/>
      <c r="N95" s="559"/>
      <c r="O95" s="559"/>
      <c r="P95" s="559"/>
      <c r="Q95" s="559"/>
      <c r="R95" s="559"/>
      <c r="S95" s="559"/>
      <c r="T95" s="559"/>
      <c r="U95" s="559"/>
      <c r="V95" s="559"/>
      <c r="W95" s="559"/>
      <c r="X95" s="559"/>
      <c r="Y95" s="559"/>
      <c r="Z95" s="559"/>
      <c r="AA95" s="559"/>
      <c r="AB95" s="559"/>
      <c r="AC95" s="559"/>
      <c r="AD95" s="559"/>
      <c r="AE95" s="559"/>
      <c r="AF95" s="559"/>
      <c r="AG95" s="297"/>
      <c r="AH95" s="297"/>
      <c r="AI95" s="297"/>
      <c r="AJ95" s="297"/>
      <c r="AK95" s="297"/>
    </row>
    <row r="96" spans="1:37" customFormat="1" ht="15" customHeight="1">
      <c r="A96" s="559" t="s">
        <v>614</v>
      </c>
      <c r="B96" s="559"/>
      <c r="C96" s="559"/>
      <c r="D96" s="559"/>
      <c r="E96" s="559"/>
      <c r="F96" s="559"/>
      <c r="G96" s="559"/>
      <c r="H96" s="559"/>
      <c r="I96" s="559"/>
      <c r="J96" s="559"/>
      <c r="K96" s="559"/>
      <c r="L96" s="559"/>
      <c r="M96" s="559"/>
      <c r="N96" s="559"/>
      <c r="O96" s="559"/>
      <c r="P96" s="559"/>
      <c r="Q96" s="559"/>
      <c r="R96" s="559"/>
      <c r="S96" s="559"/>
      <c r="T96" s="559"/>
      <c r="U96" s="559"/>
      <c r="V96" s="559"/>
      <c r="W96" s="559"/>
      <c r="X96" s="559"/>
      <c r="Y96" s="559"/>
      <c r="Z96" s="559"/>
      <c r="AA96" s="559"/>
      <c r="AB96" s="559"/>
      <c r="AC96" s="559"/>
      <c r="AD96" s="559"/>
      <c r="AE96" s="559"/>
      <c r="AF96" s="559"/>
      <c r="AG96" s="297"/>
      <c r="AH96" s="297"/>
      <c r="AI96" s="297"/>
      <c r="AJ96" s="297"/>
      <c r="AK96" s="297"/>
    </row>
    <row r="97" spans="1:37" customFormat="1" ht="15" customHeight="1">
      <c r="A97" s="559" t="s">
        <v>615</v>
      </c>
      <c r="B97" s="559"/>
      <c r="C97" s="559"/>
      <c r="D97" s="559"/>
      <c r="E97" s="559"/>
      <c r="F97" s="559"/>
      <c r="G97" s="559"/>
      <c r="H97" s="559"/>
      <c r="I97" s="559"/>
      <c r="J97" s="559"/>
      <c r="K97" s="559"/>
      <c r="L97" s="559"/>
      <c r="M97" s="559"/>
      <c r="N97" s="559"/>
      <c r="O97" s="559"/>
      <c r="P97" s="559"/>
      <c r="Q97" s="559"/>
      <c r="R97" s="559"/>
      <c r="S97" s="559"/>
      <c r="T97" s="559"/>
      <c r="U97" s="559"/>
      <c r="V97" s="559"/>
      <c r="W97" s="559"/>
      <c r="X97" s="559"/>
      <c r="Y97" s="559"/>
      <c r="Z97" s="559"/>
      <c r="AA97" s="559"/>
      <c r="AB97" s="559"/>
      <c r="AC97" s="559"/>
      <c r="AD97" s="559"/>
      <c r="AE97" s="559"/>
      <c r="AF97" s="559"/>
      <c r="AG97" s="297"/>
      <c r="AH97" s="297"/>
      <c r="AI97" s="297"/>
      <c r="AJ97" s="297"/>
      <c r="AK97" s="297"/>
    </row>
    <row r="98" spans="1:37" customFormat="1" ht="15" customHeight="1">
      <c r="A98" s="559" t="s">
        <v>616</v>
      </c>
      <c r="B98" s="559"/>
      <c r="C98" s="559"/>
      <c r="D98" s="559"/>
      <c r="E98" s="559"/>
      <c r="F98" s="559"/>
      <c r="G98" s="559"/>
      <c r="H98" s="559"/>
      <c r="I98" s="559"/>
      <c r="J98" s="559"/>
      <c r="K98" s="559"/>
      <c r="L98" s="559"/>
      <c r="M98" s="559"/>
      <c r="N98" s="559"/>
      <c r="O98" s="559"/>
      <c r="P98" s="559"/>
      <c r="Q98" s="559"/>
      <c r="R98" s="559"/>
      <c r="S98" s="559"/>
      <c r="T98" s="559"/>
      <c r="U98" s="559"/>
      <c r="V98" s="559"/>
      <c r="W98" s="559"/>
      <c r="X98" s="559"/>
      <c r="Y98" s="559"/>
      <c r="Z98" s="559"/>
      <c r="AA98" s="559"/>
      <c r="AB98" s="559"/>
      <c r="AC98" s="559"/>
      <c r="AD98" s="559"/>
      <c r="AE98" s="559"/>
      <c r="AF98" s="559"/>
      <c r="AG98" s="297"/>
      <c r="AH98" s="297"/>
      <c r="AI98" s="297"/>
      <c r="AJ98" s="297"/>
      <c r="AK98" s="297"/>
    </row>
    <row r="99" spans="1:37" customFormat="1" ht="15" customHeight="1">
      <c r="A99" s="559" t="s">
        <v>617</v>
      </c>
      <c r="B99" s="559"/>
      <c r="C99" s="559"/>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c r="AC99" s="559"/>
      <c r="AD99" s="559"/>
      <c r="AE99" s="559"/>
      <c r="AF99" s="559"/>
      <c r="AG99" s="297"/>
      <c r="AH99" s="297"/>
      <c r="AI99" s="297"/>
      <c r="AJ99" s="297"/>
      <c r="AK99" s="297"/>
    </row>
    <row r="100" spans="1:37" customFormat="1" ht="15" customHeight="1">
      <c r="A100" s="559" t="s">
        <v>618</v>
      </c>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297"/>
      <c r="AH100" s="297"/>
      <c r="AI100" s="297"/>
      <c r="AJ100" s="297"/>
      <c r="AK100" s="297"/>
    </row>
    <row r="101" spans="1:37" customFormat="1" ht="15" customHeight="1">
      <c r="A101" s="559" t="s">
        <v>619</v>
      </c>
      <c r="B101" s="559"/>
      <c r="C101" s="559"/>
      <c r="D101" s="559"/>
      <c r="E101" s="559"/>
      <c r="F101" s="559"/>
      <c r="G101" s="559"/>
      <c r="H101" s="559"/>
      <c r="I101" s="559"/>
      <c r="J101" s="559"/>
      <c r="K101" s="559"/>
      <c r="L101" s="559"/>
      <c r="M101" s="559"/>
      <c r="N101" s="559"/>
      <c r="O101" s="559"/>
      <c r="P101" s="559"/>
      <c r="Q101" s="559"/>
      <c r="R101" s="559"/>
      <c r="S101" s="559"/>
      <c r="T101" s="559"/>
      <c r="U101" s="559"/>
      <c r="V101" s="559"/>
      <c r="W101" s="559"/>
      <c r="X101" s="559"/>
      <c r="Y101" s="559"/>
      <c r="Z101" s="559"/>
      <c r="AA101" s="559"/>
      <c r="AB101" s="559"/>
      <c r="AC101" s="559"/>
      <c r="AD101" s="559"/>
      <c r="AE101" s="559"/>
      <c r="AF101" s="559"/>
      <c r="AG101" s="297"/>
      <c r="AH101" s="297"/>
      <c r="AI101" s="297"/>
      <c r="AJ101" s="297"/>
      <c r="AK101" s="297"/>
    </row>
    <row r="102" spans="1:37" customFormat="1" ht="15" customHeight="1">
      <c r="A102" s="559" t="s">
        <v>620</v>
      </c>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59"/>
      <c r="X102" s="559"/>
      <c r="Y102" s="559"/>
      <c r="Z102" s="559"/>
      <c r="AA102" s="559"/>
      <c r="AB102" s="559"/>
      <c r="AC102" s="559"/>
      <c r="AD102" s="559"/>
      <c r="AE102" s="559"/>
      <c r="AF102" s="559"/>
      <c r="AG102" s="297"/>
      <c r="AH102" s="297"/>
      <c r="AI102" s="297"/>
      <c r="AJ102" s="297"/>
      <c r="AK102" s="297"/>
    </row>
    <row r="103" spans="1:37" customFormat="1" ht="15" customHeight="1">
      <c r="A103" s="559" t="s">
        <v>621</v>
      </c>
      <c r="B103" s="559"/>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297"/>
      <c r="AH103" s="297"/>
      <c r="AI103" s="297"/>
      <c r="AJ103" s="297"/>
      <c r="AK103" s="297"/>
    </row>
    <row r="104" spans="1:37" customFormat="1" ht="15" customHeight="1">
      <c r="A104" s="559" t="s">
        <v>622</v>
      </c>
      <c r="B104" s="559"/>
      <c r="C104" s="559"/>
      <c r="D104" s="559"/>
      <c r="E104" s="559"/>
      <c r="F104" s="559"/>
      <c r="G104" s="559"/>
      <c r="H104" s="559"/>
      <c r="I104" s="559"/>
      <c r="J104" s="559"/>
      <c r="K104" s="559"/>
      <c r="L104" s="559"/>
      <c r="M104" s="559"/>
      <c r="N104" s="559"/>
      <c r="O104" s="559"/>
      <c r="P104" s="559"/>
      <c r="Q104" s="559"/>
      <c r="R104" s="559"/>
      <c r="S104" s="559"/>
      <c r="T104" s="559"/>
      <c r="U104" s="559"/>
      <c r="V104" s="559"/>
      <c r="W104" s="559"/>
      <c r="X104" s="559"/>
      <c r="Y104" s="559"/>
      <c r="Z104" s="559"/>
      <c r="AA104" s="559"/>
      <c r="AB104" s="559"/>
      <c r="AC104" s="559"/>
      <c r="AD104" s="559"/>
      <c r="AE104" s="559"/>
      <c r="AF104" s="559"/>
      <c r="AG104" s="297"/>
      <c r="AH104" s="297"/>
      <c r="AI104" s="297"/>
      <c r="AJ104" s="297"/>
      <c r="AK104" s="297"/>
    </row>
    <row r="105" spans="1:37" customFormat="1" ht="15" customHeight="1">
      <c r="A105" s="559" t="s">
        <v>623</v>
      </c>
      <c r="B105" s="559"/>
      <c r="C105" s="559"/>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c r="AC105" s="559"/>
      <c r="AD105" s="559"/>
      <c r="AE105" s="559"/>
      <c r="AF105" s="559"/>
      <c r="AG105" s="297"/>
      <c r="AH105" s="297"/>
      <c r="AI105" s="297"/>
      <c r="AJ105" s="297"/>
      <c r="AK105" s="297"/>
    </row>
    <row r="106" spans="1:37" customFormat="1" ht="15" customHeight="1">
      <c r="A106" s="559" t="s">
        <v>624</v>
      </c>
      <c r="B106" s="559"/>
      <c r="C106" s="559"/>
      <c r="D106" s="559"/>
      <c r="E106" s="559"/>
      <c r="F106" s="559"/>
      <c r="G106" s="559"/>
      <c r="H106" s="559"/>
      <c r="I106" s="559"/>
      <c r="J106" s="559"/>
      <c r="K106" s="559"/>
      <c r="L106" s="559"/>
      <c r="M106" s="559"/>
      <c r="N106" s="559"/>
      <c r="O106" s="559"/>
      <c r="P106" s="559"/>
      <c r="Q106" s="559"/>
      <c r="R106" s="559"/>
      <c r="S106" s="559"/>
      <c r="T106" s="559"/>
      <c r="U106" s="559"/>
      <c r="V106" s="559"/>
      <c r="W106" s="559"/>
      <c r="X106" s="559"/>
      <c r="Y106" s="559"/>
      <c r="Z106" s="559"/>
      <c r="AA106" s="559"/>
      <c r="AB106" s="559"/>
      <c r="AC106" s="559"/>
      <c r="AD106" s="559"/>
      <c r="AE106" s="559"/>
      <c r="AF106" s="559"/>
      <c r="AG106" s="297"/>
      <c r="AH106" s="297"/>
      <c r="AI106" s="297"/>
      <c r="AJ106" s="297"/>
      <c r="AK106" s="297"/>
    </row>
    <row r="107" spans="1:37" customFormat="1" ht="15" customHeight="1">
      <c r="A107" s="559" t="s">
        <v>625</v>
      </c>
      <c r="B107" s="559"/>
      <c r="C107" s="559"/>
      <c r="D107" s="559"/>
      <c r="E107" s="559"/>
      <c r="F107" s="559"/>
      <c r="G107" s="559"/>
      <c r="H107" s="559"/>
      <c r="I107" s="559"/>
      <c r="J107" s="559"/>
      <c r="K107" s="559"/>
      <c r="L107" s="559"/>
      <c r="M107" s="559"/>
      <c r="N107" s="559"/>
      <c r="O107" s="559"/>
      <c r="P107" s="559"/>
      <c r="Q107" s="559"/>
      <c r="R107" s="559"/>
      <c r="S107" s="559"/>
      <c r="T107" s="559"/>
      <c r="U107" s="559"/>
      <c r="V107" s="559"/>
      <c r="W107" s="559"/>
      <c r="X107" s="559"/>
      <c r="Y107" s="559"/>
      <c r="Z107" s="559"/>
      <c r="AA107" s="559"/>
      <c r="AB107" s="559"/>
      <c r="AC107" s="559"/>
      <c r="AD107" s="559"/>
      <c r="AE107" s="559"/>
      <c r="AF107" s="559"/>
      <c r="AG107" s="297"/>
      <c r="AH107" s="297"/>
      <c r="AI107" s="297"/>
      <c r="AJ107" s="297"/>
      <c r="AK107" s="297"/>
    </row>
    <row r="108" spans="1:37" customFormat="1" ht="15" customHeight="1">
      <c r="A108" s="559" t="s">
        <v>626</v>
      </c>
      <c r="B108" s="559"/>
      <c r="C108" s="559"/>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59"/>
      <c r="AD108" s="559"/>
      <c r="AE108" s="559"/>
      <c r="AF108" s="559"/>
      <c r="AG108" s="297"/>
      <c r="AH108" s="297"/>
      <c r="AI108" s="297"/>
      <c r="AJ108" s="297"/>
      <c r="AK108" s="297"/>
    </row>
    <row r="109" spans="1:37" customFormat="1" ht="15" customHeight="1">
      <c r="A109" s="559" t="s">
        <v>627</v>
      </c>
      <c r="B109" s="559"/>
      <c r="C109" s="559"/>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559"/>
      <c r="AD109" s="559"/>
      <c r="AE109" s="559"/>
      <c r="AF109" s="559"/>
      <c r="AG109" s="297"/>
      <c r="AH109" s="297"/>
      <c r="AI109" s="297"/>
      <c r="AJ109" s="297"/>
      <c r="AK109" s="297"/>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716</v>
      </c>
    </row>
    <row r="9" spans="1:2">
      <c r="A9" t="s">
        <v>527</v>
      </c>
    </row>
    <row r="10" spans="1:2">
      <c r="B10" t="s">
        <v>521</v>
      </c>
    </row>
    <row r="12" spans="1:2">
      <c r="A12" t="s">
        <v>710</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54"/>
  <sheetViews>
    <sheetView topLeftCell="A10" zoomScale="80" zoomScaleNormal="80" zoomScalePageLayoutView="80" workbookViewId="0">
      <pane xSplit="2" ySplit="3" topLeftCell="C114"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0"/>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row>
    <row r="2" spans="1:38" hidden="1">
      <c r="A2" s="530"/>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row>
    <row r="3" spans="1:38" hidden="1">
      <c r="A3" s="530"/>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row>
    <row r="4" spans="1:38" hidden="1">
      <c r="A4" s="530"/>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row>
    <row r="5" spans="1:38" hidden="1">
      <c r="A5" s="530"/>
      <c r="B5" s="530"/>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row>
    <row r="6" spans="1:38" hidden="1">
      <c r="A6" s="530"/>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row>
    <row r="7" spans="1:38" ht="23.25" hidden="1" customHeight="1">
      <c r="A7" s="530"/>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row>
    <row r="8" spans="1:38" s="159" customFormat="1" ht="15.75" hidden="1" customHeight="1">
      <c r="A8" s="530"/>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c r="AL8" s="530"/>
    </row>
    <row r="9" spans="1:38" ht="21" hidden="1" customHeight="1">
      <c r="A9" s="530"/>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34153</v>
      </c>
      <c r="D13" s="330">
        <f>EIA_electricity_aeo2014!F58*1000</f>
        <v>34702.999999999993</v>
      </c>
      <c r="E13" s="330">
        <f>EIA_electricity_aeo2014!G58*1000</f>
        <v>32111.104969083128</v>
      </c>
      <c r="F13" s="330">
        <f>EIA_electricity_aeo2014!H58*1000</f>
        <v>30771.785592158452</v>
      </c>
      <c r="G13" s="330">
        <f>EIA_electricity_aeo2014!I58*1000</f>
        <v>31525.426509061304</v>
      </c>
      <c r="H13" s="286">
        <f>EIA_electricity_aeo2014!J58*1000</f>
        <v>31515.876955215459</v>
      </c>
      <c r="I13" s="83">
        <f>EIA_electricity_aeo2014!K58*1000</f>
        <v>33282.373189923637</v>
      </c>
      <c r="J13" s="83">
        <f>EIA_electricity_aeo2014!L58*1000</f>
        <v>32388.06363536854</v>
      </c>
      <c r="K13" s="83">
        <f>EIA_electricity_aeo2014!M58*1000</f>
        <v>32022.806648416561</v>
      </c>
      <c r="L13" s="83">
        <f>EIA_electricity_aeo2014!N58*1000</f>
        <v>32535.880997399494</v>
      </c>
      <c r="M13" s="83">
        <f>EIA_electricity_aeo2014!O58*1000</f>
        <v>32758.533003142154</v>
      </c>
      <c r="N13" s="177">
        <f>EIA_electricity_aeo2014!P58*1000</f>
        <v>32910.952790323783</v>
      </c>
      <c r="O13" s="83">
        <f>EIA_electricity_aeo2014!Q58*1000</f>
        <v>32973.648287255186</v>
      </c>
      <c r="P13" s="83">
        <f>EIA_electricity_aeo2014!R58*1000</f>
        <v>33039.322936143457</v>
      </c>
      <c r="Q13" s="83">
        <f>EIA_electricity_aeo2014!S58*1000</f>
        <v>33178.315281635085</v>
      </c>
      <c r="R13" s="83">
        <f>EIA_electricity_aeo2014!T58*1000</f>
        <v>33288.404103458801</v>
      </c>
      <c r="S13" s="83">
        <f>EIA_electricity_aeo2014!U58*1000</f>
        <v>33351.271072820338</v>
      </c>
      <c r="T13" s="83">
        <f>EIA_electricity_aeo2014!V58*1000</f>
        <v>33362.688645363785</v>
      </c>
      <c r="U13" s="83">
        <f>EIA_electricity_aeo2014!W58*1000</f>
        <v>33425.329987518911</v>
      </c>
      <c r="V13" s="83">
        <f>EIA_electricity_aeo2014!X58*1000</f>
        <v>33379.764994362224</v>
      </c>
      <c r="W13" s="83">
        <f>EIA_electricity_aeo2014!Y58*1000</f>
        <v>33394.455516560723</v>
      </c>
      <c r="X13" s="184">
        <f>EIA_electricity_aeo2014!Z58*1000</f>
        <v>33411.850634079754</v>
      </c>
      <c r="Y13" s="174">
        <f>EIA_electricity_aeo2014!AA58*1000</f>
        <v>33407.753513067997</v>
      </c>
      <c r="Z13" s="174">
        <f>EIA_electricity_aeo2014!AB58*1000</f>
        <v>33400.177877838105</v>
      </c>
      <c r="AA13" s="174">
        <f>EIA_electricity_aeo2014!AC58*1000</f>
        <v>33391.13462236237</v>
      </c>
      <c r="AB13" s="174">
        <f>EIA_electricity_aeo2014!AD58*1000</f>
        <v>33374.313017364366</v>
      </c>
      <c r="AC13" s="174">
        <f>EIA_electricity_aeo2014!AE58*1000</f>
        <v>33366.249651962295</v>
      </c>
      <c r="AD13" s="174">
        <f>EIA_electricity_aeo2014!AF58*1000</f>
        <v>33345.259311331494</v>
      </c>
      <c r="AE13" s="174">
        <f>EIA_electricity_aeo2014!AG58*1000</f>
        <v>33336.320609688417</v>
      </c>
      <c r="AF13" s="174">
        <f>EIA_electricity_aeo2014!AH58*1000</f>
        <v>33323.034764128242</v>
      </c>
      <c r="AG13" s="174">
        <f>EIA_electricity_aeo2014!AI58*1000</f>
        <v>33318.632525097179</v>
      </c>
      <c r="AH13" s="184">
        <f>EIA_electricity_aeo2014!AJ58*1000</f>
        <v>33322.473819756982</v>
      </c>
      <c r="AI13" s="115">
        <f>X13/C13-1</f>
        <v>-2.1700856906281873E-2</v>
      </c>
      <c r="AJ13" s="165">
        <f>(1+AJ11)^21-1</f>
        <v>0.24007814276920247</v>
      </c>
      <c r="AK13" s="168">
        <f>(1+AK11)^21-1</f>
        <v>0.11389489977934208</v>
      </c>
      <c r="AL13" s="121"/>
    </row>
    <row r="14" spans="1:38" s="20" customFormat="1">
      <c r="A14" s="20" t="s">
        <v>131</v>
      </c>
      <c r="B14" s="33"/>
      <c r="C14" s="330">
        <f>EIA_electricity_aeo2014!E58 * 1000</f>
        <v>34153</v>
      </c>
      <c r="D14" s="330">
        <f>IF(Inputs!$C$7="BAU",'Output -Jobs vs Yr'!D13,C14+($X$14-$C$14)/($X$11-$C$11) )</f>
        <v>34702.999999999993</v>
      </c>
      <c r="E14" s="330">
        <f>IF(Inputs!$C$7="BAU",'Output -Jobs vs Yr'!E13,D14+($X$14-$C$14)/($X$11-$C$11) )</f>
        <v>32111.104969083128</v>
      </c>
      <c r="F14" s="330">
        <f>IF(Inputs!$C$7="BAU",'Output -Jobs vs Yr'!F13,E14+($X$14-$C$14)/($X$11-$C$11) )</f>
        <v>30771.785592158452</v>
      </c>
      <c r="G14" s="330">
        <f>IF(Inputs!$C$7="BAU",'Output -Jobs vs Yr'!G13,F14+($X$14-$C$14)/($X$11-$C$11) )</f>
        <v>31525.426509061304</v>
      </c>
      <c r="H14" s="286">
        <f>EIA_electricity_aeo2014!J58*1000</f>
        <v>31515.876955215459</v>
      </c>
      <c r="I14" s="83">
        <f>IF(Inputs!$C$7="BAU",'Output -Jobs vs Yr'!I13,H14+($X$14-$C$14)/($X$11-$C$11) )</f>
        <v>33282.373189923637</v>
      </c>
      <c r="J14" s="83">
        <f>IF(Inputs!$C$7="BAU",'Output -Jobs vs Yr'!J13,I14+($X$14-$C$14)/($X$11-$C$11) )</f>
        <v>32388.06363536854</v>
      </c>
      <c r="K14" s="83">
        <f>IF(Inputs!$C$7="BAU",'Output -Jobs vs Yr'!K13,J14+($X$14-$C$14)/($X$11-$C$11) )</f>
        <v>32022.806648416561</v>
      </c>
      <c r="L14" s="83">
        <f>IF(Inputs!$C$7="BAU",'Output -Jobs vs Yr'!L13,K14+($X$14-$C$14)/($X$11-$C$11) )</f>
        <v>32535.880997399494</v>
      </c>
      <c r="M14" s="83">
        <f>IF(Inputs!$C$7="BAU",'Output -Jobs vs Yr'!M13,L14+($X$14-$C$14)/($X$11-$C$11) )</f>
        <v>32758.533003142154</v>
      </c>
      <c r="N14" s="177">
        <f>IF(Inputs!$C$7="BAU",'Output -Jobs vs Yr'!N13,M14+($X$14-$C$14)/($X$11-$C$11) )</f>
        <v>32910.952790323783</v>
      </c>
      <c r="O14" s="83">
        <f>IF(Inputs!$C$7="BAU",'Output -Jobs vs Yr'!O13,N14+($X$14-$C$14)/($X$11-$C$11) )</f>
        <v>32973.648287255186</v>
      </c>
      <c r="P14" s="83">
        <f>IF(Inputs!$C$7="BAU",'Output -Jobs vs Yr'!P13,O14+($X$14-$C$14)/($X$11-$C$11) )</f>
        <v>33039.322936143457</v>
      </c>
      <c r="Q14" s="83">
        <f>IF(Inputs!$C$7="BAU",'Output -Jobs vs Yr'!Q13,P14+($X$14-$C$14)/($X$11-$C$11) )</f>
        <v>33178.315281635085</v>
      </c>
      <c r="R14" s="83">
        <f>IF(Inputs!$C$7="BAU",'Output -Jobs vs Yr'!R13,Q14+($X$14-$C$14)/($X$11-$C$11) )</f>
        <v>33288.404103458801</v>
      </c>
      <c r="S14" s="83">
        <f>IF(Inputs!$C$7="BAU",'Output -Jobs vs Yr'!S13,R14+($X$14-$C$14)/($X$11-$C$11) )</f>
        <v>33351.271072820338</v>
      </c>
      <c r="T14" s="83">
        <f>IF(Inputs!$C$7="BAU",'Output -Jobs vs Yr'!T13,S14+($X$14-$C$14)/($X$11-$C$11) )</f>
        <v>33362.688645363785</v>
      </c>
      <c r="U14" s="83">
        <f>IF(Inputs!$C$7="BAU",'Output -Jobs vs Yr'!U13,T14+($X$14-$C$14)/($X$11-$C$11) )</f>
        <v>33425.329987518911</v>
      </c>
      <c r="V14" s="83">
        <f>IF(Inputs!$C$7="BAU",'Output -Jobs vs Yr'!V13,U14+($X$14-$C$14)/($X$11-$C$11) )</f>
        <v>33379.764994362224</v>
      </c>
      <c r="W14" s="83">
        <f>IF(Inputs!$C$7="BAU",'Output -Jobs vs Yr'!W13,V14+($X$14-$C$14)/($X$11-$C$11) )</f>
        <v>33394.455516560723</v>
      </c>
      <c r="X14" s="184">
        <f>IF(Inputs!$C$7="BAU",'Output -Jobs vs Yr'!X13,C14*(1+Inputs!C7) )</f>
        <v>33411.850634079754</v>
      </c>
      <c r="Y14" s="174">
        <f>IF(Inputs!$C$7="BAU",'Output -Jobs vs Yr'!Y13,D14*(1+Inputs!D7) )</f>
        <v>33407.753513067997</v>
      </c>
      <c r="Z14" s="174">
        <f>IF(Inputs!$C$7="BAU",'Output -Jobs vs Yr'!Z13,E14*(1+Inputs!E7) )</f>
        <v>33400.177877838105</v>
      </c>
      <c r="AA14" s="174">
        <f>IF(Inputs!$C$7="BAU",'Output -Jobs vs Yr'!AA13,F14*(1+Inputs!F7) )</f>
        <v>33391.13462236237</v>
      </c>
      <c r="AB14" s="174">
        <f>IF(Inputs!$C$7="BAU",'Output -Jobs vs Yr'!AB13,G14*(1+Inputs!G7) )</f>
        <v>33374.313017364366</v>
      </c>
      <c r="AC14" s="174">
        <f>IF(Inputs!$C$7="BAU",'Output -Jobs vs Yr'!AC13,H14*(1+Inputs!H7) )</f>
        <v>33366.249651962295</v>
      </c>
      <c r="AD14" s="174">
        <f>IF(Inputs!$C$7="BAU",'Output -Jobs vs Yr'!AD13,I14*(1+Inputs!L7) )</f>
        <v>33345.259311331494</v>
      </c>
      <c r="AE14" s="174">
        <f>IF(Inputs!$C$7="BAU",'Output -Jobs vs Yr'!AE13,J14*(1+Inputs!M7) )</f>
        <v>33336.320609688417</v>
      </c>
      <c r="AF14" s="174">
        <f>IF(Inputs!$C$7="BAU",'Output -Jobs vs Yr'!AF13,K14*(1+Inputs!N7) )</f>
        <v>33323.034764128242</v>
      </c>
      <c r="AG14" s="174">
        <f>IF(Inputs!$C$7="BAU",'Output -Jobs vs Yr'!AG13,L14*(1+Inputs!O7) )</f>
        <v>33318.632525097179</v>
      </c>
      <c r="AH14" s="184">
        <f>IF(Inputs!$C$7="BAU",'Output -Jobs vs Yr'!AH13,M14*(1+Inputs!P7) )</f>
        <v>33322.473819756982</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8.7784674845547986E-2</v>
      </c>
      <c r="D16" s="381">
        <f t="shared" si="1"/>
        <v>0.11803340935458474</v>
      </c>
      <c r="E16" s="381">
        <f t="shared" si="1"/>
        <v>0.13500472516513912</v>
      </c>
      <c r="F16" s="381">
        <f t="shared" si="1"/>
        <v>0.16493175499680202</v>
      </c>
      <c r="G16" s="381">
        <f t="shared" si="1"/>
        <v>0.17052957382050898</v>
      </c>
      <c r="H16" s="381">
        <f t="shared" si="1"/>
        <v>0.17258400154401846</v>
      </c>
      <c r="I16" s="381">
        <f t="shared" si="1"/>
        <v>0.19616325246997948</v>
      </c>
      <c r="J16" s="381">
        <f t="shared" si="1"/>
        <v>0.22293978822062921</v>
      </c>
      <c r="K16" s="381">
        <f t="shared" si="1"/>
        <v>0.22563799867221856</v>
      </c>
      <c r="L16" s="381">
        <f t="shared" si="1"/>
        <v>0.2221220846596452</v>
      </c>
      <c r="M16" s="381">
        <f t="shared" si="1"/>
        <v>0.23520233165061016</v>
      </c>
      <c r="N16" s="381">
        <f>Inputs!C11</f>
        <v>0.25</v>
      </c>
      <c r="O16" s="381">
        <f t="shared" ref="O16:W16" si="2">O95</f>
        <v>0.25484246201855482</v>
      </c>
      <c r="P16" s="381">
        <f t="shared" si="2"/>
        <v>0.25955672501073596</v>
      </c>
      <c r="Q16" s="381">
        <f t="shared" si="2"/>
        <v>0.26435639379085568</v>
      </c>
      <c r="R16" s="381">
        <f t="shared" si="2"/>
        <v>0.2692438846328622</v>
      </c>
      <c r="S16" s="381">
        <f t="shared" si="2"/>
        <v>0.27422108512919152</v>
      </c>
      <c r="T16" s="381">
        <f t="shared" si="2"/>
        <v>0.27928981227750871</v>
      </c>
      <c r="U16" s="381">
        <f t="shared" si="2"/>
        <v>0.28445058833223363</v>
      </c>
      <c r="V16" s="381">
        <f t="shared" si="2"/>
        <v>0.28970712524528885</v>
      </c>
      <c r="W16" s="381">
        <f t="shared" si="2"/>
        <v>0.29505903482009932</v>
      </c>
      <c r="X16" s="382">
        <f>Inputs!C12</f>
        <v>0.3</v>
      </c>
      <c r="Y16" s="383">
        <f>Y95</f>
        <v>0.30152410628632936</v>
      </c>
      <c r="Z16" s="383">
        <f t="shared" ref="Z16:AG16" si="3">Z95</f>
        <v>0.30254323270932021</v>
      </c>
      <c r="AA16" s="383">
        <f t="shared" si="3"/>
        <v>0.30356839977813294</v>
      </c>
      <c r="AB16" s="383">
        <f t="shared" si="3"/>
        <v>0.30459717746344045</v>
      </c>
      <c r="AC16" s="383">
        <f t="shared" si="3"/>
        <v>0.30562869479205057</v>
      </c>
      <c r="AD16" s="383">
        <f t="shared" si="3"/>
        <v>0.30666404473816561</v>
      </c>
      <c r="AE16" s="383">
        <f t="shared" si="3"/>
        <v>0.3077018986220218</v>
      </c>
      <c r="AF16" s="383">
        <f t="shared" si="3"/>
        <v>0.3087433016523628</v>
      </c>
      <c r="AG16" s="383">
        <f t="shared" si="3"/>
        <v>0.30978820089866732</v>
      </c>
      <c r="AH16" s="382">
        <f>Inputs!C13</f>
        <v>0.31</v>
      </c>
      <c r="AI16" s="384" t="s">
        <v>0</v>
      </c>
      <c r="AJ16" s="385"/>
      <c r="AK16" s="386"/>
      <c r="AL16" s="387"/>
    </row>
    <row r="17" spans="1:37" s="281" customFormat="1">
      <c r="A17" s="281" t="s">
        <v>115</v>
      </c>
      <c r="B17" s="282"/>
      <c r="C17" s="337"/>
      <c r="D17" s="332">
        <f>D16/C16-1</f>
        <v>0.34457876118192199</v>
      </c>
      <c r="E17" s="332">
        <f t="shared" ref="E17:M17" si="4">E16/D16-1</f>
        <v>0.1437840006770521</v>
      </c>
      <c r="F17" s="332">
        <f t="shared" si="4"/>
        <v>0.22167394359757298</v>
      </c>
      <c r="G17" s="332">
        <f t="shared" si="4"/>
        <v>3.3940212567407091E-2</v>
      </c>
      <c r="H17" s="284"/>
      <c r="I17" s="284">
        <f t="shared" si="4"/>
        <v>0.13662477816605167</v>
      </c>
      <c r="J17" s="284">
        <f t="shared" si="4"/>
        <v>0.1365012835660826</v>
      </c>
      <c r="K17" s="284">
        <f t="shared" si="4"/>
        <v>1.2102866308095317E-2</v>
      </c>
      <c r="L17" s="284">
        <f t="shared" si="4"/>
        <v>-1.5582100680129218E-2</v>
      </c>
      <c r="M17" s="284">
        <f t="shared" si="4"/>
        <v>5.88876473539659E-2</v>
      </c>
      <c r="N17" s="284">
        <f>N16/M16-1</f>
        <v>6.2914632884556454E-2</v>
      </c>
      <c r="O17" s="284">
        <f>O16/N16-1</f>
        <v>1.9369848074219265E-2</v>
      </c>
      <c r="P17" s="284">
        <f t="shared" ref="P17:X17" si="5">P16/O16-1</f>
        <v>1.8498734295848696E-2</v>
      </c>
      <c r="Q17" s="284">
        <f t="shared" si="5"/>
        <v>1.849179126420708E-2</v>
      </c>
      <c r="R17" s="284">
        <f t="shared" si="5"/>
        <v>1.8488264164600476E-2</v>
      </c>
      <c r="S17" s="284">
        <f t="shared" si="5"/>
        <v>1.8485844174756849E-2</v>
      </c>
      <c r="T17" s="284">
        <f t="shared" si="5"/>
        <v>1.8484089747982768E-2</v>
      </c>
      <c r="U17" s="284">
        <f t="shared" si="5"/>
        <v>1.8478210904438797E-2</v>
      </c>
      <c r="V17" s="284">
        <f t="shared" si="5"/>
        <v>1.847961343259974E-2</v>
      </c>
      <c r="W17" s="284">
        <f t="shared" si="5"/>
        <v>1.8473517247044269E-2</v>
      </c>
      <c r="X17" s="283">
        <f t="shared" si="5"/>
        <v>1.6745683394894906E-2</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v>
      </c>
      <c r="D18" s="332">
        <f t="shared" ref="D18:G18" si="6">($N$18-$C$18)/($N$11-$C$11)+C18</f>
        <v>0</v>
      </c>
      <c r="E18" s="332">
        <f t="shared" si="6"/>
        <v>0</v>
      </c>
      <c r="F18" s="332">
        <f t="shared" si="6"/>
        <v>0</v>
      </c>
      <c r="G18" s="332">
        <f t="shared" si="6"/>
        <v>0</v>
      </c>
      <c r="H18" s="284">
        <f>H32/H14</f>
        <v>0</v>
      </c>
      <c r="I18" s="172">
        <f>($N$18-$H$18)/($N$11-$H$11)+H18</f>
        <v>0</v>
      </c>
      <c r="J18" s="172">
        <f t="shared" ref="J18:M18" si="7">($N$18-$H$18)/($N$11-$H$11)+I18</f>
        <v>0</v>
      </c>
      <c r="K18" s="172">
        <f t="shared" si="7"/>
        <v>0</v>
      </c>
      <c r="L18" s="172">
        <f t="shared" si="7"/>
        <v>0</v>
      </c>
      <c r="M18" s="172">
        <f t="shared" si="7"/>
        <v>0</v>
      </c>
      <c r="N18" s="180">
        <f>Inputs!C36</f>
        <v>0</v>
      </c>
      <c r="O18" s="91">
        <f t="shared" ref="O18:W18" si="8">($X$18-$N$18)/($X$11-$N$11)+N18</f>
        <v>0</v>
      </c>
      <c r="P18" s="91">
        <f t="shared" si="8"/>
        <v>0</v>
      </c>
      <c r="Q18" s="91">
        <f t="shared" si="8"/>
        <v>0</v>
      </c>
      <c r="R18" s="91">
        <f t="shared" si="8"/>
        <v>0</v>
      </c>
      <c r="S18" s="22">
        <f t="shared" si="8"/>
        <v>0</v>
      </c>
      <c r="T18" s="91">
        <f t="shared" si="8"/>
        <v>0</v>
      </c>
      <c r="U18" s="91">
        <f t="shared" si="8"/>
        <v>0</v>
      </c>
      <c r="V18" s="91">
        <f t="shared" si="8"/>
        <v>0</v>
      </c>
      <c r="W18" s="91">
        <f t="shared" si="8"/>
        <v>0</v>
      </c>
      <c r="X18" s="185">
        <f>Inputs!F36</f>
        <v>0</v>
      </c>
      <c r="Y18" s="172">
        <f>($AH$18-$X$18)/($AH$11-$X$11)+X18</f>
        <v>0</v>
      </c>
      <c r="Z18" s="172">
        <f t="shared" ref="Z18:AG18" si="9">($AH$18-$X$18)/($AH$11-$X$11)+Y18</f>
        <v>0</v>
      </c>
      <c r="AA18" s="172">
        <f t="shared" si="9"/>
        <v>0</v>
      </c>
      <c r="AB18" s="172">
        <f t="shared" si="9"/>
        <v>0</v>
      </c>
      <c r="AC18" s="172">
        <f t="shared" si="9"/>
        <v>0</v>
      </c>
      <c r="AD18" s="172">
        <f t="shared" si="9"/>
        <v>0</v>
      </c>
      <c r="AE18" s="172">
        <f t="shared" si="9"/>
        <v>0</v>
      </c>
      <c r="AF18" s="172">
        <f t="shared" si="9"/>
        <v>0</v>
      </c>
      <c r="AG18" s="172">
        <f t="shared" si="9"/>
        <v>0</v>
      </c>
      <c r="AH18" s="185">
        <f>Inputs!H36</f>
        <v>0</v>
      </c>
      <c r="AK18"/>
    </row>
    <row r="19" spans="1:37" s="281" customFormat="1">
      <c r="A19" s="281" t="s">
        <v>114</v>
      </c>
      <c r="B19" s="285"/>
      <c r="C19" s="330">
        <f t="shared" ref="C19:AH19" si="10">C16*C14</f>
        <v>2998.1100000000006</v>
      </c>
      <c r="D19" s="330">
        <f t="shared" si="10"/>
        <v>4096.1134048321537</v>
      </c>
      <c r="E19" s="330">
        <f t="shared" si="10"/>
        <v>4335.1509011000007</v>
      </c>
      <c r="F19" s="330">
        <f t="shared" si="10"/>
        <v>5075.2446021000005</v>
      </c>
      <c r="G19" s="330">
        <f t="shared" si="10"/>
        <v>5376.0175471000002</v>
      </c>
      <c r="H19" s="286">
        <f t="shared" si="10"/>
        <v>5439.1361571000007</v>
      </c>
      <c r="I19" s="286">
        <f t="shared" si="10"/>
        <v>6528.7785748550668</v>
      </c>
      <c r="J19" s="286">
        <f t="shared" si="10"/>
        <v>7220.5880477453247</v>
      </c>
      <c r="K19" s="286">
        <f t="shared" si="10"/>
        <v>7225.5620040161275</v>
      </c>
      <c r="L19" s="286">
        <f t="shared" si="10"/>
        <v>7226.9377133805119</v>
      </c>
      <c r="M19" s="286">
        <f t="shared" si="10"/>
        <v>7704.8833437924995</v>
      </c>
      <c r="N19" s="287">
        <f t="shared" si="10"/>
        <v>8227.7381975809458</v>
      </c>
      <c r="O19" s="286">
        <f t="shared" si="10"/>
        <v>8403.0857112580143</v>
      </c>
      <c r="P19" s="286">
        <f t="shared" si="10"/>
        <v>8575.5784578774892</v>
      </c>
      <c r="Q19" s="286">
        <f t="shared" si="10"/>
        <v>8770.8997799090885</v>
      </c>
      <c r="R19" s="286">
        <f t="shared" si="10"/>
        <v>8962.6992340437573</v>
      </c>
      <c r="S19" s="286">
        <f t="shared" si="10"/>
        <v>9145.6217440266082</v>
      </c>
      <c r="T19" s="286">
        <f t="shared" si="10"/>
        <v>9317.8590488366226</v>
      </c>
      <c r="U19" s="286">
        <f t="shared" si="10"/>
        <v>9507.8547801488057</v>
      </c>
      <c r="V19" s="286">
        <f t="shared" si="10"/>
        <v>9670.3557578800046</v>
      </c>
      <c r="W19" s="286">
        <f t="shared" si="10"/>
        <v>9853.3358130591478</v>
      </c>
      <c r="X19" s="287">
        <f>Inputs!C12*'Output -Jobs vs Yr'!X14</f>
        <v>10023.555190223926</v>
      </c>
      <c r="Y19" s="286">
        <f t="shared" si="10"/>
        <v>10073.243021061808</v>
      </c>
      <c r="Z19" s="286">
        <f t="shared" si="10"/>
        <v>10104.997788227463</v>
      </c>
      <c r="AA19" s="286">
        <f t="shared" si="10"/>
        <v>10136.493304086756</v>
      </c>
      <c r="AB19" s="286">
        <f t="shared" si="10"/>
        <v>10165.721544870545</v>
      </c>
      <c r="AC19" s="286">
        <f t="shared" si="10"/>
        <v>10197.683331234948</v>
      </c>
      <c r="AD19" s="286">
        <f t="shared" si="10"/>
        <v>10225.792093255895</v>
      </c>
      <c r="AE19" s="286">
        <f t="shared" si="10"/>
        <v>10257.649144673562</v>
      </c>
      <c r="AF19" s="286">
        <f t="shared" si="10"/>
        <v>10288.263774153418</v>
      </c>
      <c r="AG19" s="286">
        <f t="shared" si="10"/>
        <v>10321.719226353676</v>
      </c>
      <c r="AH19" s="287">
        <f t="shared" si="10"/>
        <v>10329.966884124664</v>
      </c>
    </row>
    <row r="20" spans="1:37" s="20" customFormat="1">
      <c r="A20" s="20" t="s">
        <v>211</v>
      </c>
      <c r="B20" s="33"/>
      <c r="C20" s="330">
        <f>'Output - Jobs vs Yr (BAU)'!C18</f>
        <v>2998.11</v>
      </c>
      <c r="D20" s="330">
        <f>'Output - Jobs vs Yr (BAU)'!D18</f>
        <v>4096.1099999999997</v>
      </c>
      <c r="E20" s="330">
        <f>'Output - Jobs vs Yr (BAU)'!E18</f>
        <v>4335.1509010999998</v>
      </c>
      <c r="F20" s="330">
        <f>'Output - Jobs vs Yr (BAU)'!F18</f>
        <v>5075.2446021000005</v>
      </c>
      <c r="G20" s="330">
        <f>'Output - Jobs vs Yr (BAU)'!G18</f>
        <v>5376.0175471000002</v>
      </c>
      <c r="H20" s="286">
        <f>'Output - Jobs vs Yr (BAU)'!H18</f>
        <v>5438.1361571000007</v>
      </c>
      <c r="I20" s="83">
        <f>'Output - Jobs vs Yr (BAU)'!I18</f>
        <v>6526.4171481000003</v>
      </c>
      <c r="J20" s="83">
        <f>'Output - Jobs vs Yr (BAU)'!J18</f>
        <v>7217.3172741000008</v>
      </c>
      <c r="K20" s="83">
        <f>'Output - Jobs vs Yr (BAU)'!K18</f>
        <v>7221.208818099999</v>
      </c>
      <c r="L20" s="83">
        <f>'Output - Jobs vs Yr (BAU)'!L18</f>
        <v>7221.5083961000009</v>
      </c>
      <c r="M20" s="83">
        <f>'Output - Jobs vs Yr (BAU)'!M18</f>
        <v>7221.6581951000007</v>
      </c>
      <c r="N20" s="177">
        <f>'Output - Jobs vs Yr (BAU)'!N18</f>
        <v>7222.1271090999999</v>
      </c>
      <c r="O20" s="83">
        <f>'Output - Jobs vs Yr (BAU)'!O18</f>
        <v>7221.3128721000003</v>
      </c>
      <c r="P20" s="83">
        <f>'Output - Jobs vs Yr (BAU)'!P18</f>
        <v>7221.6105701000006</v>
      </c>
      <c r="Q20" s="83">
        <f>'Output - Jobs vs Yr (BAU)'!Q18</f>
        <v>7221.4527301000007</v>
      </c>
      <c r="R20" s="83">
        <f>'Output - Jobs vs Yr (BAU)'!R18</f>
        <v>7221.6650240999998</v>
      </c>
      <c r="S20" s="83">
        <f>'Output - Jobs vs Yr (BAU)'!S18</f>
        <v>7221.5437351</v>
      </c>
      <c r="T20" s="83">
        <f>'Output - Jobs vs Yr (BAU)'!T18</f>
        <v>7221.5411491000004</v>
      </c>
      <c r="U20" s="83">
        <f>'Output - Jobs vs Yr (BAU)'!U18</f>
        <v>7220.4132790999993</v>
      </c>
      <c r="V20" s="83">
        <f>'Output - Jobs vs Yr (BAU)'!V18</f>
        <v>7220.2231580999996</v>
      </c>
      <c r="W20" s="83">
        <f>'Output - Jobs vs Yr (BAU)'!W18</f>
        <v>7220.1023540999995</v>
      </c>
      <c r="X20" s="184">
        <f>'Output - Jobs vs Yr (BAU)'!X18</f>
        <v>7219.6981701000013</v>
      </c>
      <c r="Y20" s="174">
        <f>'Output - Jobs vs Yr (BAU)'!Y18</f>
        <v>7220.0017300999998</v>
      </c>
      <c r="Z20" s="174">
        <f>'Output - Jobs vs Yr (BAU)'!Z18</f>
        <v>7220.5113610999997</v>
      </c>
      <c r="AA20" s="174">
        <f>'Output - Jobs vs Yr (BAU)'!AA18</f>
        <v>7223.7446221</v>
      </c>
      <c r="AB20" s="174">
        <f>'Output - Jobs vs Yr (BAU)'!AB18</f>
        <v>7230.6081200999997</v>
      </c>
      <c r="AC20" s="174">
        <f>'Output - Jobs vs Yr (BAU)'!AC18</f>
        <v>7237.5321061000004</v>
      </c>
      <c r="AD20" s="174">
        <f>'Output - Jobs vs Yr (BAU)'!AD18</f>
        <v>7237.0648431000009</v>
      </c>
      <c r="AE20" s="174">
        <f>'Output - Jobs vs Yr (BAU)'!AE18</f>
        <v>7248.8724960999998</v>
      </c>
      <c r="AF20" s="174">
        <f>'Output - Jobs vs Yr (BAU)'!AF18</f>
        <v>7256.9689221000008</v>
      </c>
      <c r="AG20" s="174">
        <f>'Output - Jobs vs Yr (BAU)'!AG18</f>
        <v>7269.4798321000007</v>
      </c>
      <c r="AH20" s="184">
        <f>'Output - Jobs vs Yr (BAU)'!AH18</f>
        <v>7289.4420351000008</v>
      </c>
    </row>
    <row r="21" spans="1:37" s="20" customFormat="1">
      <c r="A21" s="20" t="s">
        <v>116</v>
      </c>
      <c r="B21" s="33"/>
      <c r="C21" s="330">
        <f t="shared" ref="C21:AH21" si="11">MAX(C19:C20)</f>
        <v>2998.1100000000006</v>
      </c>
      <c r="D21" s="330">
        <f t="shared" si="11"/>
        <v>4096.1134048321537</v>
      </c>
      <c r="E21" s="330">
        <f t="shared" si="11"/>
        <v>4335.1509011000007</v>
      </c>
      <c r="F21" s="330">
        <f t="shared" si="11"/>
        <v>5075.2446021000005</v>
      </c>
      <c r="G21" s="330">
        <f t="shared" si="11"/>
        <v>5376.0175471000002</v>
      </c>
      <c r="H21" s="286">
        <f t="shared" si="11"/>
        <v>5439.1361571000007</v>
      </c>
      <c r="I21" s="83">
        <f t="shared" si="11"/>
        <v>6528.7785748550668</v>
      </c>
      <c r="J21" s="83">
        <f t="shared" si="11"/>
        <v>7220.5880477453247</v>
      </c>
      <c r="K21" s="83">
        <f t="shared" si="11"/>
        <v>7225.5620040161275</v>
      </c>
      <c r="L21" s="83">
        <f t="shared" si="11"/>
        <v>7226.9377133805119</v>
      </c>
      <c r="M21" s="83">
        <f t="shared" si="11"/>
        <v>7704.8833437924995</v>
      </c>
      <c r="N21" s="177">
        <f t="shared" si="11"/>
        <v>8227.7381975809458</v>
      </c>
      <c r="O21" s="83">
        <f t="shared" si="11"/>
        <v>8403.0857112580143</v>
      </c>
      <c r="P21" s="83">
        <f t="shared" si="11"/>
        <v>8575.5784578774892</v>
      </c>
      <c r="Q21" s="83">
        <f t="shared" si="11"/>
        <v>8770.8997799090885</v>
      </c>
      <c r="R21" s="83">
        <f t="shared" si="11"/>
        <v>8962.6992340437573</v>
      </c>
      <c r="S21" s="83">
        <f t="shared" si="11"/>
        <v>9145.6217440266082</v>
      </c>
      <c r="T21" s="83">
        <f t="shared" si="11"/>
        <v>9317.8590488366226</v>
      </c>
      <c r="U21" s="83">
        <f t="shared" si="11"/>
        <v>9507.8547801488057</v>
      </c>
      <c r="V21" s="83">
        <f t="shared" si="11"/>
        <v>9670.3557578800046</v>
      </c>
      <c r="W21" s="83">
        <f t="shared" si="11"/>
        <v>9853.3358130591478</v>
      </c>
      <c r="X21" s="184">
        <f t="shared" si="11"/>
        <v>10023.555190223926</v>
      </c>
      <c r="Y21" s="174">
        <f t="shared" si="11"/>
        <v>10073.243021061808</v>
      </c>
      <c r="Z21" s="174">
        <f t="shared" si="11"/>
        <v>10104.997788227463</v>
      </c>
      <c r="AA21" s="174">
        <f t="shared" si="11"/>
        <v>10136.493304086756</v>
      </c>
      <c r="AB21" s="174">
        <f t="shared" si="11"/>
        <v>10165.721544870545</v>
      </c>
      <c r="AC21" s="174">
        <f t="shared" si="11"/>
        <v>10197.683331234948</v>
      </c>
      <c r="AD21" s="174">
        <f t="shared" si="11"/>
        <v>10225.792093255895</v>
      </c>
      <c r="AE21" s="174">
        <f t="shared" si="11"/>
        <v>10257.649144673562</v>
      </c>
      <c r="AF21" s="174">
        <f t="shared" si="11"/>
        <v>10288.263774153418</v>
      </c>
      <c r="AG21" s="174">
        <f t="shared" si="11"/>
        <v>10321.719226353676</v>
      </c>
      <c r="AH21" s="184">
        <f t="shared" si="11"/>
        <v>10329.966884124664</v>
      </c>
      <c r="AI21" s="99"/>
    </row>
    <row r="22" spans="1:37" s="20" customFormat="1">
      <c r="A22" s="20" t="s">
        <v>379</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538</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332">
        <f>C31/C14</f>
        <v>4.3187714110034255E-2</v>
      </c>
      <c r="D26" s="332">
        <f t="shared" ref="D26:G26" si="21">C26+($N$26-$C$26)/($N$11-$C$11)</f>
        <v>4.4572231429724059E-2</v>
      </c>
      <c r="E26" s="332">
        <f t="shared" si="21"/>
        <v>4.5956748749413863E-2</v>
      </c>
      <c r="F26" s="332">
        <f t="shared" si="21"/>
        <v>4.7341266069103667E-2</v>
      </c>
      <c r="G26" s="332">
        <f t="shared" si="21"/>
        <v>4.8725783388793471E-2</v>
      </c>
      <c r="H26" s="284">
        <f>H31/H14</f>
        <v>5.742980435150713E-2</v>
      </c>
      <c r="I26" s="91">
        <f>H26+($N$26-$H$26)/($N$11-$H$11)</f>
        <v>5.7594404397359619E-2</v>
      </c>
      <c r="J26" s="172">
        <f t="shared" ref="J26:M26" si="22">I26+($N$26-$H$26)/($N$11-$H$11)</f>
        <v>5.7759004443212109E-2</v>
      </c>
      <c r="K26" s="172">
        <f t="shared" si="22"/>
        <v>5.7923604489064598E-2</v>
      </c>
      <c r="L26" s="172">
        <f t="shared" si="22"/>
        <v>5.8088204534917087E-2</v>
      </c>
      <c r="M26" s="172">
        <f t="shared" si="22"/>
        <v>5.8252804580769577E-2</v>
      </c>
      <c r="N26" s="180">
        <f>Inputs!C35</f>
        <v>5.841740462662208E-2</v>
      </c>
      <c r="O26" s="91">
        <f t="shared" ref="O26:W26" si="23">N26+($X$26-$N$26)/($X$11-$N$11)</f>
        <v>5.8657899957916725E-2</v>
      </c>
      <c r="P26" s="91">
        <f t="shared" si="23"/>
        <v>5.8898395289211369E-2</v>
      </c>
      <c r="Q26" s="91">
        <f t="shared" si="23"/>
        <v>5.9138890620506014E-2</v>
      </c>
      <c r="R26" s="91">
        <f t="shared" si="23"/>
        <v>5.9379385951800659E-2</v>
      </c>
      <c r="S26" s="22">
        <f t="shared" si="23"/>
        <v>5.9619881283095304E-2</v>
      </c>
      <c r="T26" s="91">
        <f t="shared" si="23"/>
        <v>5.9860376614389949E-2</v>
      </c>
      <c r="U26" s="91">
        <f t="shared" si="23"/>
        <v>6.0100871945684593E-2</v>
      </c>
      <c r="V26" s="91">
        <f t="shared" si="23"/>
        <v>6.0341367276979238E-2</v>
      </c>
      <c r="W26" s="91">
        <f t="shared" si="23"/>
        <v>6.0581862608273883E-2</v>
      </c>
      <c r="X26" s="185">
        <f>Inputs!F35</f>
        <v>6.0822357939568514E-2</v>
      </c>
      <c r="Y26" s="172">
        <f>X26+($AH$26-$X$26)/($AH$11-$X$11)</f>
        <v>6.0874164560301182E-2</v>
      </c>
      <c r="Z26" s="172">
        <f t="shared" ref="Z26:AG26" si="24">Y26+($AH$26-$X$26)/($AH$11-$X$11)</f>
        <v>6.092597118103385E-2</v>
      </c>
      <c r="AA26" s="172">
        <f t="shared" si="24"/>
        <v>6.0977777801766518E-2</v>
      </c>
      <c r="AB26" s="172">
        <f t="shared" si="24"/>
        <v>6.1029584422499186E-2</v>
      </c>
      <c r="AC26" s="172">
        <f t="shared" si="24"/>
        <v>6.1081391043231854E-2</v>
      </c>
      <c r="AD26" s="172">
        <f t="shared" si="24"/>
        <v>6.1133197663964522E-2</v>
      </c>
      <c r="AE26" s="172">
        <f t="shared" si="24"/>
        <v>6.1185004284697191E-2</v>
      </c>
      <c r="AF26" s="172">
        <f t="shared" si="24"/>
        <v>6.1236810905429859E-2</v>
      </c>
      <c r="AG26" s="172">
        <f t="shared" si="24"/>
        <v>6.1288617526162527E-2</v>
      </c>
      <c r="AH26" s="185">
        <f>Inputs!H35</f>
        <v>6.1340424146895209E-2</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5.9619881283095304E-2</v>
      </c>
      <c r="T27" s="13"/>
      <c r="U27" s="13"/>
      <c r="V27" s="13"/>
      <c r="W27" s="13"/>
      <c r="X27" s="176"/>
      <c r="Y27"/>
      <c r="Z27"/>
      <c r="AA27"/>
      <c r="AB27"/>
      <c r="AC27"/>
      <c r="AD27"/>
      <c r="AE27"/>
      <c r="AF27"/>
      <c r="AG27"/>
      <c r="AH27" s="280"/>
      <c r="AI27" s="24"/>
    </row>
    <row r="28" spans="1:37" s="1" customFormat="1">
      <c r="A28" s="1" t="s">
        <v>378</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377</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1474.99</v>
      </c>
      <c r="D31" s="330">
        <f t="shared" ref="D31:AH31" si="27">D26*D14</f>
        <v>1546.7901473057136</v>
      </c>
      <c r="E31" s="330">
        <f t="shared" si="27"/>
        <v>1475.7219831302084</v>
      </c>
      <c r="F31" s="330">
        <f t="shared" si="27"/>
        <v>1456.775289139784</v>
      </c>
      <c r="G31" s="330">
        <f t="shared" si="27"/>
        <v>1536.1011033198486</v>
      </c>
      <c r="H31" s="286">
        <f>'Output - Jobs vs Yr (BAU)'!H7</f>
        <v>1809.950647504196</v>
      </c>
      <c r="I31" s="174">
        <f t="shared" si="27"/>
        <v>1916.8784608043018</v>
      </c>
      <c r="J31" s="174">
        <f t="shared" si="27"/>
        <v>1870.7023114222879</v>
      </c>
      <c r="K31" s="174">
        <f t="shared" si="27"/>
        <v>1854.8763869326692</v>
      </c>
      <c r="L31" s="174">
        <f t="shared" si="27"/>
        <v>1889.950910100664</v>
      </c>
      <c r="M31" s="174">
        <f t="shared" si="27"/>
        <v>1908.2764213847306</v>
      </c>
      <c r="N31" s="184">
        <f t="shared" si="27"/>
        <v>1922.5724458000013</v>
      </c>
      <c r="O31" s="174">
        <f t="shared" si="27"/>
        <v>1934.1649624813469</v>
      </c>
      <c r="P31" s="174">
        <f t="shared" si="27"/>
        <v>1945.9631023808849</v>
      </c>
      <c r="Q31" s="174">
        <f t="shared" si="27"/>
        <v>1962.1287584132804</v>
      </c>
      <c r="R31" s="174">
        <f t="shared" si="27"/>
        <v>1976.644994978785</v>
      </c>
      <c r="S31" s="174">
        <f t="shared" si="27"/>
        <v>1988.3988220018791</v>
      </c>
      <c r="T31" s="174">
        <f t="shared" si="27"/>
        <v>1997.1031071801074</v>
      </c>
      <c r="U31" s="174">
        <f t="shared" si="27"/>
        <v>2008.8914773221252</v>
      </c>
      <c r="V31" s="174">
        <f t="shared" si="27"/>
        <v>2014.1806591440657</v>
      </c>
      <c r="W31" s="174">
        <f t="shared" si="27"/>
        <v>2023.0983159823957</v>
      </c>
      <c r="X31" s="184">
        <f t="shared" si="27"/>
        <v>2032.187538689398</v>
      </c>
      <c r="Y31" s="174">
        <f t="shared" si="27"/>
        <v>2033.6690849444813</v>
      </c>
      <c r="Z31" s="174">
        <f t="shared" si="27"/>
        <v>2034.9382748265687</v>
      </c>
      <c r="AA31" s="174">
        <f t="shared" si="27"/>
        <v>2036.1171875512855</v>
      </c>
      <c r="AB31" s="174">
        <f t="shared" si="27"/>
        <v>2036.8204538361522</v>
      </c>
      <c r="AC31" s="174">
        <f t="shared" si="27"/>
        <v>2038.0569426376078</v>
      </c>
      <c r="AD31" s="174">
        <f t="shared" si="27"/>
        <v>2038.5023286357819</v>
      </c>
      <c r="AE31" s="174">
        <f t="shared" si="27"/>
        <v>2039.682919339825</v>
      </c>
      <c r="AF31" s="174">
        <f t="shared" si="27"/>
        <v>2040.5963786459868</v>
      </c>
      <c r="AG31" s="174">
        <f t="shared" si="27"/>
        <v>2042.0529253254397</v>
      </c>
      <c r="AH31" s="184">
        <f t="shared" si="27"/>
        <v>2044.0146777277046</v>
      </c>
      <c r="AI31" s="127"/>
    </row>
    <row r="32" spans="1:37">
      <c r="A32" s="9" t="s">
        <v>59</v>
      </c>
      <c r="B32" s="35">
        <v>0</v>
      </c>
      <c r="C32" s="330">
        <f>EIA_electricity_aeo2014!E52*1000</f>
        <v>0</v>
      </c>
      <c r="D32" s="330">
        <f t="shared" ref="D32:AH32" si="28">D18*D14</f>
        <v>0</v>
      </c>
      <c r="E32" s="330">
        <f t="shared" si="28"/>
        <v>0</v>
      </c>
      <c r="F32" s="330">
        <f t="shared" si="28"/>
        <v>0</v>
      </c>
      <c r="G32" s="330">
        <f t="shared" si="28"/>
        <v>0</v>
      </c>
      <c r="H32" s="286">
        <f>EIA_electricity_aeo2014!J52*1000</f>
        <v>0</v>
      </c>
      <c r="I32" s="174">
        <f t="shared" si="28"/>
        <v>0</v>
      </c>
      <c r="J32" s="174">
        <f t="shared" si="28"/>
        <v>0</v>
      </c>
      <c r="K32" s="174">
        <f t="shared" si="28"/>
        <v>0</v>
      </c>
      <c r="L32" s="174">
        <f t="shared" si="28"/>
        <v>0</v>
      </c>
      <c r="M32" s="174">
        <f t="shared" si="28"/>
        <v>0</v>
      </c>
      <c r="N32" s="184">
        <f t="shared" si="28"/>
        <v>0</v>
      </c>
      <c r="O32" s="174">
        <f t="shared" si="28"/>
        <v>0</v>
      </c>
      <c r="P32" s="174">
        <f t="shared" si="28"/>
        <v>0</v>
      </c>
      <c r="Q32" s="174">
        <f t="shared" si="28"/>
        <v>0</v>
      </c>
      <c r="R32" s="174">
        <f t="shared" si="28"/>
        <v>0</v>
      </c>
      <c r="S32" s="174">
        <f t="shared" si="28"/>
        <v>0</v>
      </c>
      <c r="T32" s="174">
        <f t="shared" si="28"/>
        <v>0</v>
      </c>
      <c r="U32" s="174">
        <f t="shared" si="28"/>
        <v>0</v>
      </c>
      <c r="V32" s="174">
        <f t="shared" si="28"/>
        <v>0</v>
      </c>
      <c r="W32" s="174">
        <f t="shared" si="28"/>
        <v>0</v>
      </c>
      <c r="X32" s="184">
        <f t="shared" si="28"/>
        <v>0</v>
      </c>
      <c r="Y32" s="174">
        <f t="shared" si="28"/>
        <v>0</v>
      </c>
      <c r="Z32" s="174">
        <f t="shared" si="28"/>
        <v>0</v>
      </c>
      <c r="AA32" s="174">
        <f t="shared" si="28"/>
        <v>0</v>
      </c>
      <c r="AB32" s="174">
        <f t="shared" si="28"/>
        <v>0</v>
      </c>
      <c r="AC32" s="174">
        <f t="shared" si="28"/>
        <v>0</v>
      </c>
      <c r="AD32" s="174">
        <f t="shared" si="28"/>
        <v>0</v>
      </c>
      <c r="AE32" s="174">
        <f t="shared" si="28"/>
        <v>0</v>
      </c>
      <c r="AF32" s="174">
        <f t="shared" si="28"/>
        <v>0</v>
      </c>
      <c r="AG32" s="174">
        <f t="shared" si="28"/>
        <v>0</v>
      </c>
      <c r="AH32" s="184">
        <f t="shared" si="28"/>
        <v>0</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0</v>
      </c>
      <c r="D34" s="330">
        <f>MAX(D58*D$14,'Output - Jobs vs Yr (BAU)'!D10)</f>
        <v>0</v>
      </c>
      <c r="E34" s="330">
        <f>MAX(E58*E$14,'Output - Jobs vs Yr (BAU)'!E10)</f>
        <v>2.3493810000000002</v>
      </c>
      <c r="F34" s="330">
        <f>MAX(F58*F$14,'Output - Jobs vs Yr (BAU)'!F10)</f>
        <v>2.603402</v>
      </c>
      <c r="G34" s="330">
        <f>MAX(G58*G$14,'Output - Jobs vs Yr (BAU)'!G10)</f>
        <v>2.7478670000000003</v>
      </c>
      <c r="H34" s="286">
        <f>'Output - Jobs vs Yr (BAU)'!H10</f>
        <v>3.1163970000000005</v>
      </c>
      <c r="I34" s="286">
        <f>MAX(I58*I$14,'Output - Jobs vs Yr (BAU)'!I10)</f>
        <v>3.4903063966305323</v>
      </c>
      <c r="J34" s="286">
        <f>MAX(J58*J$14,'Output - Jobs vs Yr (BAU)'!J10)</f>
        <v>3.6021362589470498</v>
      </c>
      <c r="K34" s="286">
        <f>MAX(K58*K$14,'Output - Jobs vs Yr (BAU)'!K10)</f>
        <v>3.7771169503476192</v>
      </c>
      <c r="L34" s="286">
        <f>MAX(L58*L$14,'Output - Jobs vs Yr (BAU)'!L10)</f>
        <v>4.0699539530063866</v>
      </c>
      <c r="M34" s="286">
        <f>MAX(M58*M$14,'Output - Jobs vs Yr (BAU)'!M10)</f>
        <v>4.3458752492683681</v>
      </c>
      <c r="N34" s="287">
        <f>MAX(Inputs!$E17*N$21,'Output - Jobs vs Yr (BAU)'!N10)</f>
        <v>4.6304068509188827</v>
      </c>
      <c r="O34" s="286">
        <f>MAX(O58*O$14,'Output - Jobs vs Yr (BAU)'!O10)</f>
        <v>4.7245866917459001</v>
      </c>
      <c r="P34" s="286">
        <f>MAX(P58*P$14,'Output - Jobs vs Yr (BAU)'!P10)</f>
        <v>4.8210993869436125</v>
      </c>
      <c r="Q34" s="286">
        <f>MAX(Q58*Q$14,'Output - Jobs vs Yr (BAU)'!Q10)</f>
        <v>4.9304595487775513</v>
      </c>
      <c r="R34" s="286">
        <f>MAX(R58*R$14,'Output - Jobs vs Yr (BAU)'!R10)</f>
        <v>5.0378376736474593</v>
      </c>
      <c r="S34" s="286">
        <f>MAX(S58*S$14,'Output - Jobs vs Yr (BAU)'!S10)</f>
        <v>5.1402200315120563</v>
      </c>
      <c r="T34" s="286">
        <f>MAX(T58*T$14,'Output - Jobs vs Yr (BAU)'!T10)</f>
        <v>5.2365889691574345</v>
      </c>
      <c r="U34" s="286">
        <f>MAX(U58*U$14,'Output - Jobs vs Yr (BAU)'!U10)</f>
        <v>5.3429519948209947</v>
      </c>
      <c r="V34" s="286">
        <f>MAX(V58*V$14,'Output - Jobs vs Yr (BAU)'!V10)</f>
        <v>5.4338415219010505</v>
      </c>
      <c r="W34" s="286">
        <f>MAX(W58*W$14,'Output - Jobs vs Yr (BAU)'!W10)</f>
        <v>5.5362562650536518</v>
      </c>
      <c r="X34" s="287">
        <f>Inputs!F17*'Output -Jobs vs Yr'!$X$14</f>
        <v>5.6410568140126793</v>
      </c>
      <c r="Y34" s="286">
        <f>MAX(Y58*Y$14,'Output - Jobs vs Yr (BAU)'!Y10)</f>
        <v>5.6588900927922143</v>
      </c>
      <c r="Z34" s="286">
        <f>MAX(Z58*Z$14,'Output - Jobs vs Yr (BAU)'!Z10)</f>
        <v>5.6935210000000005</v>
      </c>
      <c r="AA34" s="286">
        <f>MAX(AA58*AA$14,'Output - Jobs vs Yr (BAU)'!AA10)</f>
        <v>5.8199019999999999</v>
      </c>
      <c r="AB34" s="286">
        <f>MAX(AB58*AB$14,'Output - Jobs vs Yr (BAU)'!AB10)</f>
        <v>5.9512400000000003</v>
      </c>
      <c r="AC34" s="286">
        <f>MAX(AC58*AC$14,'Output - Jobs vs Yr (BAU)'!AC10)</f>
        <v>6.0712260000000011</v>
      </c>
      <c r="AD34" s="286">
        <f>MAX(AD58*AD$14,'Output - Jobs vs Yr (BAU)'!AD10)</f>
        <v>6.197883</v>
      </c>
      <c r="AE34" s="286">
        <f>MAX(AE58*AE$14,'Output - Jobs vs Yr (BAU)'!AE10)</f>
        <v>6.3079359999999998</v>
      </c>
      <c r="AF34" s="286">
        <f>MAX(AF58*AF$14,'Output - Jobs vs Yr (BAU)'!AF10)</f>
        <v>6.4216420000000012</v>
      </c>
      <c r="AG34" s="286">
        <f>MAX(AG58*AG$14,'Output - Jobs vs Yr (BAU)'!AG10)</f>
        <v>6.5493519999999998</v>
      </c>
      <c r="AH34" s="287">
        <f>Inputs!I17*'Output -Jobs vs Yr'!$AH$14</f>
        <v>5.8134992000692494</v>
      </c>
      <c r="AI34" s="127"/>
    </row>
    <row r="35" spans="1:36" s="20" customFormat="1">
      <c r="A35" s="9" t="s">
        <v>50</v>
      </c>
      <c r="B35" s="35">
        <v>1</v>
      </c>
      <c r="C35" s="330">
        <f>EIA_RE_aeo2014!E74*1000</f>
        <v>0</v>
      </c>
      <c r="D35" s="330">
        <f>MAX(D59*D$14,'Output - Jobs vs Yr (BAU)'!D11)</f>
        <v>0</v>
      </c>
      <c r="E35" s="330">
        <f>MAX(E59*E$14,'Output - Jobs vs Yr (BAU)'!E11)</f>
        <v>1.0000000000000001E-7</v>
      </c>
      <c r="F35" s="330">
        <f>MAX(F59*F$14,'Output - Jobs vs Yr (BAU)'!F11)</f>
        <v>1.0000000000000001E-7</v>
      </c>
      <c r="G35" s="330">
        <f>MAX(G59*G$14,'Output - Jobs vs Yr (BAU)'!G11)</f>
        <v>1.0000000000000001E-7</v>
      </c>
      <c r="H35" s="286">
        <f>'Output - Jobs vs Yr (BAU)'!H11</f>
        <v>1.0000000000000001E-7</v>
      </c>
      <c r="I35" s="286">
        <f>MAX(I59*I$14,'Output - Jobs vs Yr (BAU)'!I11)</f>
        <v>1.0714837836265257E-7</v>
      </c>
      <c r="J35" s="286">
        <f>MAX(J59*J$14,'Output - Jobs vs Yr (BAU)'!J11)</f>
        <v>1.0579301965456463E-7</v>
      </c>
      <c r="K35" s="286">
        <f>MAX(K59*K$14,'Output - Jobs vs Yr (BAU)'!K11)</f>
        <v>1.0612852674457915E-7</v>
      </c>
      <c r="L35" s="286">
        <f>MAX(L59*L$14,'Output - Jobs vs Yr (BAU)'!L11)</f>
        <v>1.0940471173162844E-7</v>
      </c>
      <c r="M35" s="286">
        <f>MAX(M59*M$14,'Output - Jobs vs Yr (BAU)'!M11)</f>
        <v>1.1176314466878294E-7</v>
      </c>
      <c r="N35" s="287">
        <f>MAX(Inputs!$E19*N$21,'Output - Jobs vs Yr (BAU)'!N11)</f>
        <v>1.1392402921313666E-7</v>
      </c>
      <c r="O35" s="286">
        <f>MAX(O59*O$14,'Output - Jobs vs Yr (BAU)'!O11)</f>
        <v>1.162411791490082E-7</v>
      </c>
      <c r="P35" s="286">
        <f>MAX(P59*P$14,'Output - Jobs vs Yr (BAU)'!P11)</f>
        <v>1.1861572537380934E-7</v>
      </c>
      <c r="Q35" s="286">
        <f>MAX(Q59*Q$14,'Output - Jobs vs Yr (BAU)'!Q11)</f>
        <v>1.213063637286335E-7</v>
      </c>
      <c r="R35" s="286">
        <f>MAX(R59*R$14,'Output - Jobs vs Yr (BAU)'!R11)</f>
        <v>1.2394823711652027E-7</v>
      </c>
      <c r="S35" s="286">
        <f>MAX(S59*S$14,'Output - Jobs vs Yr (BAU)'!S11)</f>
        <v>1.2646719735129131E-7</v>
      </c>
      <c r="T35" s="286">
        <f>MAX(T59*T$14,'Output - Jobs vs Yr (BAU)'!T11)</f>
        <v>1.2883820664292025E-7</v>
      </c>
      <c r="U35" s="286">
        <f>MAX(U59*U$14,'Output - Jobs vs Yr (BAU)'!U11)</f>
        <v>1.3145510507820324E-7</v>
      </c>
      <c r="V35" s="286">
        <f>MAX(V59*V$14,'Output - Jobs vs Yr (BAU)'!V11)</f>
        <v>1.3369130191178852E-7</v>
      </c>
      <c r="W35" s="286">
        <f>MAX(W59*W$14,'Output - Jobs vs Yr (BAU)'!W11)</f>
        <v>1.362110589366939E-7</v>
      </c>
      <c r="X35" s="287">
        <f>Inputs!F19*'Output -Jobs vs Yr'!$X$14</f>
        <v>1.3878951503905381E-7</v>
      </c>
      <c r="Y35" s="286">
        <f>MAX(Y59*Y$14,'Output - Jobs vs Yr (BAU)'!Y11)</f>
        <v>1.3922827539814463E-7</v>
      </c>
      <c r="Z35" s="286">
        <f>MAX(Z59*Z$14,'Output - Jobs vs Yr (BAU)'!Z11)</f>
        <v>1.396538762524207E-7</v>
      </c>
      <c r="AA35" s="286">
        <f>MAX(AA59*AA$14,'Output - Jobs vs Yr (BAU)'!AA11)</f>
        <v>1.4007461428662085E-7</v>
      </c>
      <c r="AB35" s="286">
        <f>MAX(AB59*AB$14,'Output - Jobs vs Yr (BAU)'!AB11)</f>
        <v>1.4046387251538291E-7</v>
      </c>
      <c r="AC35" s="286">
        <f>MAX(AC59*AC$14,'Output - Jobs vs Yr (BAU)'!AC11)</f>
        <v>1.4089115892036726E-7</v>
      </c>
      <c r="AD35" s="286">
        <f>MAX(AD59*AD$14,'Output - Jobs vs Yr (BAU)'!AD11)</f>
        <v>1.4126497259262678E-7</v>
      </c>
      <c r="AE35" s="286">
        <f>MAX(AE59*AE$14,'Output - Jobs vs Yr (BAU)'!AE11)</f>
        <v>1.4169094559882999E-7</v>
      </c>
      <c r="AF35" s="286">
        <f>MAX(AF59*AF$14,'Output - Jobs vs Yr (BAU)'!AF11)</f>
        <v>1.4209965531708549E-7</v>
      </c>
      <c r="AG35" s="286">
        <f>MAX(AG59*AG$14,'Output - Jobs vs Yr (BAU)'!AG11)</f>
        <v>1.4254752815793146E-7</v>
      </c>
      <c r="AH35" s="287">
        <f>Inputs!I19*'Output -Jobs vs Yr'!$AH$14</f>
        <v>1.4303219436706861E-7</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0.1</v>
      </c>
      <c r="D37" s="330">
        <f>MAX(D61*D$14,'Output - Jobs vs Yr (BAU)'!D12)</f>
        <v>0.10309530195743898</v>
      </c>
      <c r="E37" s="330">
        <f>MAX(E61*E$14,'Output - Jobs vs Yr (BAU)'!E12)</f>
        <v>0.1</v>
      </c>
      <c r="F37" s="330">
        <f>MAX(F61*F$14,'Output - Jobs vs Yr (BAU)'!F12)</f>
        <v>0.1</v>
      </c>
      <c r="G37" s="330">
        <f>MAX(G61*G$14,'Output - Jobs vs Yr (BAU)'!G12)</f>
        <v>0.1</v>
      </c>
      <c r="H37" s="286">
        <f>'Output - Jobs vs Yr (BAU)'!H12</f>
        <v>0.1</v>
      </c>
      <c r="I37" s="118">
        <f>MAX(I61*I$14,'Output - Jobs vs Yr (BAU)'!I12)</f>
        <v>0.10714837836265255</v>
      </c>
      <c r="J37" s="118">
        <f>MAX(J61*J$14,'Output - Jobs vs Yr (BAU)'!J12)</f>
        <v>0.10579301965456461</v>
      </c>
      <c r="K37" s="118">
        <f>MAX(K61*K$14,'Output - Jobs vs Yr (BAU)'!K12)</f>
        <v>0.10612852674457914</v>
      </c>
      <c r="L37" s="118">
        <f>MAX(L61*L$14,'Output - Jobs vs Yr (BAU)'!L12)</f>
        <v>0.10940471173162843</v>
      </c>
      <c r="M37" s="118">
        <f>MAX(M61*M$14,'Output - Jobs vs Yr (BAU)'!M12)</f>
        <v>0.11176314466878291</v>
      </c>
      <c r="N37" s="184">
        <f>MAX(Inputs!$E20*N$21,'Output - Jobs vs Yr (BAU)'!N12)</f>
        <v>0.11392402921313664</v>
      </c>
      <c r="O37" s="174">
        <f>MAX(O61*O$14,'Output - Jobs vs Yr (BAU)'!O12)</f>
        <v>0.11624117914900818</v>
      </c>
      <c r="P37" s="174">
        <f>MAX(P61*P$14,'Output - Jobs vs Yr (BAU)'!P12)</f>
        <v>0.11861572537380932</v>
      </c>
      <c r="Q37" s="174">
        <f>MAX(Q61*Q$14,'Output - Jobs vs Yr (BAU)'!Q12)</f>
        <v>0.1213063637286335</v>
      </c>
      <c r="R37" s="174">
        <f>MAX(R61*R$14,'Output - Jobs vs Yr (BAU)'!R12)</f>
        <v>0.12394823711652027</v>
      </c>
      <c r="S37" s="174">
        <f>MAX(S61*S$14,'Output - Jobs vs Yr (BAU)'!S12)</f>
        <v>0.12646719735129136</v>
      </c>
      <c r="T37" s="174">
        <f>MAX(T61*T$14,'Output - Jobs vs Yr (BAU)'!T12)</f>
        <v>0.12883820664292028</v>
      </c>
      <c r="U37" s="174">
        <f>MAX(U61*U$14,'Output - Jobs vs Yr (BAU)'!U12)</f>
        <v>0.13145510507820321</v>
      </c>
      <c r="V37" s="174">
        <f>MAX(V61*V$14,'Output - Jobs vs Yr (BAU)'!V12)</f>
        <v>0.13369130191178852</v>
      </c>
      <c r="W37" s="174">
        <f>MAX(W61*W$14,'Output - Jobs vs Yr (BAU)'!W12)</f>
        <v>0.13621105893669391</v>
      </c>
      <c r="X37" s="184">
        <f>Inputs!F20*'Output -Jobs vs Yr'!$X$14</f>
        <v>0.13878951503905379</v>
      </c>
      <c r="Y37" s="174">
        <f>MAX(Y61*Y$14,'Output - Jobs vs Yr (BAU)'!Y12)</f>
        <v>0.13922827539814461</v>
      </c>
      <c r="Z37" s="174">
        <f>MAX(Z61*Z$14,'Output - Jobs vs Yr (BAU)'!Z12)</f>
        <v>0.13965387625242068</v>
      </c>
      <c r="AA37" s="174">
        <f>MAX(AA61*AA$14,'Output - Jobs vs Yr (BAU)'!AA12)</f>
        <v>0.14007461428662082</v>
      </c>
      <c r="AB37" s="174">
        <f>MAX(AB61*AB$14,'Output - Jobs vs Yr (BAU)'!AB12)</f>
        <v>0.14046387251538286</v>
      </c>
      <c r="AC37" s="174">
        <f>MAX(AC61*AC$14,'Output - Jobs vs Yr (BAU)'!AC12)</f>
        <v>0.14089115892036724</v>
      </c>
      <c r="AD37" s="174">
        <f>MAX(AD61*AD$14,'Output - Jobs vs Yr (BAU)'!AD12)</f>
        <v>0.14126497259262674</v>
      </c>
      <c r="AE37" s="174">
        <f>MAX(AE61*AE$14,'Output - Jobs vs Yr (BAU)'!AE12)</f>
        <v>0.14169094559882994</v>
      </c>
      <c r="AF37" s="174">
        <f>MAX(AF61*AF$14,'Output - Jobs vs Yr (BAU)'!AF12)</f>
        <v>0.14209965531708543</v>
      </c>
      <c r="AG37" s="174">
        <f>MAX(AG61*AG$14,'Output - Jobs vs Yr (BAU)'!AG12)</f>
        <v>0.14254752815793142</v>
      </c>
      <c r="AH37" s="184">
        <f>Inputs!I20*'Output -Jobs vs Yr'!$AH$14</f>
        <v>0.1430321943670686</v>
      </c>
      <c r="AI37" s="127"/>
    </row>
    <row r="38" spans="1:36" s="20" customFormat="1">
      <c r="A38" s="9" t="s">
        <v>347</v>
      </c>
      <c r="B38" s="35">
        <v>1</v>
      </c>
      <c r="C38" s="330">
        <f>'Output - Jobs vs Yr (BAU)'!C13</f>
        <v>0</v>
      </c>
      <c r="D38" s="330">
        <f>MAX(D62*D$14,'Output - Jobs vs Yr (BAU)'!D13)</f>
        <v>0</v>
      </c>
      <c r="E38" s="330">
        <f>MAX(E62*E$14,'Output - Jobs vs Yr (BAU)'!E13)</f>
        <v>0.2</v>
      </c>
      <c r="F38" s="330">
        <f>MAX(F62*F$14,'Output - Jobs vs Yr (BAU)'!F13)</f>
        <v>0.2</v>
      </c>
      <c r="G38" s="330">
        <f>MAX(G62*G$14,'Output - Jobs vs Yr (BAU)'!G13)</f>
        <v>0.2</v>
      </c>
      <c r="H38" s="286">
        <f>'Output - Jobs vs Yr (BAU)'!H13</f>
        <v>0.2</v>
      </c>
      <c r="I38" s="118">
        <f>MAX(I62*I$14,'Output - Jobs vs Yr (BAU)'!I13)</f>
        <v>0.2142967567253051</v>
      </c>
      <c r="J38" s="118">
        <f>MAX(J62*J$14,'Output - Jobs vs Yr (BAU)'!J13)</f>
        <v>0.21158603930912923</v>
      </c>
      <c r="K38" s="118">
        <f>MAX(K62*K$14,'Output - Jobs vs Yr (BAU)'!K13)</f>
        <v>0.21225705348915827</v>
      </c>
      <c r="L38" s="118">
        <f>MAX(L62*L$14,'Output - Jobs vs Yr (BAU)'!L13)</f>
        <v>0.21880942346325685</v>
      </c>
      <c r="M38" s="118">
        <f>MAX(M62*M$14,'Output - Jobs vs Yr (BAU)'!M13)</f>
        <v>0.22352628933756583</v>
      </c>
      <c r="N38" s="184">
        <f>MAX(Inputs!$E21*N$21,'Output - Jobs vs Yr (BAU)'!N13)</f>
        <v>0.22784805842627329</v>
      </c>
      <c r="O38" s="174">
        <f>MAX(O62*O$14,'Output - Jobs vs Yr (BAU)'!O13)</f>
        <v>0.23248235829801636</v>
      </c>
      <c r="P38" s="174">
        <f>MAX(P62*P$14,'Output - Jobs vs Yr (BAU)'!P13)</f>
        <v>0.23723145074761864</v>
      </c>
      <c r="Q38" s="174">
        <f>MAX(Q62*Q$14,'Output - Jobs vs Yr (BAU)'!Q13)</f>
        <v>0.242612727457267</v>
      </c>
      <c r="R38" s="174">
        <f>MAX(R62*R$14,'Output - Jobs vs Yr (BAU)'!R13)</f>
        <v>0.24789647423304054</v>
      </c>
      <c r="S38" s="174">
        <f>MAX(S62*S$14,'Output - Jobs vs Yr (BAU)'!S13)</f>
        <v>0.25293439470258272</v>
      </c>
      <c r="T38" s="174">
        <f>MAX(T62*T$14,'Output - Jobs vs Yr (BAU)'!T13)</f>
        <v>0.25767641328584057</v>
      </c>
      <c r="U38" s="174">
        <f>MAX(U62*U$14,'Output - Jobs vs Yr (BAU)'!U13)</f>
        <v>0.26291021015640642</v>
      </c>
      <c r="V38" s="174">
        <f>MAX(V62*V$14,'Output - Jobs vs Yr (BAU)'!V13)</f>
        <v>0.26738260382357704</v>
      </c>
      <c r="W38" s="174">
        <f>MAX(W62*W$14,'Output - Jobs vs Yr (BAU)'!W13)</f>
        <v>0.27242211787338783</v>
      </c>
      <c r="X38" s="184">
        <f>Inputs!F21*'Output -Jobs vs Yr'!$X$14</f>
        <v>0.27757903007810758</v>
      </c>
      <c r="Y38" s="174">
        <f>MAX(Y62*Y$14,'Output - Jobs vs Yr (BAU)'!Y13)</f>
        <v>0.27845655079628923</v>
      </c>
      <c r="Z38" s="174">
        <f>MAX(Z62*Z$14,'Output - Jobs vs Yr (BAU)'!Z13)</f>
        <v>0.27930775250484136</v>
      </c>
      <c r="AA38" s="174">
        <f>MAX(AA62*AA$14,'Output - Jobs vs Yr (BAU)'!AA13)</f>
        <v>0.28014922857324165</v>
      </c>
      <c r="AB38" s="174">
        <f>MAX(AB62*AB$14,'Output - Jobs vs Yr (BAU)'!AB13)</f>
        <v>0.28092774503076573</v>
      </c>
      <c r="AC38" s="174">
        <f>MAX(AC62*AC$14,'Output - Jobs vs Yr (BAU)'!AC13)</f>
        <v>0.28178231784073449</v>
      </c>
      <c r="AD38" s="174">
        <f>MAX(AD62*AD$14,'Output - Jobs vs Yr (BAU)'!AD13)</f>
        <v>0.28252994518525348</v>
      </c>
      <c r="AE38" s="174">
        <f>MAX(AE62*AE$14,'Output - Jobs vs Yr (BAU)'!AE13)</f>
        <v>0.28338189119765989</v>
      </c>
      <c r="AF38" s="174">
        <f>MAX(AF62*AF$14,'Output - Jobs vs Yr (BAU)'!AF13)</f>
        <v>0.28419931063417087</v>
      </c>
      <c r="AG38" s="174">
        <f>MAX(AG62*AG$14,'Output - Jobs vs Yr (BAU)'!AG13)</f>
        <v>0.28509505631586285</v>
      </c>
      <c r="AH38" s="184">
        <f>Inputs!I21*'Output -Jobs vs Yr'!$AH$14</f>
        <v>0.2860643887341372</v>
      </c>
      <c r="AI38" s="127"/>
    </row>
    <row r="39" spans="1:36" s="20" customFormat="1">
      <c r="A39" s="9" t="s">
        <v>348</v>
      </c>
      <c r="B39" s="35">
        <v>1</v>
      </c>
      <c r="C39" s="330">
        <f>'Output - Jobs vs Yr (BAU)'!C14</f>
        <v>0</v>
      </c>
      <c r="D39" s="330">
        <f>MAX(D63*D$14,'Output - Jobs vs Yr (BAU)'!D14)</f>
        <v>0</v>
      </c>
      <c r="E39" s="330">
        <f>MAX(E63*E$14,'Output - Jobs vs Yr (BAU)'!E14)</f>
        <v>0.1</v>
      </c>
      <c r="F39" s="330">
        <f>MAX(F63*F$14,'Output - Jobs vs Yr (BAU)'!F14)</f>
        <v>0.1</v>
      </c>
      <c r="G39" s="330">
        <f>MAX(G63*G$14,'Output - Jobs vs Yr (BAU)'!G14)</f>
        <v>0.1</v>
      </c>
      <c r="H39" s="286">
        <f>'Output - Jobs vs Yr (BAU)'!H14</f>
        <v>0.1</v>
      </c>
      <c r="I39" s="118">
        <f>MAX(I63*I$14,'Output - Jobs vs Yr (BAU)'!I14)</f>
        <v>0.10714837836265255</v>
      </c>
      <c r="J39" s="118">
        <f>MAX(J63*J$14,'Output - Jobs vs Yr (BAU)'!J14)</f>
        <v>0.10579301965456461</v>
      </c>
      <c r="K39" s="118">
        <f>MAX(K63*K$14,'Output - Jobs vs Yr (BAU)'!K14)</f>
        <v>0.10612852674457914</v>
      </c>
      <c r="L39" s="118">
        <f>MAX(L63*L$14,'Output - Jobs vs Yr (BAU)'!L14)</f>
        <v>0.10940471173162843</v>
      </c>
      <c r="M39" s="118">
        <f>MAX(M63*M$14,'Output - Jobs vs Yr (BAU)'!M14)</f>
        <v>0.11176314466878291</v>
      </c>
      <c r="N39" s="184">
        <f>MAX(Inputs!$E22*N$21,'Output - Jobs vs Yr (BAU)'!N14)</f>
        <v>0.11392402921313664</v>
      </c>
      <c r="O39" s="174">
        <f>MAX(O63*O$14,'Output - Jobs vs Yr (BAU)'!O14)</f>
        <v>0.11624117914900818</v>
      </c>
      <c r="P39" s="174">
        <f>MAX(P63*P$14,'Output - Jobs vs Yr (BAU)'!P14)</f>
        <v>0.11861572537380932</v>
      </c>
      <c r="Q39" s="174">
        <f>MAX(Q63*Q$14,'Output - Jobs vs Yr (BAU)'!Q14)</f>
        <v>0.1213063637286335</v>
      </c>
      <c r="R39" s="174">
        <f>MAX(R63*R$14,'Output - Jobs vs Yr (BAU)'!R14)</f>
        <v>0.12394823711652027</v>
      </c>
      <c r="S39" s="174">
        <f>MAX(S63*S$14,'Output - Jobs vs Yr (BAU)'!S14)</f>
        <v>0.12646719735129136</v>
      </c>
      <c r="T39" s="174">
        <f>MAX(T63*T$14,'Output - Jobs vs Yr (BAU)'!T14)</f>
        <v>0.12883820664292028</v>
      </c>
      <c r="U39" s="174">
        <f>MAX(U63*U$14,'Output - Jobs vs Yr (BAU)'!U14)</f>
        <v>0.13145510507820321</v>
      </c>
      <c r="V39" s="174">
        <f>MAX(V63*V$14,'Output - Jobs vs Yr (BAU)'!V14)</f>
        <v>0.13369130191178852</v>
      </c>
      <c r="W39" s="174">
        <f>MAX(W63*W$14,'Output - Jobs vs Yr (BAU)'!W14)</f>
        <v>0.13621105893669391</v>
      </c>
      <c r="X39" s="184">
        <f>Inputs!F22*'Output -Jobs vs Yr'!$X$14</f>
        <v>0.13878951503905379</v>
      </c>
      <c r="Y39" s="174">
        <f>MAX(Y63*Y$14,'Output - Jobs vs Yr (BAU)'!Y14)</f>
        <v>0.13922827539814461</v>
      </c>
      <c r="Z39" s="174">
        <f>MAX(Z63*Z$14,'Output - Jobs vs Yr (BAU)'!Z14)</f>
        <v>0.13965387625242068</v>
      </c>
      <c r="AA39" s="174">
        <f>MAX(AA63*AA$14,'Output - Jobs vs Yr (BAU)'!AA14)</f>
        <v>0.14007461428662082</v>
      </c>
      <c r="AB39" s="174">
        <f>MAX(AB63*AB$14,'Output - Jobs vs Yr (BAU)'!AB14)</f>
        <v>0.14046387251538286</v>
      </c>
      <c r="AC39" s="174">
        <f>MAX(AC63*AC$14,'Output - Jobs vs Yr (BAU)'!AC14)</f>
        <v>0.14089115892036724</v>
      </c>
      <c r="AD39" s="174">
        <f>MAX(AD63*AD$14,'Output - Jobs vs Yr (BAU)'!AD14)</f>
        <v>0.14126497259262674</v>
      </c>
      <c r="AE39" s="174">
        <f>MAX(AE63*AE$14,'Output - Jobs vs Yr (BAU)'!AE14)</f>
        <v>0.14169094559882994</v>
      </c>
      <c r="AF39" s="174">
        <f>MAX(AF63*AF$14,'Output - Jobs vs Yr (BAU)'!AF14)</f>
        <v>0.14209965531708543</v>
      </c>
      <c r="AG39" s="174">
        <f>MAX(AG63*AG$14,'Output - Jobs vs Yr (BAU)'!AG14)</f>
        <v>0.14254752815793142</v>
      </c>
      <c r="AH39" s="184">
        <f>Inputs!I22*'Output -Jobs vs Yr'!$AH$14</f>
        <v>0.1430321943670686</v>
      </c>
      <c r="AI39" s="127"/>
    </row>
    <row r="40" spans="1:36" s="20" customFormat="1">
      <c r="A40" s="9" t="s">
        <v>344</v>
      </c>
      <c r="B40" s="35">
        <v>1</v>
      </c>
      <c r="C40" s="330">
        <f>'Output - Jobs vs Yr (BAU)'!C15</f>
        <v>0.01</v>
      </c>
      <c r="D40" s="330">
        <f>MAX(D64*D$14,'Output - Jobs vs Yr (BAU)'!D15)</f>
        <v>1.0309530195743896E-2</v>
      </c>
      <c r="E40" s="330">
        <f>MAX(E64*E$14,'Output - Jobs vs Yr (BAU)'!E15)</f>
        <v>0.01</v>
      </c>
      <c r="F40" s="330">
        <f>MAX(F64*F$14,'Output - Jobs vs Yr (BAU)'!F15)</f>
        <v>0.01</v>
      </c>
      <c r="G40" s="330">
        <f>MAX(G64*G$14,'Output - Jobs vs Yr (BAU)'!G15)</f>
        <v>0.01</v>
      </c>
      <c r="H40" s="286">
        <f>'Output - Jobs vs Yr (BAU)'!H15</f>
        <v>0.01</v>
      </c>
      <c r="I40" s="118">
        <f>MAX(I64*I$14,'Output - Jobs vs Yr (BAU)'!I15)</f>
        <v>1.0714837836265255E-2</v>
      </c>
      <c r="J40" s="118">
        <f>MAX(J64*J$14,'Output - Jobs vs Yr (BAU)'!J15)</f>
        <v>1.0579301965456461E-2</v>
      </c>
      <c r="K40" s="118">
        <f>MAX(K64*K$14,'Output - Jobs vs Yr (BAU)'!K15)</f>
        <v>1.0612852674457914E-2</v>
      </c>
      <c r="L40" s="118">
        <f>MAX(L64*L$14,'Output - Jobs vs Yr (BAU)'!L15)</f>
        <v>1.0940471173162844E-2</v>
      </c>
      <c r="M40" s="118">
        <f>MAX(M64*M$14,'Output - Jobs vs Yr (BAU)'!M15)</f>
        <v>1.1176314466878293E-2</v>
      </c>
      <c r="N40" s="184">
        <f>MAX(Inputs!$E18*N$21,'Output - Jobs vs Yr (BAU)'!N15)</f>
        <v>1.1392402921313665E-2</v>
      </c>
      <c r="O40" s="174">
        <f>MAX(O64*O$14,'Output - Jobs vs Yr (BAU)'!O15)</f>
        <v>1.162411791490082E-2</v>
      </c>
      <c r="P40" s="174">
        <f>MAX(P64*P$14,'Output - Jobs vs Yr (BAU)'!P15)</f>
        <v>1.1861572537380934E-2</v>
      </c>
      <c r="Q40" s="174">
        <f>MAX(Q64*Q$14,'Output - Jobs vs Yr (BAU)'!Q15)</f>
        <v>1.2130636372863352E-2</v>
      </c>
      <c r="R40" s="174">
        <f>MAX(R64*R$14,'Output - Jobs vs Yr (BAU)'!R15)</f>
        <v>1.2394823711652028E-2</v>
      </c>
      <c r="S40" s="174">
        <f>MAX(S64*S$14,'Output - Jobs vs Yr (BAU)'!S15)</f>
        <v>1.2646719735129135E-2</v>
      </c>
      <c r="T40" s="174">
        <f>MAX(T64*T$14,'Output - Jobs vs Yr (BAU)'!T15)</f>
        <v>1.288382066429203E-2</v>
      </c>
      <c r="U40" s="174">
        <f>MAX(U64*U$14,'Output - Jobs vs Yr (BAU)'!U15)</f>
        <v>1.3145510507820325E-2</v>
      </c>
      <c r="V40" s="174">
        <f>MAX(V64*V$14,'Output - Jobs vs Yr (BAU)'!V15)</f>
        <v>1.3369130191178854E-2</v>
      </c>
      <c r="W40" s="174">
        <f>MAX(W64*W$14,'Output - Jobs vs Yr (BAU)'!W15)</f>
        <v>1.3621105893669393E-2</v>
      </c>
      <c r="X40" s="184">
        <f>Inputs!F18*'Output -Jobs vs Yr'!$X$14</f>
        <v>1.387895150390538E-2</v>
      </c>
      <c r="Y40" s="174">
        <f>MAX(Y64*Y$14,'Output - Jobs vs Yr (BAU)'!Y15)</f>
        <v>1.3922827539814463E-2</v>
      </c>
      <c r="Z40" s="174">
        <f>MAX(Z64*Z$14,'Output - Jobs vs Yr (BAU)'!Z15)</f>
        <v>1.3965387625242069E-2</v>
      </c>
      <c r="AA40" s="174">
        <f>MAX(AA64*AA$14,'Output - Jobs vs Yr (BAU)'!AA15)</f>
        <v>1.4007461428662084E-2</v>
      </c>
      <c r="AB40" s="174">
        <f>MAX(AB64*AB$14,'Output - Jobs vs Yr (BAU)'!AB15)</f>
        <v>1.4046387251538289E-2</v>
      </c>
      <c r="AC40" s="174">
        <f>MAX(AC64*AC$14,'Output - Jobs vs Yr (BAU)'!AC15)</f>
        <v>1.4089115892036728E-2</v>
      </c>
      <c r="AD40" s="174">
        <f>MAX(AD64*AD$14,'Output - Jobs vs Yr (BAU)'!AD15)</f>
        <v>1.4126497259262677E-2</v>
      </c>
      <c r="AE40" s="174">
        <f>MAX(AE64*AE$14,'Output - Jobs vs Yr (BAU)'!AE15)</f>
        <v>1.4169094559882998E-2</v>
      </c>
      <c r="AF40" s="174">
        <f>MAX(AF64*AF$14,'Output - Jobs vs Yr (BAU)'!AF15)</f>
        <v>1.4209965531708548E-2</v>
      </c>
      <c r="AG40" s="174">
        <f>MAX(AG64*AG$14,'Output - Jobs vs Yr (BAU)'!AG15)</f>
        <v>1.4254752815793144E-2</v>
      </c>
      <c r="AH40" s="184">
        <f>Inputs!I18*'Output -Jobs vs Yr'!$AH$14</f>
        <v>1.4303219436706859E-2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2998</v>
      </c>
      <c r="D42" s="330">
        <f>MAX(D66*D$14,'Output - Jobs vs Yr (BAU)'!D16)</f>
        <v>4096</v>
      </c>
      <c r="E42" s="330">
        <f>MAX(E66*E$14,'Output - Jobs vs Yr (BAU)'!E16)</f>
        <v>4332.3915200000001</v>
      </c>
      <c r="F42" s="330">
        <f>MAX(F66*F$14,'Output - Jobs vs Yr (BAU)'!F16)</f>
        <v>5072.2312000000002</v>
      </c>
      <c r="G42" s="330">
        <f>MAX(G66*G$14,'Output - Jobs vs Yr (BAU)'!G16)</f>
        <v>5372.8596800000005</v>
      </c>
      <c r="H42" s="286">
        <f>'Output - Jobs vs Yr (BAU)'!H16</f>
        <v>5434.6097600000003</v>
      </c>
      <c r="I42" s="118">
        <f>MAX(I66*I$14,'Output - Jobs vs Yr (BAU)'!I16)</f>
        <v>6522.8489600000003</v>
      </c>
      <c r="J42" s="118">
        <f>MAX(J66*J$14,'Output - Jobs vs Yr (BAU)'!J16)</f>
        <v>7213.5521600000011</v>
      </c>
      <c r="K42" s="118">
        <f>MAX(K66*K$14,'Output - Jobs vs Yr (BAU)'!K16)</f>
        <v>7217.3497599999992</v>
      </c>
      <c r="L42" s="118">
        <f>MAX(L66*L$14,'Output - Jobs vs Yr (BAU)'!L16)</f>
        <v>7217.4192000000012</v>
      </c>
      <c r="M42" s="118">
        <f>MAX(M66*M$14,'Output - Jobs vs Yr (BAU)'!M16)</f>
        <v>7694.079239538326</v>
      </c>
      <c r="N42" s="184">
        <f>MAX(Inputs!$E23*N$21,'Output - Jobs vs Yr (BAU)'!N16)</f>
        <v>8222.6407020963288</v>
      </c>
      <c r="O42" s="174">
        <f>MAX(O66*O$14,'Output - Jobs vs Yr (BAU)'!O16)</f>
        <v>8389.8845356155161</v>
      </c>
      <c r="P42" s="174">
        <f>MAX(P66*P$14,'Output - Jobs vs Yr (BAU)'!P16)</f>
        <v>8561.2710338978959</v>
      </c>
      <c r="Q42" s="174">
        <f>MAX(Q66*Q$14,'Output - Jobs vs Yr (BAU)'!Q16)</f>
        <v>8755.4719641477168</v>
      </c>
      <c r="R42" s="174">
        <f>MAX(R66*R$14,'Output - Jobs vs Yr (BAU)'!R16)</f>
        <v>8946.1532084739847</v>
      </c>
      <c r="S42" s="174">
        <f>MAX(S66*S$14,'Output - Jobs vs Yr (BAU)'!S16)</f>
        <v>9127.9630083594893</v>
      </c>
      <c r="T42" s="174">
        <f>MAX(T66*T$14,'Output - Jobs vs Yr (BAU)'!T16)</f>
        <v>9299.0942230913897</v>
      </c>
      <c r="U42" s="174">
        <f>MAX(U66*U$14,'Output - Jobs vs Yr (BAU)'!U16)</f>
        <v>9487.9728620917085</v>
      </c>
      <c r="V42" s="174">
        <f>MAX(V66*V$14,'Output - Jobs vs Yr (BAU)'!V16)</f>
        <v>9649.3737818865739</v>
      </c>
      <c r="W42" s="174">
        <f>MAX(W66*W$14,'Output - Jobs vs Yr (BAU)'!W16)</f>
        <v>9831.2410913162439</v>
      </c>
      <c r="X42" s="184">
        <f>Inputs!F23*'Output -Jobs vs Yr'!$X$14</f>
        <v>10017.345096259465</v>
      </c>
      <c r="Y42" s="174">
        <f>MAX(Y66*Y$14,'Output - Jobs vs Yr (BAU)'!Y16)</f>
        <v>10049.013294900655</v>
      </c>
      <c r="Z42" s="174">
        <f>MAX(Z66*Z$14,'Output - Jobs vs Yr (BAU)'!Z16)</f>
        <v>10079.731686195175</v>
      </c>
      <c r="AA42" s="174">
        <f>MAX(AA66*AA$14,'Output - Jobs vs Yr (BAU)'!AA16)</f>
        <v>10110.099096028105</v>
      </c>
      <c r="AB42" s="174">
        <f>MAX(AB66*AB$14,'Output - Jobs vs Yr (BAU)'!AB16)</f>
        <v>10138.194402852767</v>
      </c>
      <c r="AC42" s="174">
        <f>MAX(AC66*AC$14,'Output - Jobs vs Yr (BAU)'!AC16)</f>
        <v>10169.034451342482</v>
      </c>
      <c r="AD42" s="174">
        <f>MAX(AD66*AD$14,'Output - Jobs vs Yr (BAU)'!AD16)</f>
        <v>10196.015023727001</v>
      </c>
      <c r="AE42" s="174">
        <f>MAX(AE66*AE$14,'Output - Jobs vs Yr (BAU)'!AE16)</f>
        <v>10226.760275654915</v>
      </c>
      <c r="AF42" s="174">
        <f>MAX(AF66*AF$14,'Output - Jobs vs Yr (BAU)'!AF16)</f>
        <v>10256.25952342452</v>
      </c>
      <c r="AG42" s="174">
        <f>MAX(AG66*AG$14,'Output - Jobs vs Yr (BAU)'!AG16)</f>
        <v>10288.585429345681</v>
      </c>
      <c r="AH42" s="184">
        <f>Inputs!I23*'Output -Jobs vs Yr'!$AH$14</f>
        <v>10323.56695278466</v>
      </c>
      <c r="AI42" s="127"/>
    </row>
    <row r="43" spans="1:36">
      <c r="A43" s="10" t="s">
        <v>332</v>
      </c>
      <c r="B43" s="37"/>
      <c r="C43" s="330">
        <f>SUM(C31:C42)</f>
        <v>4473.1000000000004</v>
      </c>
      <c r="D43" s="330">
        <f t="shared" ref="D43:AG43" si="29">SUM(D31:D42)</f>
        <v>5642.9035521378664</v>
      </c>
      <c r="E43" s="330">
        <f t="shared" si="29"/>
        <v>5810.872884230208</v>
      </c>
      <c r="F43" s="330">
        <f t="shared" si="29"/>
        <v>6532.0198912397846</v>
      </c>
      <c r="G43" s="330">
        <f t="shared" si="29"/>
        <v>6912.1186504198486</v>
      </c>
      <c r="H43" s="286">
        <f t="shared" si="29"/>
        <v>7249.086804604196</v>
      </c>
      <c r="I43" s="83">
        <f t="shared" si="29"/>
        <v>8445.6570356593675</v>
      </c>
      <c r="J43" s="83">
        <f t="shared" si="29"/>
        <v>9091.2903591676131</v>
      </c>
      <c r="K43" s="83">
        <f t="shared" si="29"/>
        <v>9080.438390948797</v>
      </c>
      <c r="L43" s="83">
        <f t="shared" si="29"/>
        <v>9116.8886234811762</v>
      </c>
      <c r="M43" s="83">
        <f t="shared" si="29"/>
        <v>9613.1597651772299</v>
      </c>
      <c r="N43" s="184">
        <f t="shared" si="29"/>
        <v>10157.310643380946</v>
      </c>
      <c r="O43" s="83">
        <f t="shared" si="29"/>
        <v>10337.250673739361</v>
      </c>
      <c r="P43" s="83">
        <f t="shared" si="29"/>
        <v>10521.541560258373</v>
      </c>
      <c r="Q43" s="83">
        <f t="shared" si="29"/>
        <v>10733.028538322369</v>
      </c>
      <c r="R43" s="83">
        <f t="shared" si="29"/>
        <v>10939.344229022543</v>
      </c>
      <c r="S43" s="83">
        <f t="shared" si="29"/>
        <v>11134.020566028488</v>
      </c>
      <c r="T43" s="83">
        <f t="shared" si="29"/>
        <v>11314.962156016729</v>
      </c>
      <c r="U43" s="83">
        <f t="shared" si="29"/>
        <v>11516.746257470932</v>
      </c>
      <c r="V43" s="83">
        <f t="shared" si="29"/>
        <v>11684.53641702407</v>
      </c>
      <c r="W43" s="83">
        <f t="shared" si="29"/>
        <v>11876.434129041545</v>
      </c>
      <c r="X43" s="184">
        <f t="shared" si="29"/>
        <v>12072.742728913327</v>
      </c>
      <c r="Y43" s="174">
        <f t="shared" si="29"/>
        <v>12106.91210600629</v>
      </c>
      <c r="Z43" s="174">
        <f t="shared" si="29"/>
        <v>12139.936063054032</v>
      </c>
      <c r="AA43" s="174">
        <f t="shared" si="29"/>
        <v>12172.610491638041</v>
      </c>
      <c r="AB43" s="174">
        <f t="shared" si="29"/>
        <v>12202.541998706696</v>
      </c>
      <c r="AC43" s="174">
        <f t="shared" si="29"/>
        <v>12235.740273872554</v>
      </c>
      <c r="AD43" s="174">
        <f t="shared" si="29"/>
        <v>12264.294421891678</v>
      </c>
      <c r="AE43" s="174">
        <f t="shared" si="29"/>
        <v>12297.332064013386</v>
      </c>
      <c r="AF43" s="174">
        <f t="shared" si="29"/>
        <v>12328.860152799407</v>
      </c>
      <c r="AG43" s="174">
        <f t="shared" si="29"/>
        <v>12363.772151679117</v>
      </c>
      <c r="AH43" s="184">
        <f>SUM(AH31:AH42)</f>
        <v>12400.981561852372</v>
      </c>
      <c r="AI43" s="127"/>
    </row>
    <row r="44" spans="1:36">
      <c r="A44" s="10" t="s">
        <v>124</v>
      </c>
      <c r="B44" s="37"/>
      <c r="C44" s="331">
        <f>SUMPRODUCT($B34:$B42,C34:C42)</f>
        <v>2998.11</v>
      </c>
      <c r="D44" s="331">
        <f>SUMPRODUCT($B34:$B42,D34:D42)</f>
        <v>4096.1134048321528</v>
      </c>
      <c r="E44" s="331">
        <f t="shared" ref="E44:AG44" si="30">SUMPRODUCT($B34:$B42*E34:E42)</f>
        <v>4335.1509010999998</v>
      </c>
      <c r="F44" s="331">
        <f t="shared" si="30"/>
        <v>5075.2446021000005</v>
      </c>
      <c r="G44" s="331">
        <f t="shared" si="30"/>
        <v>5376.0175471000002</v>
      </c>
      <c r="H44" s="402">
        <f t="shared" si="30"/>
        <v>5439.1361571000007</v>
      </c>
      <c r="I44" s="14">
        <f>SUMPRODUCT($B34:$B42*I34:I42)</f>
        <v>6528.7785748550659</v>
      </c>
      <c r="J44" s="14">
        <f t="shared" si="30"/>
        <v>7220.5880477453247</v>
      </c>
      <c r="K44" s="14">
        <f t="shared" si="30"/>
        <v>7225.5620040161284</v>
      </c>
      <c r="L44" s="14">
        <f t="shared" si="30"/>
        <v>7226.9377133805119</v>
      </c>
      <c r="M44" s="14">
        <f t="shared" si="30"/>
        <v>7704.8833437924995</v>
      </c>
      <c r="N44" s="182">
        <f t="shared" si="30"/>
        <v>8234.7381975809458</v>
      </c>
      <c r="O44" s="14">
        <f t="shared" si="30"/>
        <v>8403.0857112580143</v>
      </c>
      <c r="P44" s="14">
        <f t="shared" si="30"/>
        <v>8575.5784578774874</v>
      </c>
      <c r="Q44" s="14">
        <f t="shared" si="30"/>
        <v>8770.8997799090885</v>
      </c>
      <c r="R44" s="14">
        <f t="shared" si="30"/>
        <v>8962.6992340437573</v>
      </c>
      <c r="S44" s="14">
        <f t="shared" si="30"/>
        <v>9145.6217440266082</v>
      </c>
      <c r="T44" s="14">
        <f t="shared" si="30"/>
        <v>9317.8590488366208</v>
      </c>
      <c r="U44" s="14">
        <f t="shared" si="30"/>
        <v>9507.8547801488057</v>
      </c>
      <c r="V44" s="14">
        <f t="shared" si="30"/>
        <v>9670.3557578800046</v>
      </c>
      <c r="W44" s="14">
        <f t="shared" si="30"/>
        <v>9853.3358130591496</v>
      </c>
      <c r="X44" s="187">
        <f t="shared" si="30"/>
        <v>10040.555190223928</v>
      </c>
      <c r="Y44" s="14">
        <f t="shared" si="30"/>
        <v>10073.243021061808</v>
      </c>
      <c r="Z44" s="14">
        <f t="shared" si="30"/>
        <v>10104.997788227463</v>
      </c>
      <c r="AA44" s="14">
        <f t="shared" si="30"/>
        <v>10136.493304086755</v>
      </c>
      <c r="AB44" s="14">
        <f t="shared" si="30"/>
        <v>10165.721544870545</v>
      </c>
      <c r="AC44" s="14">
        <f t="shared" si="30"/>
        <v>10197.683331234946</v>
      </c>
      <c r="AD44" s="14">
        <f t="shared" si="30"/>
        <v>10225.792093255895</v>
      </c>
      <c r="AE44" s="14">
        <f t="shared" si="30"/>
        <v>10257.649144673562</v>
      </c>
      <c r="AF44" s="14">
        <f t="shared" si="30"/>
        <v>10288.26377415342</v>
      </c>
      <c r="AG44" s="14">
        <f t="shared" si="30"/>
        <v>10321.719226353676</v>
      </c>
      <c r="AH44" s="187">
        <f>SUMPRODUCT($B34:$B42*AH34:AH42)</f>
        <v>10356.966884124668</v>
      </c>
      <c r="AI44" s="127"/>
    </row>
    <row r="45" spans="1:36">
      <c r="A45" s="10" t="s">
        <v>117</v>
      </c>
      <c r="B45" s="37"/>
      <c r="C45" s="332">
        <f t="shared" ref="C45:AG45" si="31">C44/C14</f>
        <v>8.7784674845547986E-2</v>
      </c>
      <c r="D45" s="332">
        <f t="shared" si="31"/>
        <v>0.11803340935458473</v>
      </c>
      <c r="E45" s="332">
        <f t="shared" si="31"/>
        <v>0.13500472516513909</v>
      </c>
      <c r="F45" s="332">
        <f t="shared" si="31"/>
        <v>0.16493175499680202</v>
      </c>
      <c r="G45" s="332">
        <f t="shared" si="31"/>
        <v>0.17052957382050898</v>
      </c>
      <c r="H45" s="284">
        <f t="shared" si="31"/>
        <v>0.17258400154401846</v>
      </c>
      <c r="I45" s="23">
        <f t="shared" si="31"/>
        <v>0.19616325246997945</v>
      </c>
      <c r="J45" s="23">
        <f t="shared" si="31"/>
        <v>0.22293978822062921</v>
      </c>
      <c r="K45" s="23">
        <f t="shared" si="31"/>
        <v>0.22563799867221859</v>
      </c>
      <c r="L45" s="23">
        <f t="shared" si="31"/>
        <v>0.2221220846596452</v>
      </c>
      <c r="M45" s="23">
        <f t="shared" si="31"/>
        <v>0.23520233165061016</v>
      </c>
      <c r="N45" s="178">
        <f t="shared" si="31"/>
        <v>0.25021269514877303</v>
      </c>
      <c r="O45" s="23">
        <f t="shared" si="31"/>
        <v>0.25484246201855482</v>
      </c>
      <c r="P45" s="23">
        <f t="shared" si="31"/>
        <v>0.2595567250107359</v>
      </c>
      <c r="Q45" s="207">
        <f t="shared" si="31"/>
        <v>0.26435639379085568</v>
      </c>
      <c r="R45" s="207">
        <f t="shared" si="31"/>
        <v>0.2692438846328622</v>
      </c>
      <c r="S45" s="207">
        <f t="shared" si="31"/>
        <v>0.27422108512919152</v>
      </c>
      <c r="T45" s="207">
        <f t="shared" si="31"/>
        <v>0.27928981227750865</v>
      </c>
      <c r="U45" s="207">
        <f t="shared" si="31"/>
        <v>0.28445058833223363</v>
      </c>
      <c r="V45" s="207">
        <f t="shared" si="31"/>
        <v>0.28970712524528885</v>
      </c>
      <c r="W45" s="207">
        <f t="shared" si="31"/>
        <v>0.29505903482009938</v>
      </c>
      <c r="X45" s="185">
        <f t="shared" si="31"/>
        <v>0.30050880150836845</v>
      </c>
      <c r="Y45" s="172">
        <f t="shared" si="31"/>
        <v>0.30152410628632936</v>
      </c>
      <c r="Z45" s="172">
        <f t="shared" si="31"/>
        <v>0.30254323270932021</v>
      </c>
      <c r="AA45" s="172">
        <f t="shared" si="31"/>
        <v>0.30356839977813288</v>
      </c>
      <c r="AB45" s="172">
        <f t="shared" si="31"/>
        <v>0.30459717746344045</v>
      </c>
      <c r="AC45" s="172">
        <f t="shared" si="31"/>
        <v>0.30562869479205051</v>
      </c>
      <c r="AD45" s="172">
        <f t="shared" si="31"/>
        <v>0.30666404473816561</v>
      </c>
      <c r="AE45" s="172">
        <f t="shared" si="31"/>
        <v>0.3077018986220218</v>
      </c>
      <c r="AF45" s="172">
        <f t="shared" si="31"/>
        <v>0.30874330165236286</v>
      </c>
      <c r="AG45" s="172">
        <f t="shared" si="31"/>
        <v>0.30978820089866732</v>
      </c>
      <c r="AH45" s="185">
        <f>AH44/AH14</f>
        <v>0.31081026397217826</v>
      </c>
      <c r="AI45" s="127"/>
    </row>
    <row r="46" spans="1:36" s="252" customFormat="1">
      <c r="A46" s="10" t="s">
        <v>333</v>
      </c>
      <c r="B46" s="37"/>
      <c r="C46" s="330">
        <f>SUM(EIA_electricity_aeo2014!E50,EIA_electricity_aeo2014!E55)*1000</f>
        <v>45</v>
      </c>
      <c r="D46" s="330">
        <f>SUM(EIA_electricity_aeo2014!F50,EIA_electricity_aeo2014!F55)*1000</f>
        <v>75</v>
      </c>
      <c r="E46" s="330">
        <f>SUM(EIA_electricity_aeo2014!G50,EIA_electricity_aeo2014!G55)*1000</f>
        <v>35.939695498943465</v>
      </c>
      <c r="F46" s="330">
        <f>SUM(EIA_electricity_aeo2014!H50,EIA_electricity_aeo2014!H55)*1000</f>
        <v>24.0709780199888</v>
      </c>
      <c r="G46" s="330">
        <f>SUM(EIA_electricity_aeo2014!I50,EIA_electricity_aeo2014!I55)*1000</f>
        <v>33.437766629940207</v>
      </c>
      <c r="H46" s="286">
        <f>SUM(EIA_electricity_aeo2014!J50,EIA_electricity_aeo2014!J55)*1000</f>
        <v>33.379149931303864</v>
      </c>
      <c r="I46" s="286">
        <f>SUM(EIA_electricity_aeo2014!K50,EIA_electricity_aeo2014!K55)*1000</f>
        <v>33.884115243267097</v>
      </c>
      <c r="J46" s="286">
        <f>SUM(EIA_electricity_aeo2014!L50,EIA_electricity_aeo2014!L55)*1000</f>
        <v>32.684262346224891</v>
      </c>
      <c r="K46" s="286">
        <f>SUM(EIA_electricity_aeo2014!M50,EIA_electricity_aeo2014!M55)*1000</f>
        <v>32.362930260280073</v>
      </c>
      <c r="L46" s="286">
        <f>SUM(EIA_electricity_aeo2014!N50,EIA_electricity_aeo2014!N55)*1000</f>
        <v>32.830612989174668</v>
      </c>
      <c r="M46" s="286">
        <f>SUM(EIA_electricity_aeo2014!O50,EIA_electricity_aeo2014!O55)*1000</f>
        <v>33.112692346784449</v>
      </c>
      <c r="N46" s="286">
        <f>SUM(EIA_electricity_aeo2014!P50,EIA_electricity_aeo2014!P55)*1000</f>
        <v>33.392871286157849</v>
      </c>
      <c r="O46" s="286">
        <f>SUM(EIA_electricity_aeo2014!Q50,EIA_electricity_aeo2014!Q55)*1000</f>
        <v>33.546378440376841</v>
      </c>
      <c r="P46" s="286">
        <f>SUM(EIA_electricity_aeo2014!R50,EIA_electricity_aeo2014!R55)*1000</f>
        <v>33.562690397826429</v>
      </c>
      <c r="Q46" s="286">
        <f>SUM(EIA_electricity_aeo2014!S50,EIA_electricity_aeo2014!S55)*1000</f>
        <v>33.67193218829037</v>
      </c>
      <c r="R46" s="286">
        <f>SUM(EIA_electricity_aeo2014!T50,EIA_electricity_aeo2014!T55)*1000</f>
        <v>33.774155263209231</v>
      </c>
      <c r="S46" s="286">
        <f>SUM(EIA_electricity_aeo2014!U50,EIA_electricity_aeo2014!U55)*1000</f>
        <v>33.84739912297205</v>
      </c>
      <c r="T46" s="286">
        <f>SUM(EIA_electricity_aeo2014!V50,EIA_electricity_aeo2014!V55)*1000</f>
        <v>33.856621786420931</v>
      </c>
      <c r="U46" s="286">
        <f>SUM(EIA_electricity_aeo2014!W50,EIA_electricity_aeo2014!W55)*1000</f>
        <v>33.841659818720956</v>
      </c>
      <c r="V46" s="286">
        <f>SUM(EIA_electricity_aeo2014!X50,EIA_electricity_aeo2014!X55)*1000</f>
        <v>33.814876051727651</v>
      </c>
      <c r="W46" s="286">
        <f>SUM(EIA_electricity_aeo2014!Y50,EIA_electricity_aeo2014!Y55)*1000</f>
        <v>33.839828756690352</v>
      </c>
      <c r="X46" s="286">
        <f>SUM(EIA_electricity_aeo2014!Z50,EIA_electricity_aeo2014!Z55)*1000</f>
        <v>33.861416882783494</v>
      </c>
      <c r="Y46" s="286">
        <f>SUM(EIA_electricity_aeo2014!AA50,EIA_electricity_aeo2014!AA55)*1000</f>
        <v>33.866435018327905</v>
      </c>
      <c r="Z46" s="286">
        <f>SUM(EIA_electricity_aeo2014!AB50,EIA_electricity_aeo2014!AB55)*1000</f>
        <v>33.864717706094964</v>
      </c>
      <c r="AA46" s="286">
        <f>SUM(EIA_electricity_aeo2014!AC50,EIA_electricity_aeo2014!AC55)*1000</f>
        <v>33.86737958579058</v>
      </c>
      <c r="AB46" s="286">
        <f>SUM(EIA_electricity_aeo2014!AD50,EIA_electricity_aeo2014!AD55)*1000</f>
        <v>33.870259643672568</v>
      </c>
      <c r="AC46" s="286">
        <f>SUM(EIA_electricity_aeo2014!AE50,EIA_electricity_aeo2014!AE55)*1000</f>
        <v>33.870833344925835</v>
      </c>
      <c r="AD46" s="286">
        <f>SUM(EIA_electricity_aeo2014!AF50,EIA_electricity_aeo2014!AF55)*1000</f>
        <v>33.864287751533858</v>
      </c>
      <c r="AE46" s="286">
        <f>SUM(EIA_electricity_aeo2014!AG50,EIA_electricity_aeo2014!AG55)*1000</f>
        <v>33.86432426951346</v>
      </c>
      <c r="AF46" s="286">
        <f>SUM(EIA_electricity_aeo2014!AH50,EIA_electricity_aeo2014!AH55)*1000</f>
        <v>33.865930404975742</v>
      </c>
      <c r="AG46" s="286">
        <f>SUM(EIA_electricity_aeo2014!AI50,EIA_electricity_aeo2014!AI55)*1000</f>
        <v>33.858849267895842</v>
      </c>
      <c r="AH46" s="286">
        <f>SUM(EIA_electricity_aeo2014!AJ50,EIA_electricity_aeo2014!AJ55)*1000</f>
        <v>33.801904137123401</v>
      </c>
      <c r="AI46" s="292"/>
    </row>
    <row r="47" spans="1:36" s="252" customFormat="1">
      <c r="A47" s="10" t="s">
        <v>142</v>
      </c>
      <c r="B47" s="37"/>
      <c r="C47" s="330">
        <f>(C$14-C$43-C$46)*0.7</f>
        <v>20744.43</v>
      </c>
      <c r="D47" s="330">
        <f>(D$14-D$30-D$43-D$46)*EIA_electricity_aeo2014!F60</f>
        <v>28968.811542209842</v>
      </c>
      <c r="E47" s="330">
        <f>(E$14-E$30-E$43-E$46)*EIA_electricity_aeo2014!G60</f>
        <v>26258.012136063448</v>
      </c>
      <c r="F47" s="330">
        <f>(F$14-F$30-F$43-F$46)*EIA_electricity_aeo2014!H60</f>
        <v>24203.813864808435</v>
      </c>
      <c r="G47" s="330">
        <f>(G$14-G$30-G$43-G$46)*EIA_electricity_aeo2014!I60</f>
        <v>24576.210589280301</v>
      </c>
      <c r="H47" s="286">
        <f>(H$14-H$30-H$43-H$46)*EIA_electricity_aeo2014!J60</f>
        <v>24227.851185789652</v>
      </c>
      <c r="I47" s="286">
        <f>(I$14-I$30-I$43-I$46)*EIA_electricity_aeo2014!K60</f>
        <v>24797.577846073291</v>
      </c>
      <c r="J47" s="286">
        <f>(J$14-J$30-J$43-J$46)*EIA_electricity_aeo2014!L60</f>
        <v>23250.415742617319</v>
      </c>
      <c r="K47" s="286">
        <f>(K$14-K$30-K$43-K$46)*EIA_electricity_aeo2014!M60</f>
        <v>22894.308257880104</v>
      </c>
      <c r="L47" s="286">
        <f>(L$14-L$30-L$43-L$46)*EIA_electricity_aeo2014!N60</f>
        <v>23367.586156729838</v>
      </c>
      <c r="M47" s="286">
        <f>(M$14-M$30-M$43-M$46)*EIA_electricity_aeo2014!O60</f>
        <v>23092.626493705033</v>
      </c>
      <c r="N47" s="287">
        <f>(N$14-N$43-N$46)*EIA_electricity_aeo2014!P60 - N30</f>
        <v>22697.644713990452</v>
      </c>
      <c r="O47" s="286">
        <f>(O$14-O$43-O$46)*EIA_electricity_aeo2014!Q60 - O30</f>
        <v>22579.389156878155</v>
      </c>
      <c r="P47" s="286">
        <f>(P$14-P$43-P$46)*EIA_electricity_aeo2014!R60 - P30</f>
        <v>22460.559987631168</v>
      </c>
      <c r="Q47" s="286">
        <f>(Q$14-Q$43-Q$46)*EIA_electricity_aeo2014!S60 - Q30</f>
        <v>22386.61387831868</v>
      </c>
      <c r="R47" s="286">
        <f>(R$14-R$43-R$46)*EIA_electricity_aeo2014!T60 - R30</f>
        <v>22289.857983640784</v>
      </c>
      <c r="S47" s="286">
        <f>(S$14-S$43-S$46)*EIA_electricity_aeo2014!U60 - S30</f>
        <v>22157.892677263259</v>
      </c>
      <c r="T47" s="286">
        <f>(T$14-T$43-T$46)*EIA_electricity_aeo2014!V60 - T30</f>
        <v>21987.064030900703</v>
      </c>
      <c r="U47" s="286">
        <f>(U$14-U$43-U$46)*EIA_electricity_aeo2014!W60 - U30</f>
        <v>21846.742409918723</v>
      </c>
      <c r="V47" s="286">
        <f>(V$14-V$43-V$46)*EIA_electricity_aeo2014!X60 - V30</f>
        <v>21633.09886957088</v>
      </c>
      <c r="W47" s="286">
        <f>(W$14-W$43-W$46)*EIA_electricity_aeo2014!Y60 - W30</f>
        <v>21454.915154097478</v>
      </c>
      <c r="X47" s="287">
        <f>(X$14-X$43-X$46)*EIA_electricity_aeo2014!Z60 - X30</f>
        <v>21275.304081153539</v>
      </c>
      <c r="Y47" s="286">
        <f>(Y$14-Y$43-Y$46)*EIA_electricity_aeo2014!AA60 - Y30</f>
        <v>21236.722667650698</v>
      </c>
      <c r="Z47" s="286">
        <f>(Z$14-Z$43-Z$46)*EIA_electricity_aeo2014!AB60 - Z30</f>
        <v>21195.787834374165</v>
      </c>
      <c r="AA47" s="286">
        <f>(AA$14-AA$43-AA$46)*EIA_electricity_aeo2014!AC60 - AA30</f>
        <v>21153.834103050212</v>
      </c>
      <c r="AB47" s="286">
        <f>(AB$14-AB$43-AB$46)*EIA_electricity_aeo2014!AD60 - AB30</f>
        <v>21107.788042108736</v>
      </c>
      <c r="AC47" s="286">
        <f>(AC$14-AC$43-AC$46)*EIA_electricity_aeo2014!AE60 - AC30</f>
        <v>21065.949102190589</v>
      </c>
      <c r="AD47" s="286">
        <f>(AD$14-AD$43-AD$46)*EIA_electricity_aeo2014!AF60 - AD30</f>
        <v>21016.635479289711</v>
      </c>
      <c r="AE47" s="286">
        <f>(AE$14-AE$43-AE$46)*EIA_electricity_aeo2014!AG60 - AE30</f>
        <v>20974.58090688632</v>
      </c>
      <c r="AF47" s="286">
        <f>(AF$14-AF$43-AF$46)*EIA_electricity_aeo2014!AH60 - AF30</f>
        <v>20929.378862961388</v>
      </c>
      <c r="AG47" s="286">
        <f>(AG$14-AG$43-AG$46)*EIA_electricity_aeo2014!AI60 - AG30</f>
        <v>20888.363600738699</v>
      </c>
      <c r="AH47" s="287">
        <f>(AH$14-AH$43-AH$46)*EIA_electricity_aeo2014!AJ60 - AH30</f>
        <v>20853.987476135087</v>
      </c>
      <c r="AI47" s="292"/>
      <c r="AJ47" s="398"/>
    </row>
    <row r="48" spans="1:36" s="252" customFormat="1">
      <c r="A48" s="10" t="s">
        <v>222</v>
      </c>
      <c r="B48" s="37"/>
      <c r="C48" s="330">
        <f>(C$14-C$43-C$46)* 0.3</f>
        <v>8890.4699999999993</v>
      </c>
      <c r="D48" s="330">
        <f t="shared" ref="D48:AH48" si="32">(D$14-SUM(D30:D42,D46:D47))</f>
        <v>16.28490565228276</v>
      </c>
      <c r="E48" s="330">
        <f t="shared" si="32"/>
        <v>6.2802532905297994</v>
      </c>
      <c r="F48" s="330">
        <f>(F$14-SUM(F30:F42,F46:F47))</f>
        <v>11.880858090244146</v>
      </c>
      <c r="G48" s="330">
        <f t="shared" si="32"/>
        <v>3.659502731214161</v>
      </c>
      <c r="H48" s="286">
        <f t="shared" si="32"/>
        <v>5.5598148903081892</v>
      </c>
      <c r="I48" s="286">
        <f t="shared" si="32"/>
        <v>5.2541929477083613</v>
      </c>
      <c r="J48" s="286">
        <f t="shared" si="32"/>
        <v>13.673271237385052</v>
      </c>
      <c r="K48" s="286">
        <f t="shared" si="32"/>
        <v>15.697069327379722</v>
      </c>
      <c r="L48" s="286">
        <f t="shared" si="32"/>
        <v>18.575604199304507</v>
      </c>
      <c r="M48" s="286">
        <f t="shared" si="32"/>
        <v>19.634051913108124</v>
      </c>
      <c r="N48" s="287">
        <f t="shared" si="32"/>
        <v>22.604561666223162</v>
      </c>
      <c r="O48" s="286">
        <f t="shared" si="32"/>
        <v>23.462078197291703</v>
      </c>
      <c r="P48" s="286">
        <f t="shared" si="32"/>
        <v>23.658697856088111</v>
      </c>
      <c r="Q48" s="286">
        <f t="shared" si="32"/>
        <v>25.000932805742195</v>
      </c>
      <c r="R48" s="286">
        <f t="shared" si="32"/>
        <v>25.427735532262886</v>
      </c>
      <c r="S48" s="286">
        <f t="shared" si="32"/>
        <v>25.510430405622174</v>
      </c>
      <c r="T48" s="286">
        <f t="shared" si="32"/>
        <v>26.8058366599289</v>
      </c>
      <c r="U48" s="286">
        <f t="shared" si="32"/>
        <v>27.999660310539184</v>
      </c>
      <c r="V48" s="286">
        <f t="shared" si="32"/>
        <v>28.314831715542823</v>
      </c>
      <c r="W48" s="286">
        <f t="shared" si="32"/>
        <v>29.266404665009759</v>
      </c>
      <c r="X48" s="287">
        <f t="shared" si="32"/>
        <v>29.942407130103675</v>
      </c>
      <c r="Y48" s="286">
        <f t="shared" si="32"/>
        <v>30.252304392684891</v>
      </c>
      <c r="Z48" s="286">
        <f t="shared" si="32"/>
        <v>30.589262703811983</v>
      </c>
      <c r="AA48" s="286">
        <f t="shared" si="32"/>
        <v>30.822648088324058</v>
      </c>
      <c r="AB48" s="286">
        <f t="shared" si="32"/>
        <v>30.112716905263369</v>
      </c>
      <c r="AC48" s="286">
        <f t="shared" si="32"/>
        <v>30.689442554226844</v>
      </c>
      <c r="AD48" s="286">
        <f t="shared" si="32"/>
        <v>30.465122398571111</v>
      </c>
      <c r="AE48" s="286">
        <f t="shared" si="32"/>
        <v>30.543314519200067</v>
      </c>
      <c r="AF48" s="286">
        <f t="shared" si="32"/>
        <v>30.929817962474772</v>
      </c>
      <c r="AG48" s="286">
        <f t="shared" si="32"/>
        <v>32.637923411464726</v>
      </c>
      <c r="AH48" s="287">
        <f t="shared" si="32"/>
        <v>33.702877632400487</v>
      </c>
      <c r="AI48" s="292"/>
    </row>
    <row r="49" spans="1:35" s="252" customFormat="1">
      <c r="A49" s="10" t="s">
        <v>334</v>
      </c>
      <c r="B49" s="37"/>
      <c r="C49" s="330">
        <f>SUM(C43,C46:C48)</f>
        <v>34153</v>
      </c>
      <c r="D49" s="330">
        <f t="shared" ref="D49:M49" si="33">SUM(D43,D46:D48)+D30</f>
        <v>34702.999999999993</v>
      </c>
      <c r="E49" s="330">
        <f t="shared" si="33"/>
        <v>32111.104969083128</v>
      </c>
      <c r="F49" s="330">
        <f t="shared" si="33"/>
        <v>30771.785592158452</v>
      </c>
      <c r="G49" s="330">
        <f t="shared" si="33"/>
        <v>31525.426509061304</v>
      </c>
      <c r="H49" s="286">
        <f>SUM(H43,H46:H48)+H30</f>
        <v>31515.876955215459</v>
      </c>
      <c r="I49" s="286">
        <f t="shared" si="33"/>
        <v>33282.373189923637</v>
      </c>
      <c r="J49" s="286">
        <f t="shared" si="33"/>
        <v>32388.06363536854</v>
      </c>
      <c r="K49" s="286">
        <f t="shared" si="33"/>
        <v>32022.806648416561</v>
      </c>
      <c r="L49" s="286">
        <f t="shared" si="33"/>
        <v>32535.880997399494</v>
      </c>
      <c r="M49" s="286">
        <f t="shared" si="33"/>
        <v>32758.533003142154</v>
      </c>
      <c r="N49" s="287">
        <f t="shared" ref="N49:AH49" si="34">SUM(N43,N46:N48)+N30</f>
        <v>32910.952790323783</v>
      </c>
      <c r="O49" s="286">
        <f t="shared" si="34"/>
        <v>32973.648287255186</v>
      </c>
      <c r="P49" s="286">
        <f t="shared" si="34"/>
        <v>33039.322936143457</v>
      </c>
      <c r="Q49" s="286">
        <f t="shared" si="34"/>
        <v>33178.315281635085</v>
      </c>
      <c r="R49" s="286">
        <f t="shared" si="34"/>
        <v>33288.404103458801</v>
      </c>
      <c r="S49" s="286">
        <f t="shared" si="34"/>
        <v>33351.271072820338</v>
      </c>
      <c r="T49" s="286">
        <f t="shared" si="34"/>
        <v>33362.688645363785</v>
      </c>
      <c r="U49" s="286">
        <f t="shared" si="34"/>
        <v>33425.329987518911</v>
      </c>
      <c r="V49" s="286">
        <f t="shared" si="34"/>
        <v>33379.764994362224</v>
      </c>
      <c r="W49" s="286">
        <f t="shared" si="34"/>
        <v>33394.455516560723</v>
      </c>
      <c r="X49" s="287">
        <f t="shared" si="34"/>
        <v>33411.850634079754</v>
      </c>
      <c r="Y49" s="286">
        <f t="shared" si="34"/>
        <v>33407.753513067997</v>
      </c>
      <c r="Z49" s="286">
        <f t="shared" si="34"/>
        <v>33400.177877838105</v>
      </c>
      <c r="AA49" s="286">
        <f t="shared" si="34"/>
        <v>33391.13462236237</v>
      </c>
      <c r="AB49" s="286">
        <f t="shared" si="34"/>
        <v>33374.313017364366</v>
      </c>
      <c r="AC49" s="286">
        <f t="shared" si="34"/>
        <v>33366.249651962295</v>
      </c>
      <c r="AD49" s="286">
        <f t="shared" si="34"/>
        <v>33345.259311331494</v>
      </c>
      <c r="AE49" s="286">
        <f t="shared" si="34"/>
        <v>33336.320609688417</v>
      </c>
      <c r="AF49" s="286">
        <f t="shared" si="34"/>
        <v>33323.034764128242</v>
      </c>
      <c r="AG49" s="286">
        <f t="shared" si="34"/>
        <v>33318.632525097179</v>
      </c>
      <c r="AH49" s="287">
        <f t="shared" si="34"/>
        <v>33322.473819756982</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332"/>
      <c r="D51" s="332">
        <f>D44/C44-1</f>
        <v>0.36623186101649119</v>
      </c>
      <c r="E51" s="332">
        <f t="shared" ref="E51:X51" si="36">E44/D44-1</f>
        <v>5.8357148018864935E-2</v>
      </c>
      <c r="F51" s="332">
        <f t="shared" si="36"/>
        <v>0.17071924781492842</v>
      </c>
      <c r="G51" s="332">
        <f>G44/F44-1</f>
        <v>5.9262748612263438E-2</v>
      </c>
      <c r="H51" s="284"/>
      <c r="I51" s="164">
        <f t="shared" ref="I51:N51" si="37">I44/H44-1</f>
        <v>0.20033372695270657</v>
      </c>
      <c r="J51" s="172">
        <f t="shared" si="37"/>
        <v>0.10596307792619797</v>
      </c>
      <c r="K51" s="172">
        <f t="shared" si="37"/>
        <v>6.8885750549863012E-4</v>
      </c>
      <c r="L51" s="172">
        <f t="shared" si="37"/>
        <v>1.9039479055305009E-4</v>
      </c>
      <c r="M51" s="172">
        <f t="shared" si="37"/>
        <v>6.6133907523110658E-2</v>
      </c>
      <c r="N51" s="172">
        <f t="shared" si="37"/>
        <v>6.8768705526908169E-2</v>
      </c>
      <c r="O51" s="172">
        <f t="shared" ref="O51:R51" si="38">O44/N44-1</f>
        <v>2.044357812450226E-2</v>
      </c>
      <c r="P51" s="172">
        <f t="shared" si="38"/>
        <v>2.0527310150886269E-2</v>
      </c>
      <c r="Q51" s="172">
        <f t="shared" si="38"/>
        <v>2.2776460269240406E-2</v>
      </c>
      <c r="R51" s="172">
        <f t="shared" si="38"/>
        <v>2.1867705588657138E-2</v>
      </c>
      <c r="S51" s="164">
        <f t="shared" si="36"/>
        <v>2.040931032116311E-2</v>
      </c>
      <c r="T51" s="164">
        <f t="shared" si="36"/>
        <v>1.883276059634853E-2</v>
      </c>
      <c r="U51" s="164">
        <f t="shared" si="36"/>
        <v>2.0390492098708801E-2</v>
      </c>
      <c r="V51" s="164">
        <f t="shared" si="36"/>
        <v>1.709123472000007E-2</v>
      </c>
      <c r="W51" s="164">
        <f t="shared" si="36"/>
        <v>1.892175011555719E-2</v>
      </c>
      <c r="X51" s="185">
        <f t="shared" si="36"/>
        <v>1.9000608597612878E-2</v>
      </c>
      <c r="Y51" s="172">
        <f t="shared" ref="Y51:AH51" si="39">Y44/X44-1</f>
        <v>3.2555800170996907E-3</v>
      </c>
      <c r="Z51" s="172">
        <f t="shared" si="39"/>
        <v>3.1523876768644321E-3</v>
      </c>
      <c r="AA51" s="172">
        <f t="shared" si="39"/>
        <v>3.1168256064324495E-3</v>
      </c>
      <c r="AB51" s="172">
        <f t="shared" si="39"/>
        <v>2.8834666888208904E-3</v>
      </c>
      <c r="AC51" s="172">
        <f t="shared" si="39"/>
        <v>3.1440745473230169E-3</v>
      </c>
      <c r="AD51" s="172">
        <f t="shared" si="39"/>
        <v>2.7563870251641198E-3</v>
      </c>
      <c r="AE51" s="172">
        <f t="shared" si="39"/>
        <v>3.1153627149016483E-3</v>
      </c>
      <c r="AF51" s="172">
        <f t="shared" si="39"/>
        <v>2.9845658637832617E-3</v>
      </c>
      <c r="AG51" s="172">
        <f t="shared" si="39"/>
        <v>3.2518073928375912E-3</v>
      </c>
      <c r="AH51" s="185">
        <f t="shared" si="39"/>
        <v>3.4149018199405301E-3</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542</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4.3187714110034255E-2</v>
      </c>
      <c r="D56" s="336">
        <f t="shared" si="40"/>
        <v>4.4572231429724059E-2</v>
      </c>
      <c r="E56" s="336">
        <f t="shared" si="40"/>
        <v>4.5956748749413863E-2</v>
      </c>
      <c r="F56" s="336">
        <f t="shared" si="40"/>
        <v>4.7341266069103667E-2</v>
      </c>
      <c r="G56" s="336">
        <f t="shared" si="40"/>
        <v>4.8725783388793471E-2</v>
      </c>
      <c r="H56" s="396">
        <f t="shared" si="40"/>
        <v>5.742980435150713E-2</v>
      </c>
      <c r="I56" s="173">
        <f t="shared" si="40"/>
        <v>5.7594404397359619E-2</v>
      </c>
      <c r="J56" s="173">
        <f t="shared" si="40"/>
        <v>5.7759004443212109E-2</v>
      </c>
      <c r="K56" s="173">
        <f t="shared" si="40"/>
        <v>5.7923604489064598E-2</v>
      </c>
      <c r="L56" s="173">
        <f t="shared" si="40"/>
        <v>5.8088204534917087E-2</v>
      </c>
      <c r="M56" s="173">
        <f t="shared" si="40"/>
        <v>5.8252804580769577E-2</v>
      </c>
      <c r="N56" s="178">
        <f>N26</f>
        <v>5.841740462662208E-2</v>
      </c>
      <c r="O56" s="116">
        <f t="shared" ref="O56:AH56" si="41">O31/O$49</f>
        <v>5.8657899957916725E-2</v>
      </c>
      <c r="P56" s="116">
        <f t="shared" si="41"/>
        <v>5.8898395289211369E-2</v>
      </c>
      <c r="Q56" s="116">
        <f t="shared" si="41"/>
        <v>5.9138890620506014E-2</v>
      </c>
      <c r="R56" s="116">
        <f t="shared" si="41"/>
        <v>5.9379385951800659E-2</v>
      </c>
      <c r="S56" s="116">
        <f t="shared" si="41"/>
        <v>5.9619881283095304E-2</v>
      </c>
      <c r="T56" s="116">
        <f t="shared" si="41"/>
        <v>5.9860376614389949E-2</v>
      </c>
      <c r="U56" s="116">
        <f t="shared" si="41"/>
        <v>6.0100871945684593E-2</v>
      </c>
      <c r="V56" s="116">
        <f t="shared" si="41"/>
        <v>6.0341367276979238E-2</v>
      </c>
      <c r="W56" s="116">
        <f t="shared" si="41"/>
        <v>6.0581862608273883E-2</v>
      </c>
      <c r="X56" s="178">
        <f t="shared" si="41"/>
        <v>6.0822357939568514E-2</v>
      </c>
      <c r="Y56" s="173">
        <f t="shared" si="41"/>
        <v>6.0874164560301182E-2</v>
      </c>
      <c r="Z56" s="173">
        <f t="shared" si="41"/>
        <v>6.092597118103385E-2</v>
      </c>
      <c r="AA56" s="173">
        <f t="shared" si="41"/>
        <v>6.0977777801766518E-2</v>
      </c>
      <c r="AB56" s="173">
        <f t="shared" si="41"/>
        <v>6.1029584422499186E-2</v>
      </c>
      <c r="AC56" s="173">
        <f t="shared" si="41"/>
        <v>6.1081391043231854E-2</v>
      </c>
      <c r="AD56" s="173">
        <f t="shared" si="41"/>
        <v>6.1133197663964522E-2</v>
      </c>
      <c r="AE56" s="173">
        <f t="shared" si="41"/>
        <v>6.1185004284697191E-2</v>
      </c>
      <c r="AF56" s="173">
        <f t="shared" si="41"/>
        <v>6.1236810905429859E-2</v>
      </c>
      <c r="AG56" s="173">
        <f t="shared" si="41"/>
        <v>6.1288617526162527E-2</v>
      </c>
      <c r="AH56" s="178">
        <f t="shared" si="41"/>
        <v>6.1340424146895209E-2</v>
      </c>
      <c r="AI56" s="127"/>
    </row>
    <row r="57" spans="1:35">
      <c r="A57" s="9" t="s">
        <v>59</v>
      </c>
      <c r="B57" s="37"/>
      <c r="C57" s="336">
        <f t="shared" ref="C57:M57" si="42">C32/C$49</f>
        <v>0</v>
      </c>
      <c r="D57" s="336">
        <f t="shared" si="42"/>
        <v>0</v>
      </c>
      <c r="E57" s="336">
        <f t="shared" si="42"/>
        <v>0</v>
      </c>
      <c r="F57" s="336">
        <f t="shared" si="42"/>
        <v>0</v>
      </c>
      <c r="G57" s="336">
        <f t="shared" si="42"/>
        <v>0</v>
      </c>
      <c r="H57" s="396">
        <f t="shared" si="42"/>
        <v>0</v>
      </c>
      <c r="I57" s="116">
        <f t="shared" si="42"/>
        <v>0</v>
      </c>
      <c r="J57" s="116">
        <f t="shared" si="42"/>
        <v>0</v>
      </c>
      <c r="K57" s="116">
        <f t="shared" si="42"/>
        <v>0</v>
      </c>
      <c r="L57" s="116">
        <f t="shared" si="42"/>
        <v>0</v>
      </c>
      <c r="M57" s="116">
        <f t="shared" si="42"/>
        <v>0</v>
      </c>
      <c r="N57" s="178">
        <f>N18</f>
        <v>0</v>
      </c>
      <c r="O57" s="116">
        <f t="shared" ref="O57:AH57" si="43">O32/O$49</f>
        <v>0</v>
      </c>
      <c r="P57" s="116">
        <f t="shared" si="43"/>
        <v>0</v>
      </c>
      <c r="Q57" s="116">
        <f t="shared" si="43"/>
        <v>0</v>
      </c>
      <c r="R57" s="116">
        <f t="shared" si="43"/>
        <v>0</v>
      </c>
      <c r="S57" s="116">
        <f t="shared" si="43"/>
        <v>0</v>
      </c>
      <c r="T57" s="116">
        <f t="shared" si="43"/>
        <v>0</v>
      </c>
      <c r="U57" s="116">
        <f t="shared" si="43"/>
        <v>0</v>
      </c>
      <c r="V57" s="116">
        <f t="shared" si="43"/>
        <v>0</v>
      </c>
      <c r="W57" s="116">
        <f>W32/W$49</f>
        <v>0</v>
      </c>
      <c r="X57" s="178">
        <f t="shared" si="43"/>
        <v>0</v>
      </c>
      <c r="Y57" s="173">
        <f t="shared" si="43"/>
        <v>0</v>
      </c>
      <c r="Z57" s="173">
        <f t="shared" si="43"/>
        <v>0</v>
      </c>
      <c r="AA57" s="173">
        <f t="shared" si="43"/>
        <v>0</v>
      </c>
      <c r="AB57" s="173">
        <f t="shared" si="43"/>
        <v>0</v>
      </c>
      <c r="AC57" s="173">
        <f t="shared" si="43"/>
        <v>0</v>
      </c>
      <c r="AD57" s="173">
        <f t="shared" si="43"/>
        <v>0</v>
      </c>
      <c r="AE57" s="173">
        <f t="shared" si="43"/>
        <v>0</v>
      </c>
      <c r="AF57" s="173">
        <f t="shared" si="43"/>
        <v>0</v>
      </c>
      <c r="AG57" s="173">
        <f t="shared" si="43"/>
        <v>0</v>
      </c>
      <c r="AH57" s="178">
        <f t="shared" si="43"/>
        <v>0</v>
      </c>
      <c r="AI57" s="127"/>
    </row>
    <row r="58" spans="1:35">
      <c r="A58" s="9" t="s">
        <v>121</v>
      </c>
      <c r="B58" s="37"/>
      <c r="C58" s="336">
        <f>C34/C$49</f>
        <v>0</v>
      </c>
      <c r="D58" s="336">
        <f t="shared" ref="D58:G59" si="44">C58*($N71)</f>
        <v>0</v>
      </c>
      <c r="E58" s="336">
        <f t="shared" si="44"/>
        <v>0</v>
      </c>
      <c r="F58" s="336">
        <f t="shared" si="44"/>
        <v>0</v>
      </c>
      <c r="G58" s="336">
        <f t="shared" si="44"/>
        <v>0</v>
      </c>
      <c r="H58" s="396">
        <f>H34/H$49</f>
        <v>9.8883397864144728E-5</v>
      </c>
      <c r="I58" s="116">
        <f t="shared" ref="I58:N59" si="45">H58*($N71)</f>
        <v>1.0486951686748214E-4</v>
      </c>
      <c r="J58" s="116">
        <f t="shared" si="45"/>
        <v>1.1121801844965597E-4</v>
      </c>
      <c r="K58" s="116">
        <f t="shared" si="45"/>
        <v>1.1795084021888466E-4</v>
      </c>
      <c r="L58" s="116">
        <f t="shared" si="45"/>
        <v>1.2509124782364699E-4</v>
      </c>
      <c r="M58" s="116">
        <f t="shared" si="45"/>
        <v>1.3266391534845341E-4</v>
      </c>
      <c r="N58" s="178">
        <f t="shared" si="45"/>
        <v>1.4069501057654811E-4</v>
      </c>
      <c r="O58" s="116">
        <f t="shared" ref="O58:W58" si="46">N58*$X71</f>
        <v>1.4328371099815558E-4</v>
      </c>
      <c r="P58" s="116">
        <f t="shared" si="46"/>
        <v>1.4592004189255216E-4</v>
      </c>
      <c r="Q58" s="116">
        <f t="shared" si="46"/>
        <v>1.4860487963072277E-4</v>
      </c>
      <c r="R58" s="116">
        <f t="shared" si="46"/>
        <v>1.513391167083317E-4</v>
      </c>
      <c r="S58" s="116">
        <f t="shared" si="46"/>
        <v>1.541236620424067E-4</v>
      </c>
      <c r="T58" s="116">
        <f t="shared" si="46"/>
        <v>1.5695944127348178E-4</v>
      </c>
      <c r="U58" s="116">
        <f t="shared" si="46"/>
        <v>1.5984739707329933E-4</v>
      </c>
      <c r="V58" s="116">
        <f t="shared" si="46"/>
        <v>1.627884894581737E-4</v>
      </c>
      <c r="W58" s="116">
        <f t="shared" si="46"/>
        <v>1.6578369610812052E-4</v>
      </c>
      <c r="X58" s="178">
        <f t="shared" ref="X58:X66" si="47">X34/X$49</f>
        <v>1.6883401269185782E-4</v>
      </c>
      <c r="Y58" s="173">
        <f>X58*$AH71</f>
        <v>1.6938852504939147E-4</v>
      </c>
      <c r="Z58" s="173">
        <f t="shared" ref="Z58:AG58" si="48">Y58*$AH71</f>
        <v>1.6994485862736379E-4</v>
      </c>
      <c r="AA58" s="173">
        <f t="shared" si="48"/>
        <v>1.7050301940732567E-4</v>
      </c>
      <c r="AB58" s="173">
        <f t="shared" si="48"/>
        <v>1.710630133904736E-4</v>
      </c>
      <c r="AC58" s="173">
        <f t="shared" si="48"/>
        <v>1.7162484659771416E-4</v>
      </c>
      <c r="AD58" s="173">
        <f t="shared" si="48"/>
        <v>1.7218852506972881E-4</v>
      </c>
      <c r="AE58" s="173">
        <f t="shared" si="48"/>
        <v>1.7275405486703879E-4</v>
      </c>
      <c r="AF58" s="173">
        <f t="shared" si="48"/>
        <v>1.7332144207007029E-4</v>
      </c>
      <c r="AG58" s="173">
        <f t="shared" si="48"/>
        <v>1.7389069277921985E-4</v>
      </c>
      <c r="AH58" s="178">
        <f t="shared" ref="AH58:AH66" si="49">AH34/AH$49</f>
        <v>1.7446181311491976E-4</v>
      </c>
      <c r="AI58" s="127"/>
    </row>
    <row r="59" spans="1:35">
      <c r="A59" s="9" t="s">
        <v>50</v>
      </c>
      <c r="B59" s="37"/>
      <c r="C59" s="336">
        <f t="shared" ref="C59:C65" si="50">C35/C$49</f>
        <v>0</v>
      </c>
      <c r="D59" s="336">
        <f t="shared" si="44"/>
        <v>0</v>
      </c>
      <c r="E59" s="336">
        <f t="shared" si="44"/>
        <v>0</v>
      </c>
      <c r="F59" s="336">
        <f t="shared" si="44"/>
        <v>0</v>
      </c>
      <c r="G59" s="336">
        <f t="shared" si="44"/>
        <v>0</v>
      </c>
      <c r="H59" s="396">
        <f>H35/H$49</f>
        <v>3.1730038844263016E-12</v>
      </c>
      <c r="I59" s="116">
        <f t="shared" si="45"/>
        <v>3.2193731423903431E-12</v>
      </c>
      <c r="J59" s="116">
        <f t="shared" si="45"/>
        <v>3.2664200257725848E-12</v>
      </c>
      <c r="K59" s="116">
        <f t="shared" si="45"/>
        <v>3.3141544371728861E-12</v>
      </c>
      <c r="L59" s="116">
        <f t="shared" si="45"/>
        <v>3.3625864239045153E-12</v>
      </c>
      <c r="M59" s="116">
        <f t="shared" si="45"/>
        <v>3.4117261801089432E-12</v>
      </c>
      <c r="N59" s="178">
        <f t="shared" si="45"/>
        <v>3.4615840489015459E-12</v>
      </c>
      <c r="O59" s="116">
        <f t="shared" ref="O59:V59" si="51">N59*$X72</f>
        <v>3.5252750358818248E-12</v>
      </c>
      <c r="P59" s="116">
        <f t="shared" si="51"/>
        <v>3.5901378972887288E-12</v>
      </c>
      <c r="Q59" s="116">
        <f t="shared" si="51"/>
        <v>3.6561941948806305E-12</v>
      </c>
      <c r="R59" s="116">
        <f t="shared" si="51"/>
        <v>3.7234658871388053E-12</v>
      </c>
      <c r="S59" s="116">
        <f t="shared" si="51"/>
        <v>3.7919753365668852E-12</v>
      </c>
      <c r="T59" s="116">
        <f t="shared" si="51"/>
        <v>3.8617453171246181E-12</v>
      </c>
      <c r="U59" s="116">
        <f t="shared" si="51"/>
        <v>3.9327990217984037E-12</v>
      </c>
      <c r="V59" s="116">
        <f t="shared" si="51"/>
        <v>4.0051600703111214E-12</v>
      </c>
      <c r="W59" s="116">
        <f>V59*$X72</f>
        <v>4.0788525169738176E-12</v>
      </c>
      <c r="X59" s="178">
        <f t="shared" si="47"/>
        <v>4.1539008586818563E-12</v>
      </c>
      <c r="Y59" s="173">
        <f>X59*$AH72</f>
        <v>4.1675437812268097E-12</v>
      </c>
      <c r="Z59" s="173">
        <f t="shared" ref="Z59:AG59" si="52">Y59*$AH72</f>
        <v>4.1812315120957696E-12</v>
      </c>
      <c r="AA59" s="173">
        <f t="shared" si="52"/>
        <v>4.1949641984555837E-12</v>
      </c>
      <c r="AB59" s="173">
        <f t="shared" si="52"/>
        <v>4.208741987956449E-12</v>
      </c>
      <c r="AC59" s="173">
        <f t="shared" si="52"/>
        <v>4.2225650287334993E-12</v>
      </c>
      <c r="AD59" s="173">
        <f t="shared" si="52"/>
        <v>4.2364334694083979E-12</v>
      </c>
      <c r="AE59" s="173">
        <f t="shared" si="52"/>
        <v>4.2503474590909364E-12</v>
      </c>
      <c r="AF59" s="173">
        <f t="shared" si="52"/>
        <v>4.2643071473806365E-12</v>
      </c>
      <c r="AG59" s="173">
        <f t="shared" si="52"/>
        <v>4.2783126843683597E-12</v>
      </c>
      <c r="AH59" s="178">
        <f t="shared" si="49"/>
        <v>4.2923642206379181E-12</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2.9280004684800752E-6</v>
      </c>
      <c r="D61" s="336">
        <f t="shared" ref="D61:M61" si="56">C61*($N74)</f>
        <v>2.970789325344754E-6</v>
      </c>
      <c r="E61" s="336">
        <f t="shared" si="56"/>
        <v>3.0142034847978358E-6</v>
      </c>
      <c r="F61" s="336">
        <f t="shared" si="56"/>
        <v>3.0582520848101784E-6</v>
      </c>
      <c r="G61" s="336">
        <f t="shared" si="56"/>
        <v>3.1029443968920058E-6</v>
      </c>
      <c r="H61" s="396">
        <f t="shared" si="53"/>
        <v>3.1730038844263012E-6</v>
      </c>
      <c r="I61" s="116">
        <f t="shared" si="56"/>
        <v>3.2193731423903427E-6</v>
      </c>
      <c r="J61" s="116">
        <f t="shared" si="56"/>
        <v>3.2664200257725846E-6</v>
      </c>
      <c r="K61" s="116">
        <f t="shared" si="56"/>
        <v>3.314154437172886E-6</v>
      </c>
      <c r="L61" s="116">
        <f t="shared" si="56"/>
        <v>3.3625864239045149E-6</v>
      </c>
      <c r="M61" s="116">
        <f t="shared" si="56"/>
        <v>3.4117261801089428E-6</v>
      </c>
      <c r="N61" s="178">
        <f>M61*($N74)</f>
        <v>3.4615840489015456E-6</v>
      </c>
      <c r="O61" s="116">
        <f t="shared" ref="O61:W61" si="57">N61*$X74</f>
        <v>3.5252750358818245E-6</v>
      </c>
      <c r="P61" s="116">
        <f t="shared" si="57"/>
        <v>3.5901378972887284E-6</v>
      </c>
      <c r="Q61" s="116">
        <f t="shared" si="57"/>
        <v>3.6561941948806302E-6</v>
      </c>
      <c r="R61" s="116">
        <f t="shared" si="57"/>
        <v>3.7234658871388054E-6</v>
      </c>
      <c r="S61" s="116">
        <f t="shared" si="57"/>
        <v>3.7919753365668859E-6</v>
      </c>
      <c r="T61" s="116">
        <f t="shared" si="57"/>
        <v>3.8617453171246186E-6</v>
      </c>
      <c r="U61" s="116">
        <f t="shared" si="57"/>
        <v>3.9327990217984035E-6</v>
      </c>
      <c r="V61" s="116">
        <f t="shared" si="57"/>
        <v>4.0051600703111215E-6</v>
      </c>
      <c r="W61" s="116">
        <f t="shared" si="57"/>
        <v>4.0788525169738178E-6</v>
      </c>
      <c r="X61" s="178">
        <f t="shared" si="47"/>
        <v>4.1539008586818553E-6</v>
      </c>
      <c r="Y61" s="173">
        <f t="shared" si="55"/>
        <v>4.167543781226809E-6</v>
      </c>
      <c r="Z61" s="173">
        <f t="shared" si="55"/>
        <v>4.1812315120957688E-6</v>
      </c>
      <c r="AA61" s="173">
        <f t="shared" si="55"/>
        <v>4.194964198455583E-6</v>
      </c>
      <c r="AB61" s="173">
        <f t="shared" si="55"/>
        <v>4.2087419879564484E-6</v>
      </c>
      <c r="AC61" s="173">
        <f t="shared" si="55"/>
        <v>4.2225650287334981E-6</v>
      </c>
      <c r="AD61" s="173">
        <f t="shared" si="55"/>
        <v>4.2364334694083969E-6</v>
      </c>
      <c r="AE61" s="173">
        <f t="shared" si="55"/>
        <v>4.250347459090935E-6</v>
      </c>
      <c r="AF61" s="173">
        <f t="shared" si="55"/>
        <v>4.2643071473806352E-6</v>
      </c>
      <c r="AG61" s="173">
        <f t="shared" si="55"/>
        <v>4.2783126843683586E-6</v>
      </c>
      <c r="AH61" s="178">
        <f t="shared" si="49"/>
        <v>4.2923642206379174E-6</v>
      </c>
      <c r="AI61" s="127"/>
    </row>
    <row r="62" spans="1:35">
      <c r="A62" s="9" t="s">
        <v>347</v>
      </c>
      <c r="B62" s="37"/>
      <c r="C62" s="339">
        <f t="shared" si="50"/>
        <v>0</v>
      </c>
      <c r="D62" s="339">
        <f t="shared" ref="D62:N62" si="58">C62*($N75)</f>
        <v>0</v>
      </c>
      <c r="E62" s="339">
        <f t="shared" si="58"/>
        <v>0</v>
      </c>
      <c r="F62" s="339">
        <f t="shared" si="58"/>
        <v>0</v>
      </c>
      <c r="G62" s="339">
        <f t="shared" si="58"/>
        <v>0</v>
      </c>
      <c r="H62" s="396">
        <f t="shared" si="53"/>
        <v>6.3460077688526023E-6</v>
      </c>
      <c r="I62" s="116">
        <f t="shared" si="58"/>
        <v>6.4387462847806853E-6</v>
      </c>
      <c r="J62" s="116">
        <f t="shared" si="58"/>
        <v>6.5328400515451691E-6</v>
      </c>
      <c r="K62" s="116">
        <f t="shared" si="58"/>
        <v>6.6283088743457719E-6</v>
      </c>
      <c r="L62" s="116">
        <f t="shared" si="58"/>
        <v>6.7251728478090298E-6</v>
      </c>
      <c r="M62" s="116">
        <f t="shared" si="58"/>
        <v>6.8234523602178856E-6</v>
      </c>
      <c r="N62" s="178">
        <f t="shared" si="58"/>
        <v>6.9231680978030913E-6</v>
      </c>
      <c r="O62" s="116">
        <f t="shared" ref="O62:W62" si="59">N62*$X75</f>
        <v>7.050550071763649E-6</v>
      </c>
      <c r="P62" s="116">
        <f t="shared" si="59"/>
        <v>7.1802757945774568E-6</v>
      </c>
      <c r="Q62" s="116">
        <f t="shared" si="59"/>
        <v>7.3123883897612605E-6</v>
      </c>
      <c r="R62" s="116">
        <f t="shared" si="59"/>
        <v>7.4469317742776109E-6</v>
      </c>
      <c r="S62" s="116">
        <f t="shared" si="59"/>
        <v>7.5839506731337717E-6</v>
      </c>
      <c r="T62" s="116">
        <f t="shared" si="59"/>
        <v>7.7234906342492373E-6</v>
      </c>
      <c r="U62" s="116">
        <f t="shared" si="59"/>
        <v>7.865598043596807E-6</v>
      </c>
      <c r="V62" s="116">
        <f t="shared" si="59"/>
        <v>8.0103201406222431E-6</v>
      </c>
      <c r="W62" s="116">
        <f t="shared" si="59"/>
        <v>8.1577050339476357E-6</v>
      </c>
      <c r="X62" s="178">
        <f t="shared" si="47"/>
        <v>8.3078017173637105E-6</v>
      </c>
      <c r="Y62" s="173">
        <f t="shared" si="55"/>
        <v>8.3350875624536179E-6</v>
      </c>
      <c r="Z62" s="173">
        <f t="shared" si="55"/>
        <v>8.3624630241915375E-6</v>
      </c>
      <c r="AA62" s="173">
        <f t="shared" si="55"/>
        <v>8.3899283969111661E-6</v>
      </c>
      <c r="AB62" s="173">
        <f t="shared" si="55"/>
        <v>8.4174839759128968E-6</v>
      </c>
      <c r="AC62" s="173">
        <f t="shared" si="55"/>
        <v>8.4451300574669963E-6</v>
      </c>
      <c r="AD62" s="173">
        <f t="shared" si="55"/>
        <v>8.4728669388167938E-6</v>
      </c>
      <c r="AE62" s="173">
        <f t="shared" si="55"/>
        <v>8.50069491818187E-6</v>
      </c>
      <c r="AF62" s="173">
        <f t="shared" si="55"/>
        <v>8.5286142947612704E-6</v>
      </c>
      <c r="AG62" s="173">
        <f t="shared" si="55"/>
        <v>8.5566253687367171E-6</v>
      </c>
      <c r="AH62" s="178">
        <f t="shared" si="49"/>
        <v>8.5847284412758349E-6</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3.1730038844263012E-6</v>
      </c>
      <c r="I63" s="116">
        <f t="shared" si="60"/>
        <v>3.2193731423903427E-6</v>
      </c>
      <c r="J63" s="116">
        <f t="shared" si="60"/>
        <v>3.2664200257725846E-6</v>
      </c>
      <c r="K63" s="116">
        <f t="shared" si="60"/>
        <v>3.314154437172886E-6</v>
      </c>
      <c r="L63" s="116">
        <f t="shared" si="60"/>
        <v>3.3625864239045149E-6</v>
      </c>
      <c r="M63" s="116">
        <f t="shared" si="60"/>
        <v>3.4117261801089428E-6</v>
      </c>
      <c r="N63" s="178">
        <f t="shared" si="60"/>
        <v>3.4615840489015456E-6</v>
      </c>
      <c r="O63" s="116">
        <f t="shared" ref="O63:W63" si="61">N63*$X76</f>
        <v>3.5252750358818245E-6</v>
      </c>
      <c r="P63" s="116">
        <f t="shared" si="61"/>
        <v>3.5901378972887284E-6</v>
      </c>
      <c r="Q63" s="116">
        <f t="shared" si="61"/>
        <v>3.6561941948806302E-6</v>
      </c>
      <c r="R63" s="116">
        <f t="shared" si="61"/>
        <v>3.7234658871388054E-6</v>
      </c>
      <c r="S63" s="116">
        <f t="shared" si="61"/>
        <v>3.7919753365668859E-6</v>
      </c>
      <c r="T63" s="116">
        <f t="shared" si="61"/>
        <v>3.8617453171246186E-6</v>
      </c>
      <c r="U63" s="116">
        <f t="shared" si="61"/>
        <v>3.9327990217984035E-6</v>
      </c>
      <c r="V63" s="116">
        <f t="shared" si="61"/>
        <v>4.0051600703111215E-6</v>
      </c>
      <c r="W63" s="116">
        <f t="shared" si="61"/>
        <v>4.0788525169738178E-6</v>
      </c>
      <c r="X63" s="178">
        <f t="shared" si="47"/>
        <v>4.1539008586818553E-6</v>
      </c>
      <c r="Y63" s="173">
        <f t="shared" si="55"/>
        <v>4.167543781226809E-6</v>
      </c>
      <c r="Z63" s="173">
        <f t="shared" si="55"/>
        <v>4.1812315120957688E-6</v>
      </c>
      <c r="AA63" s="173">
        <f t="shared" si="55"/>
        <v>4.194964198455583E-6</v>
      </c>
      <c r="AB63" s="173">
        <f t="shared" si="55"/>
        <v>4.2087419879564484E-6</v>
      </c>
      <c r="AC63" s="173">
        <f t="shared" si="55"/>
        <v>4.2225650287334981E-6</v>
      </c>
      <c r="AD63" s="173">
        <f t="shared" si="55"/>
        <v>4.2364334694083969E-6</v>
      </c>
      <c r="AE63" s="173">
        <f t="shared" si="55"/>
        <v>4.250347459090935E-6</v>
      </c>
      <c r="AF63" s="173">
        <f t="shared" si="55"/>
        <v>4.2643071473806352E-6</v>
      </c>
      <c r="AG63" s="173">
        <f t="shared" si="55"/>
        <v>4.2783126843683586E-6</v>
      </c>
      <c r="AH63" s="178">
        <f t="shared" si="49"/>
        <v>4.2923642206379174E-6</v>
      </c>
      <c r="AI63" s="127"/>
    </row>
    <row r="64" spans="1:35">
      <c r="A64" s="9" t="s">
        <v>344</v>
      </c>
      <c r="B64" s="37"/>
      <c r="C64" s="336">
        <f t="shared" si="50"/>
        <v>2.9280004684800749E-7</v>
      </c>
      <c r="D64" s="336">
        <f t="shared" ref="D64:N64" si="62">C64*($N77)</f>
        <v>2.9707893253447536E-7</v>
      </c>
      <c r="E64" s="336">
        <f t="shared" si="62"/>
        <v>3.0142034847978355E-7</v>
      </c>
      <c r="F64" s="336">
        <f t="shared" si="62"/>
        <v>3.058252084810178E-7</v>
      </c>
      <c r="G64" s="336">
        <f t="shared" si="62"/>
        <v>3.102944396892005E-7</v>
      </c>
      <c r="H64" s="396">
        <f t="shared" si="53"/>
        <v>3.1730038844263014E-7</v>
      </c>
      <c r="I64" s="116">
        <f t="shared" si="62"/>
        <v>3.2193731423903427E-7</v>
      </c>
      <c r="J64" s="116">
        <f t="shared" si="62"/>
        <v>3.2664200257725843E-7</v>
      </c>
      <c r="K64" s="116">
        <f t="shared" si="62"/>
        <v>3.314154437172886E-7</v>
      </c>
      <c r="L64" s="116">
        <f t="shared" si="62"/>
        <v>3.362586423904515E-7</v>
      </c>
      <c r="M64" s="116">
        <f t="shared" si="62"/>
        <v>3.4117261801089432E-7</v>
      </c>
      <c r="N64" s="178">
        <f t="shared" si="62"/>
        <v>3.4615840489015461E-7</v>
      </c>
      <c r="O64" s="116">
        <f t="shared" ref="O64:W64" si="63">N64*$X77</f>
        <v>3.5252750358818247E-7</v>
      </c>
      <c r="P64" s="116">
        <f t="shared" si="63"/>
        <v>3.5901378972887287E-7</v>
      </c>
      <c r="Q64" s="116">
        <f t="shared" si="63"/>
        <v>3.6561941948806306E-7</v>
      </c>
      <c r="R64" s="116">
        <f t="shared" si="63"/>
        <v>3.7234658871388057E-7</v>
      </c>
      <c r="S64" s="116">
        <f t="shared" si="63"/>
        <v>3.7919753365668861E-7</v>
      </c>
      <c r="T64" s="116">
        <f t="shared" si="63"/>
        <v>3.8617453171246191E-7</v>
      </c>
      <c r="U64" s="116">
        <f t="shared" si="63"/>
        <v>3.9327990217984045E-7</v>
      </c>
      <c r="V64" s="116">
        <f t="shared" si="63"/>
        <v>4.0051600703111222E-7</v>
      </c>
      <c r="W64" s="116">
        <f t="shared" si="63"/>
        <v>4.0788525169738188E-7</v>
      </c>
      <c r="X64" s="178">
        <f t="shared" si="47"/>
        <v>4.1539008586818559E-7</v>
      </c>
      <c r="Y64" s="173">
        <f t="shared" si="55"/>
        <v>4.1675437812268094E-7</v>
      </c>
      <c r="Z64" s="173">
        <f t="shared" si="55"/>
        <v>4.1812315120957695E-7</v>
      </c>
      <c r="AA64" s="173">
        <f t="shared" si="55"/>
        <v>4.1949641984555837E-7</v>
      </c>
      <c r="AB64" s="173">
        <f t="shared" si="55"/>
        <v>4.2087419879564491E-7</v>
      </c>
      <c r="AC64" s="173">
        <f t="shared" si="55"/>
        <v>4.2225650287334993E-7</v>
      </c>
      <c r="AD64" s="173">
        <f t="shared" si="55"/>
        <v>4.236433469408398E-7</v>
      </c>
      <c r="AE64" s="173">
        <f t="shared" si="55"/>
        <v>4.2503474590909362E-7</v>
      </c>
      <c r="AF64" s="173">
        <f t="shared" si="55"/>
        <v>4.2643071473806362E-7</v>
      </c>
      <c r="AG64" s="173">
        <f t="shared" si="55"/>
        <v>4.2783126843683594E-7</v>
      </c>
      <c r="AH64" s="178">
        <f t="shared" si="49"/>
        <v>4.2923642206379173E-7</v>
      </c>
      <c r="AI64" s="127"/>
    </row>
    <row r="65" spans="1:35">
      <c r="A65" s="9" t="s">
        <v>120</v>
      </c>
      <c r="B65" s="37"/>
      <c r="C65" s="336">
        <f t="shared" si="50"/>
        <v>0</v>
      </c>
      <c r="D65" s="336">
        <v>0</v>
      </c>
      <c r="E65" s="336">
        <v>0</v>
      </c>
      <c r="F65" s="336">
        <v>0</v>
      </c>
      <c r="G65" s="336">
        <v>0</v>
      </c>
      <c r="H65" s="396">
        <f t="shared" si="53"/>
        <v>3.1730038844263014E-5</v>
      </c>
      <c r="I65" s="173">
        <v>0</v>
      </c>
      <c r="J65" s="173">
        <v>0</v>
      </c>
      <c r="K65" s="173">
        <v>0</v>
      </c>
      <c r="L65" s="173">
        <v>0</v>
      </c>
      <c r="M65" s="173">
        <v>0</v>
      </c>
      <c r="N65" s="178">
        <v>0</v>
      </c>
      <c r="O65" s="116">
        <f t="shared" ref="O65:AG65" si="64">O41/O$49</f>
        <v>2.4261798179888155E-4</v>
      </c>
      <c r="P65" s="116">
        <f t="shared" si="64"/>
        <v>2.7240267657405371E-4</v>
      </c>
      <c r="Q65" s="116">
        <f t="shared" si="64"/>
        <v>3.0140168104120756E-4</v>
      </c>
      <c r="R65" s="116">
        <f t="shared" si="64"/>
        <v>3.3044539971974972E-4</v>
      </c>
      <c r="S65" s="116">
        <f t="shared" si="64"/>
        <v>3.5980637660851901E-4</v>
      </c>
      <c r="T65" s="116">
        <f t="shared" si="64"/>
        <v>3.8965684505186106E-4</v>
      </c>
      <c r="U65" s="116">
        <f t="shared" si="64"/>
        <v>4.1884403251150041E-4</v>
      </c>
      <c r="V65" s="116">
        <f t="shared" si="64"/>
        <v>4.4937404450071686E-4</v>
      </c>
      <c r="W65" s="116">
        <f t="shared" si="64"/>
        <v>4.7912145152555045E-4</v>
      </c>
      <c r="X65" s="178">
        <f t="shared" si="47"/>
        <v>5.0880150836841618E-4</v>
      </c>
      <c r="Y65" s="173">
        <f t="shared" si="64"/>
        <v>5.3879707873679685E-4</v>
      </c>
      <c r="Z65" s="173">
        <f t="shared" si="64"/>
        <v>5.6885924588464544E-4</v>
      </c>
      <c r="AA65" s="173">
        <f t="shared" si="64"/>
        <v>5.9896137780852184E-4</v>
      </c>
      <c r="AB65" s="173">
        <f t="shared" si="64"/>
        <v>6.2922643498530991E-4</v>
      </c>
      <c r="AC65" s="173">
        <f t="shared" si="64"/>
        <v>6.5934889984575068E-4</v>
      </c>
      <c r="AD65" s="173">
        <f t="shared" si="64"/>
        <v>6.8975322054802752E-4</v>
      </c>
      <c r="AE65" s="173">
        <f t="shared" si="64"/>
        <v>7.1993548061284737E-4</v>
      </c>
      <c r="AF65" s="173">
        <f t="shared" si="64"/>
        <v>7.502317894200961E-4</v>
      </c>
      <c r="AG65" s="173">
        <f t="shared" si="64"/>
        <v>7.8034415069152565E-4</v>
      </c>
      <c r="AH65" s="178">
        <f t="shared" si="49"/>
        <v>8.1026397217818895E-4</v>
      </c>
      <c r="AI65" s="127"/>
    </row>
    <row r="66" spans="1:35">
      <c r="A66" s="9" t="s">
        <v>53</v>
      </c>
      <c r="B66" s="37"/>
      <c r="C66" s="336">
        <f>C42/C$49</f>
        <v>8.7781454045032653E-2</v>
      </c>
      <c r="D66" s="336">
        <f t="shared" ref="D66:N66" si="65">C66*($N79)</f>
        <v>9.3377322906883067E-2</v>
      </c>
      <c r="E66" s="336">
        <f t="shared" si="65"/>
        <v>9.9329915733489899E-2</v>
      </c>
      <c r="F66" s="336">
        <f t="shared" si="65"/>
        <v>0.10566197286959193</v>
      </c>
      <c r="G66" s="336">
        <f t="shared" si="65"/>
        <v>0.11239768430539597</v>
      </c>
      <c r="H66" s="396">
        <f t="shared" si="53"/>
        <v>0.17244037878821089</v>
      </c>
      <c r="I66" s="116">
        <f t="shared" si="65"/>
        <v>0.18343306234175069</v>
      </c>
      <c r="J66" s="116">
        <f t="shared" si="65"/>
        <v>0.1951265045723326</v>
      </c>
      <c r="K66" s="116">
        <f t="shared" si="65"/>
        <v>0.20756537725833155</v>
      </c>
      <c r="L66" s="116">
        <f t="shared" si="65"/>
        <v>0.22079719990280799</v>
      </c>
      <c r="M66" s="116">
        <f t="shared" si="65"/>
        <v>0.2348725212695062</v>
      </c>
      <c r="N66" s="178">
        <f t="shared" si="65"/>
        <v>0.24984511249136127</v>
      </c>
      <c r="O66" s="116">
        <f t="shared" ref="O66:W66" si="66">N66*$X79</f>
        <v>0.25444210669458539</v>
      </c>
      <c r="P66" s="116">
        <f t="shared" si="66"/>
        <v>0.25912368272330033</v>
      </c>
      <c r="Q66" s="116">
        <f t="shared" si="66"/>
        <v>0.26389139683032853</v>
      </c>
      <c r="R66" s="116">
        <f t="shared" si="66"/>
        <v>0.26874683390257337</v>
      </c>
      <c r="S66" s="116">
        <f t="shared" si="66"/>
        <v>0.27369160798786868</v>
      </c>
      <c r="T66" s="116">
        <f t="shared" si="66"/>
        <v>0.27872736283152139</v>
      </c>
      <c r="U66" s="116">
        <f t="shared" si="66"/>
        <v>0.28385577242272664</v>
      </c>
      <c r="V66" s="116">
        <f t="shared" si="66"/>
        <v>0.28907854155103652</v>
      </c>
      <c r="W66" s="116">
        <f t="shared" si="66"/>
        <v>0.29439740637306722</v>
      </c>
      <c r="X66" s="178">
        <f t="shared" si="47"/>
        <v>0.29981413498963366</v>
      </c>
      <c r="Y66" s="173">
        <f t="shared" si="55"/>
        <v>0.30079883374887262</v>
      </c>
      <c r="Z66" s="173">
        <f t="shared" si="55"/>
        <v>0.3017867666172922</v>
      </c>
      <c r="AA66" s="173">
        <f t="shared" si="55"/>
        <v>0.30277794421688425</v>
      </c>
      <c r="AB66" s="173">
        <f t="shared" si="55"/>
        <v>0.3037723772045271</v>
      </c>
      <c r="AC66" s="173">
        <f t="shared" si="55"/>
        <v>0.30477007627210012</v>
      </c>
      <c r="AD66" s="173">
        <f t="shared" si="55"/>
        <v>0.30577105214659878</v>
      </c>
      <c r="AE66" s="173">
        <f t="shared" si="55"/>
        <v>0.30677531559024984</v>
      </c>
      <c r="AF66" s="173">
        <f t="shared" si="55"/>
        <v>0.30778287740062715</v>
      </c>
      <c r="AG66" s="173">
        <f t="shared" si="55"/>
        <v>0.30879374841076773</v>
      </c>
      <c r="AH66" s="178">
        <f t="shared" si="49"/>
        <v>0.30980793948928814</v>
      </c>
      <c r="AI66" s="127"/>
    </row>
    <row r="67" spans="1:35" s="1" customFormat="1">
      <c r="A67" s="11" t="s">
        <v>541</v>
      </c>
      <c r="B67" s="36"/>
      <c r="C67" s="340">
        <f t="shared" ref="C67:AG67" si="67">SUM(C58:C66)</f>
        <v>8.7784674845547986E-2</v>
      </c>
      <c r="D67" s="340">
        <f t="shared" si="67"/>
        <v>9.3380590775140951E-2</v>
      </c>
      <c r="E67" s="340">
        <f t="shared" si="67"/>
        <v>9.9333231357323179E-2</v>
      </c>
      <c r="F67" s="340">
        <f t="shared" si="67"/>
        <v>0.10566533694688522</v>
      </c>
      <c r="G67" s="340">
        <f t="shared" si="67"/>
        <v>0.11240109754423255</v>
      </c>
      <c r="H67" s="403">
        <f t="shared" si="67"/>
        <v>0.17258400154401846</v>
      </c>
      <c r="I67" s="85">
        <f t="shared" si="67"/>
        <v>0.18355113129172135</v>
      </c>
      <c r="J67" s="85">
        <f t="shared" si="67"/>
        <v>0.19525111491615435</v>
      </c>
      <c r="K67" s="85">
        <f t="shared" si="67"/>
        <v>0.207696916135057</v>
      </c>
      <c r="L67" s="85">
        <f t="shared" si="67"/>
        <v>0.22093607775833224</v>
      </c>
      <c r="M67" s="85">
        <f t="shared" si="67"/>
        <v>0.23501917326560481</v>
      </c>
      <c r="N67" s="183">
        <f>SUM(N58:N66)</f>
        <v>0.24999999999999989</v>
      </c>
      <c r="O67" s="85">
        <f t="shared" si="67"/>
        <v>0.25484246201855482</v>
      </c>
      <c r="P67" s="85">
        <f t="shared" si="67"/>
        <v>0.25955672501073596</v>
      </c>
      <c r="Q67" s="85">
        <f t="shared" si="67"/>
        <v>0.26435639379085568</v>
      </c>
      <c r="R67" s="85">
        <f t="shared" si="67"/>
        <v>0.2692438846328622</v>
      </c>
      <c r="S67" s="85">
        <f t="shared" si="67"/>
        <v>0.27422108512919152</v>
      </c>
      <c r="T67" s="85">
        <f t="shared" si="67"/>
        <v>0.27928981227750871</v>
      </c>
      <c r="U67" s="85">
        <f t="shared" si="67"/>
        <v>0.28445058833223363</v>
      </c>
      <c r="V67" s="85">
        <f t="shared" si="67"/>
        <v>0.28970712524528885</v>
      </c>
      <c r="W67" s="85">
        <f t="shared" si="67"/>
        <v>0.29505903482009932</v>
      </c>
      <c r="X67" s="183">
        <f t="shared" si="67"/>
        <v>0.30050880150836845</v>
      </c>
      <c r="Y67" s="85">
        <f t="shared" si="67"/>
        <v>0.30152410628632936</v>
      </c>
      <c r="Z67" s="85">
        <f t="shared" si="67"/>
        <v>0.30254271377518505</v>
      </c>
      <c r="AA67" s="85">
        <f t="shared" si="67"/>
        <v>0.30356460797150875</v>
      </c>
      <c r="AB67" s="85">
        <f t="shared" si="67"/>
        <v>0.30458992249926226</v>
      </c>
      <c r="AC67" s="85">
        <f t="shared" si="67"/>
        <v>0.30561836253938396</v>
      </c>
      <c r="AD67" s="85">
        <f t="shared" si="67"/>
        <v>0.30665036327367756</v>
      </c>
      <c r="AE67" s="85">
        <f t="shared" si="67"/>
        <v>0.30768543155456235</v>
      </c>
      <c r="AF67" s="85">
        <f t="shared" si="67"/>
        <v>0.30872391429568591</v>
      </c>
      <c r="AG67" s="85">
        <f t="shared" si="67"/>
        <v>0.30976552434052268</v>
      </c>
      <c r="AH67" s="183">
        <f>SUM(AH58:AH66)</f>
        <v>0.31081026397217826</v>
      </c>
      <c r="AI67" s="196"/>
    </row>
    <row r="68" spans="1:35" s="252" customFormat="1">
      <c r="A68" s="10" t="s">
        <v>549</v>
      </c>
      <c r="B68" s="37"/>
      <c r="C68" s="332"/>
      <c r="D68" s="332">
        <f>D67/C67-1</f>
        <v>6.3745932185072851E-2</v>
      </c>
      <c r="E68" s="332">
        <f t="shared" ref="E68:W68" si="68">E67/D67-1</f>
        <v>6.3746015448928661E-2</v>
      </c>
      <c r="F68" s="332">
        <f t="shared" si="68"/>
        <v>6.3746094867125347E-2</v>
      </c>
      <c r="G68" s="332">
        <f t="shared" si="68"/>
        <v>6.3746170617268616E-2</v>
      </c>
      <c r="H68" s="284"/>
      <c r="I68" s="284">
        <f t="shared" si="68"/>
        <v>6.354661874557177E-2</v>
      </c>
      <c r="J68" s="284">
        <f t="shared" si="68"/>
        <v>6.3742367274424394E-2</v>
      </c>
      <c r="K68" s="284">
        <f t="shared" si="68"/>
        <v>6.3742535986271776E-2</v>
      </c>
      <c r="L68" s="284">
        <f t="shared" si="68"/>
        <v>6.3742697145615423E-2</v>
      </c>
      <c r="M68" s="284">
        <f t="shared" si="68"/>
        <v>6.3742851100476061E-2</v>
      </c>
      <c r="N68" s="283">
        <f t="shared" si="68"/>
        <v>6.3742998182810595E-2</v>
      </c>
      <c r="O68" s="284">
        <f t="shared" si="68"/>
        <v>1.9369848074219709E-2</v>
      </c>
      <c r="P68" s="284">
        <f t="shared" si="68"/>
        <v>1.8498734295848696E-2</v>
      </c>
      <c r="Q68" s="284">
        <f t="shared" si="68"/>
        <v>1.849179126420708E-2</v>
      </c>
      <c r="R68" s="284">
        <f t="shared" si="68"/>
        <v>1.8488264164600476E-2</v>
      </c>
      <c r="S68" s="284">
        <f t="shared" si="68"/>
        <v>1.8485844174756849E-2</v>
      </c>
      <c r="T68" s="284">
        <f t="shared" si="68"/>
        <v>1.8484089747982768E-2</v>
      </c>
      <c r="U68" s="284">
        <f t="shared" si="68"/>
        <v>1.8478210904438797E-2</v>
      </c>
      <c r="V68" s="284">
        <f t="shared" si="68"/>
        <v>1.847961343259974E-2</v>
      </c>
      <c r="W68" s="284">
        <f t="shared" si="68"/>
        <v>1.8473517247044269E-2</v>
      </c>
      <c r="X68" s="284">
        <f>X67/W67-1</f>
        <v>1.8470089186022998E-2</v>
      </c>
      <c r="Y68" s="289">
        <f t="shared" ref="Y68:AG68" si="69">Y67/X67-1</f>
        <v>3.3786191048805758E-3</v>
      </c>
      <c r="Z68" s="289">
        <f t="shared" si="69"/>
        <v>3.3781958643412935E-3</v>
      </c>
      <c r="AA68" s="289">
        <f t="shared" si="69"/>
        <v>3.3776856945992861E-3</v>
      </c>
      <c r="AB68" s="289">
        <f t="shared" si="69"/>
        <v>3.37758256670595E-3</v>
      </c>
      <c r="AC68" s="289">
        <f t="shared" si="69"/>
        <v>3.3764742828095162E-3</v>
      </c>
      <c r="AD68" s="289">
        <f t="shared" si="69"/>
        <v>3.3767628545573469E-3</v>
      </c>
      <c r="AE68" s="289">
        <f t="shared" si="69"/>
        <v>3.3754021023644221E-3</v>
      </c>
      <c r="AF68" s="289">
        <f t="shared" si="69"/>
        <v>3.375144334512914E-3</v>
      </c>
      <c r="AG68" s="289">
        <f t="shared" si="69"/>
        <v>3.3739208289487177E-3</v>
      </c>
      <c r="AH68" s="283">
        <f>AH67/AG67-1</f>
        <v>3.3726788475889613E-3</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546</v>
      </c>
      <c r="B70" s="37"/>
      <c r="C70" s="332"/>
      <c r="D70" s="332"/>
      <c r="E70" s="332"/>
      <c r="F70" s="332"/>
      <c r="G70" s="332"/>
      <c r="H70" s="284"/>
      <c r="I70" s="164"/>
      <c r="J70" s="164"/>
      <c r="K70" s="164"/>
      <c r="L70" s="164"/>
      <c r="M70" s="164"/>
      <c r="N70" s="199" t="s">
        <v>712</v>
      </c>
      <c r="O70" s="164"/>
      <c r="P70" s="164"/>
      <c r="Q70" s="164"/>
      <c r="R70" s="164"/>
      <c r="S70" s="164"/>
      <c r="T70" s="164"/>
      <c r="U70" s="164"/>
      <c r="V70" s="164"/>
      <c r="W70" s="164"/>
      <c r="X70" s="199" t="s">
        <v>547</v>
      </c>
      <c r="Y70" s="20"/>
      <c r="Z70" s="20"/>
      <c r="AA70" s="20"/>
      <c r="AB70" s="20"/>
      <c r="AC70" s="20"/>
      <c r="AD70" s="20"/>
      <c r="AE70" s="20"/>
      <c r="AF70" s="20"/>
      <c r="AG70" s="20"/>
      <c r="AH70" s="279" t="s">
        <v>709</v>
      </c>
      <c r="AI70" s="127"/>
    </row>
    <row r="71" spans="1:35">
      <c r="A71" s="9" t="s">
        <v>121</v>
      </c>
      <c r="B71" s="37"/>
      <c r="C71" s="332"/>
      <c r="D71" s="332"/>
      <c r="E71" s="332"/>
      <c r="F71" s="332"/>
      <c r="G71" s="332"/>
      <c r="H71" s="284"/>
      <c r="I71" s="164"/>
      <c r="J71" s="164"/>
      <c r="K71" s="395"/>
      <c r="L71" s="395"/>
      <c r="M71" s="164"/>
      <c r="N71" s="186">
        <f>(N86/H86)^(1/6)</f>
        <v>1.0605371491335855</v>
      </c>
      <c r="O71" s="164"/>
      <c r="P71" s="164"/>
      <c r="Q71" s="164"/>
      <c r="R71" s="164"/>
      <c r="S71" s="164"/>
      <c r="T71" s="164"/>
      <c r="U71" s="164"/>
      <c r="V71" s="164"/>
      <c r="W71" s="164"/>
      <c r="X71" s="186">
        <f>(X86/N86)^(1/10)</f>
        <v>1.0183993761470242</v>
      </c>
      <c r="Y71" s="20"/>
      <c r="Z71" s="20"/>
      <c r="AA71" s="20"/>
      <c r="AB71" s="20"/>
      <c r="AC71" s="20"/>
      <c r="AD71" s="20"/>
      <c r="AE71" s="20"/>
      <c r="AF71" s="20"/>
      <c r="AG71" s="20"/>
      <c r="AH71" s="186">
        <f>(AH86/X86)^(1/10)</f>
        <v>1.0032843640253086</v>
      </c>
      <c r="AI71" s="127"/>
    </row>
    <row r="72" spans="1:35">
      <c r="A72" s="9" t="s">
        <v>50</v>
      </c>
      <c r="B72" s="37"/>
      <c r="C72" s="332"/>
      <c r="D72" s="332"/>
      <c r="E72" s="332"/>
      <c r="F72" s="332"/>
      <c r="G72" s="332"/>
      <c r="H72" s="284"/>
      <c r="I72" s="164"/>
      <c r="J72" s="164"/>
      <c r="K72" s="395"/>
      <c r="L72" s="395"/>
      <c r="M72" s="164"/>
      <c r="N72" s="186">
        <f>(N87/H87)^(1/6)</f>
        <v>1.0146136782849937</v>
      </c>
      <c r="O72" s="164"/>
      <c r="P72" s="164"/>
      <c r="Q72" s="164"/>
      <c r="R72" s="164"/>
      <c r="S72" s="164"/>
      <c r="T72" s="164"/>
      <c r="U72" s="164"/>
      <c r="V72" s="164"/>
      <c r="W72" s="164"/>
      <c r="X72" s="186">
        <f>(X87/N87)^(1/10)</f>
        <v>1.0183993761470242</v>
      </c>
      <c r="Y72" s="20"/>
      <c r="Z72" s="20"/>
      <c r="AA72" s="20"/>
      <c r="AB72" s="20"/>
      <c r="AC72" s="20"/>
      <c r="AD72" s="20"/>
      <c r="AE72" s="20"/>
      <c r="AF72" s="20"/>
      <c r="AG72" s="20"/>
      <c r="AH72" s="186">
        <f>(AH87/X87)^(1/10)</f>
        <v>1.0032843640253086</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1.0146136782849937</v>
      </c>
      <c r="O74" s="164"/>
      <c r="P74" s="164"/>
      <c r="Q74" s="164"/>
      <c r="R74" s="164"/>
      <c r="S74" s="164"/>
      <c r="T74" s="164"/>
      <c r="U74" s="164"/>
      <c r="V74" s="164"/>
      <c r="W74" s="164"/>
      <c r="X74" s="186">
        <f>(X89/N89)^(1/10)</f>
        <v>1.0183993761470242</v>
      </c>
      <c r="AH74" s="186">
        <f>(AH89/X89)^(1/10)</f>
        <v>1.0032843640253086</v>
      </c>
      <c r="AI74" s="127"/>
    </row>
    <row r="75" spans="1:35">
      <c r="A75" s="9" t="s">
        <v>347</v>
      </c>
      <c r="B75" s="37"/>
      <c r="C75" s="332"/>
      <c r="D75" s="332"/>
      <c r="E75" s="332"/>
      <c r="F75" s="332"/>
      <c r="G75" s="332"/>
      <c r="H75" s="284"/>
      <c r="I75" s="164"/>
      <c r="J75" s="164"/>
      <c r="K75" s="395"/>
      <c r="L75" s="395"/>
      <c r="M75" s="164"/>
      <c r="N75" s="179">
        <f>(N90/H90)^(1/6)</f>
        <v>1.0146136782849937</v>
      </c>
      <c r="O75" s="164"/>
      <c r="P75" s="164"/>
      <c r="Q75" s="164"/>
      <c r="R75" s="164"/>
      <c r="S75" s="164"/>
      <c r="T75" s="164"/>
      <c r="U75" s="164"/>
      <c r="V75" s="164"/>
      <c r="W75" s="164"/>
      <c r="X75" s="186">
        <f>(X90/N90)^(1/10)</f>
        <v>1.0183993761470242</v>
      </c>
      <c r="AH75" s="186">
        <f>(AH90/X90)^(1/10)</f>
        <v>1.0032843640253086</v>
      </c>
      <c r="AI75" s="127"/>
    </row>
    <row r="76" spans="1:35">
      <c r="A76" s="9" t="s">
        <v>348</v>
      </c>
      <c r="B76" s="37"/>
      <c r="C76" s="332"/>
      <c r="D76" s="332"/>
      <c r="E76" s="332"/>
      <c r="F76" s="332"/>
      <c r="G76" s="332"/>
      <c r="H76" s="284"/>
      <c r="I76" s="164"/>
      <c r="J76" s="164"/>
      <c r="K76" s="395"/>
      <c r="L76" s="395"/>
      <c r="M76" s="164"/>
      <c r="N76" s="179">
        <f>(N91/H91)^(1/6)</f>
        <v>1.0146136782849937</v>
      </c>
      <c r="O76" s="164"/>
      <c r="P76" s="164"/>
      <c r="Q76" s="164"/>
      <c r="R76" s="164"/>
      <c r="S76" s="164"/>
      <c r="T76" s="164"/>
      <c r="U76" s="164"/>
      <c r="V76" s="164"/>
      <c r="W76" s="164"/>
      <c r="X76" s="186">
        <f>(X91/N91)^(1/10)</f>
        <v>1.0183993761470242</v>
      </c>
      <c r="AH76" s="186">
        <f>(AH91/X91)^(1/10)</f>
        <v>1.0032843640253086</v>
      </c>
      <c r="AI76" s="127"/>
    </row>
    <row r="77" spans="1:35">
      <c r="A77" s="9" t="s">
        <v>344</v>
      </c>
      <c r="B77" s="37"/>
      <c r="C77" s="332"/>
      <c r="D77" s="332"/>
      <c r="E77" s="332"/>
      <c r="F77" s="332"/>
      <c r="G77" s="332"/>
      <c r="H77" s="284"/>
      <c r="I77" s="164"/>
      <c r="J77" s="164"/>
      <c r="K77" s="395"/>
      <c r="L77" s="395"/>
      <c r="M77" s="164"/>
      <c r="N77" s="179">
        <f>(N92/H92)^(1/6)</f>
        <v>1.0146136782849937</v>
      </c>
      <c r="O77" s="164"/>
      <c r="P77" s="164"/>
      <c r="Q77" s="164"/>
      <c r="R77" s="164"/>
      <c r="S77" s="164"/>
      <c r="T77" s="164"/>
      <c r="U77" s="164"/>
      <c r="V77" s="164"/>
      <c r="W77" s="164"/>
      <c r="X77" s="186">
        <f>(X92/N92)^(1/10)</f>
        <v>1.0183993761470242</v>
      </c>
      <c r="AH77" s="186">
        <f>(AH92/X92)^(1/10)</f>
        <v>1.0032843640253086</v>
      </c>
      <c r="AI77" s="127"/>
    </row>
    <row r="78" spans="1:35">
      <c r="A78" s="9" t="s">
        <v>120</v>
      </c>
      <c r="B78" s="37"/>
      <c r="C78" s="332"/>
      <c r="D78" s="332"/>
      <c r="E78" s="332"/>
      <c r="F78" s="332"/>
      <c r="G78" s="332"/>
      <c r="H78" s="284"/>
      <c r="I78" s="164"/>
      <c r="J78" s="164"/>
      <c r="K78" s="395"/>
      <c r="L78" s="395"/>
      <c r="M78" s="164"/>
      <c r="N78" s="186">
        <f t="shared" ref="N78:N79" si="70">(N93/H93)^(1/6)</f>
        <v>1.3731389829146772</v>
      </c>
      <c r="O78" s="164"/>
      <c r="P78" s="164"/>
      <c r="Q78" s="164"/>
      <c r="R78" s="164"/>
      <c r="S78" s="164"/>
      <c r="T78" s="164"/>
      <c r="U78" s="164"/>
      <c r="V78" s="164"/>
      <c r="W78" s="164"/>
      <c r="X78" s="186">
        <f t="shared" ref="X78:X79" si="71">(X93/N93)^(1/10)</f>
        <v>1.0911364919788111</v>
      </c>
      <c r="AH78" s="186">
        <f t="shared" ref="AH78:AH79" si="72">(AH93/X93)^(1/10)</f>
        <v>1.0476297284872655</v>
      </c>
      <c r="AI78" s="127"/>
    </row>
    <row r="79" spans="1:35">
      <c r="A79" s="9" t="s">
        <v>53</v>
      </c>
      <c r="B79" s="37"/>
      <c r="C79" s="332"/>
      <c r="D79" s="332"/>
      <c r="E79" s="332"/>
      <c r="F79" s="332"/>
      <c r="G79" s="332"/>
      <c r="H79" s="284"/>
      <c r="I79" s="164"/>
      <c r="J79" s="164"/>
      <c r="K79" s="395"/>
      <c r="L79" s="395"/>
      <c r="M79" s="164"/>
      <c r="N79" s="186">
        <f t="shared" si="70"/>
        <v>1.063747734902861</v>
      </c>
      <c r="O79" s="164"/>
      <c r="P79" s="164"/>
      <c r="Q79" s="164"/>
      <c r="R79" s="164"/>
      <c r="S79" s="164"/>
      <c r="T79" s="164"/>
      <c r="U79" s="164"/>
      <c r="V79" s="164"/>
      <c r="W79" s="164"/>
      <c r="X79" s="186">
        <f t="shared" si="71"/>
        <v>1.0183993761470242</v>
      </c>
      <c r="AH79" s="186">
        <f t="shared" si="72"/>
        <v>1.0032843640253086</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548</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4.3187714110034255E-2</v>
      </c>
      <c r="D84" s="336">
        <f t="shared" si="73"/>
        <v>4.4572231429724059E-2</v>
      </c>
      <c r="E84" s="336">
        <f t="shared" si="73"/>
        <v>4.5956748749413863E-2</v>
      </c>
      <c r="F84" s="336">
        <f t="shared" si="73"/>
        <v>4.7341266069103667E-2</v>
      </c>
      <c r="G84" s="336">
        <f t="shared" si="73"/>
        <v>4.8725783388793471E-2</v>
      </c>
      <c r="H84" s="396">
        <f t="shared" si="73"/>
        <v>5.742980435150713E-2</v>
      </c>
      <c r="I84" s="116">
        <f t="shared" si="73"/>
        <v>5.7594404397359619E-2</v>
      </c>
      <c r="J84" s="116">
        <f t="shared" si="73"/>
        <v>5.7759004443212109E-2</v>
      </c>
      <c r="K84" s="116">
        <f t="shared" si="73"/>
        <v>5.7923604489064598E-2</v>
      </c>
      <c r="L84" s="116">
        <f t="shared" si="73"/>
        <v>5.8088204534917087E-2</v>
      </c>
      <c r="M84" s="116">
        <f t="shared" si="73"/>
        <v>5.8252804580769577E-2</v>
      </c>
      <c r="N84" s="178">
        <f t="shared" si="73"/>
        <v>5.841740462662208E-2</v>
      </c>
      <c r="O84" s="116">
        <f t="shared" si="73"/>
        <v>5.8657899957916725E-2</v>
      </c>
      <c r="P84" s="116">
        <f t="shared" si="73"/>
        <v>5.8898395289211369E-2</v>
      </c>
      <c r="Q84" s="116">
        <f t="shared" si="73"/>
        <v>5.9138890620506014E-2</v>
      </c>
      <c r="R84" s="116">
        <f t="shared" si="73"/>
        <v>5.9379385951800659E-2</v>
      </c>
      <c r="S84" s="116">
        <f t="shared" si="73"/>
        <v>5.9619881283095304E-2</v>
      </c>
      <c r="T84" s="116">
        <f t="shared" si="73"/>
        <v>5.9860376614389949E-2</v>
      </c>
      <c r="U84" s="116">
        <f t="shared" si="73"/>
        <v>6.0100871945684593E-2</v>
      </c>
      <c r="V84" s="116">
        <f t="shared" si="73"/>
        <v>6.0341367276979238E-2</v>
      </c>
      <c r="W84" s="116">
        <f t="shared" si="73"/>
        <v>6.0581862608273883E-2</v>
      </c>
      <c r="X84" s="178">
        <f t="shared" si="73"/>
        <v>6.0822357939568514E-2</v>
      </c>
      <c r="Y84" s="173">
        <f t="shared" si="73"/>
        <v>6.0874164560301182E-2</v>
      </c>
      <c r="Z84" s="173">
        <f t="shared" si="73"/>
        <v>6.092597118103385E-2</v>
      </c>
      <c r="AA84" s="173">
        <f t="shared" si="73"/>
        <v>6.0977777801766518E-2</v>
      </c>
      <c r="AB84" s="173">
        <f t="shared" si="73"/>
        <v>6.1029584422499186E-2</v>
      </c>
      <c r="AC84" s="173">
        <f t="shared" si="73"/>
        <v>6.1081391043231854E-2</v>
      </c>
      <c r="AD84" s="173">
        <f t="shared" si="73"/>
        <v>6.1133197663964522E-2</v>
      </c>
      <c r="AE84" s="173">
        <f t="shared" si="73"/>
        <v>6.1185004284697191E-2</v>
      </c>
      <c r="AF84" s="173">
        <f t="shared" si="73"/>
        <v>6.1236810905429859E-2</v>
      </c>
      <c r="AG84" s="173">
        <f t="shared" si="73"/>
        <v>6.1288617526162527E-2</v>
      </c>
      <c r="AH84" s="178">
        <f t="shared" si="73"/>
        <v>6.1340424146895209E-2</v>
      </c>
      <c r="AI84" s="127"/>
    </row>
    <row r="85" spans="1:35">
      <c r="A85" s="9" t="s">
        <v>59</v>
      </c>
      <c r="B85" s="37"/>
      <c r="C85" s="336">
        <f t="shared" ref="C85:AH85" si="74">C32/C$49</f>
        <v>0</v>
      </c>
      <c r="D85" s="336">
        <f t="shared" si="74"/>
        <v>0</v>
      </c>
      <c r="E85" s="336">
        <f t="shared" si="74"/>
        <v>0</v>
      </c>
      <c r="F85" s="336">
        <f t="shared" si="74"/>
        <v>0</v>
      </c>
      <c r="G85" s="336">
        <f t="shared" si="74"/>
        <v>0</v>
      </c>
      <c r="H85" s="396">
        <f t="shared" si="74"/>
        <v>0</v>
      </c>
      <c r="I85" s="116">
        <f t="shared" si="74"/>
        <v>0</v>
      </c>
      <c r="J85" s="116">
        <f t="shared" si="74"/>
        <v>0</v>
      </c>
      <c r="K85" s="116">
        <f t="shared" si="74"/>
        <v>0</v>
      </c>
      <c r="L85" s="116">
        <f t="shared" si="74"/>
        <v>0</v>
      </c>
      <c r="M85" s="116">
        <f t="shared" si="74"/>
        <v>0</v>
      </c>
      <c r="N85" s="178">
        <f t="shared" si="74"/>
        <v>0</v>
      </c>
      <c r="O85" s="116">
        <f t="shared" si="74"/>
        <v>0</v>
      </c>
      <c r="P85" s="116">
        <f t="shared" si="74"/>
        <v>0</v>
      </c>
      <c r="Q85" s="116">
        <f t="shared" si="74"/>
        <v>0</v>
      </c>
      <c r="R85" s="116">
        <f t="shared" si="74"/>
        <v>0</v>
      </c>
      <c r="S85" s="116">
        <f t="shared" si="74"/>
        <v>0</v>
      </c>
      <c r="T85" s="116">
        <f t="shared" si="74"/>
        <v>0</v>
      </c>
      <c r="U85" s="116">
        <f t="shared" si="74"/>
        <v>0</v>
      </c>
      <c r="V85" s="116">
        <f t="shared" si="74"/>
        <v>0</v>
      </c>
      <c r="W85" s="116">
        <f t="shared" si="74"/>
        <v>0</v>
      </c>
      <c r="X85" s="178">
        <f t="shared" si="74"/>
        <v>0</v>
      </c>
      <c r="Y85" s="173">
        <f t="shared" si="74"/>
        <v>0</v>
      </c>
      <c r="Z85" s="173">
        <f t="shared" si="74"/>
        <v>0</v>
      </c>
      <c r="AA85" s="173">
        <f t="shared" si="74"/>
        <v>0</v>
      </c>
      <c r="AB85" s="173">
        <f t="shared" si="74"/>
        <v>0</v>
      </c>
      <c r="AC85" s="173">
        <f t="shared" si="74"/>
        <v>0</v>
      </c>
      <c r="AD85" s="173">
        <f t="shared" si="74"/>
        <v>0</v>
      </c>
      <c r="AE85" s="173">
        <f t="shared" si="74"/>
        <v>0</v>
      </c>
      <c r="AF85" s="173">
        <f t="shared" si="74"/>
        <v>0</v>
      </c>
      <c r="AG85" s="173">
        <f t="shared" si="74"/>
        <v>0</v>
      </c>
      <c r="AH85" s="178">
        <f t="shared" si="74"/>
        <v>0</v>
      </c>
      <c r="AI85" s="127"/>
    </row>
    <row r="86" spans="1:35" s="252" customFormat="1">
      <c r="A86" s="10" t="s">
        <v>121</v>
      </c>
      <c r="B86" s="37"/>
      <c r="C86" s="410">
        <f t="shared" ref="C86:AH86" si="75">C34/C$49</f>
        <v>0</v>
      </c>
      <c r="D86" s="336">
        <f t="shared" si="75"/>
        <v>0</v>
      </c>
      <c r="E86" s="336">
        <f t="shared" si="75"/>
        <v>7.3164128181263339E-5</v>
      </c>
      <c r="F86" s="336">
        <f t="shared" si="75"/>
        <v>8.4603540220409655E-5</v>
      </c>
      <c r="G86" s="336">
        <f t="shared" si="75"/>
        <v>8.7163515431272118E-5</v>
      </c>
      <c r="H86" s="409">
        <f t="shared" si="75"/>
        <v>9.8883397864144728E-5</v>
      </c>
      <c r="I86" s="396">
        <f t="shared" si="75"/>
        <v>1.0486951686748214E-4</v>
      </c>
      <c r="J86" s="396">
        <f t="shared" si="75"/>
        <v>1.1121801844965597E-4</v>
      </c>
      <c r="K86" s="396">
        <f t="shared" si="75"/>
        <v>1.1795084021888466E-4</v>
      </c>
      <c r="L86" s="396">
        <f t="shared" si="75"/>
        <v>1.2509124782364699E-4</v>
      </c>
      <c r="M86" s="396">
        <f t="shared" si="75"/>
        <v>1.3266391534845341E-4</v>
      </c>
      <c r="N86" s="397">
        <f>N34/N$49</f>
        <v>1.4069501057654819E-4</v>
      </c>
      <c r="O86" s="396">
        <f t="shared" si="75"/>
        <v>1.4328371099815558E-4</v>
      </c>
      <c r="P86" s="396">
        <f t="shared" si="75"/>
        <v>1.4592004189255216E-4</v>
      </c>
      <c r="Q86" s="396">
        <f t="shared" si="75"/>
        <v>1.4860487963072277E-4</v>
      </c>
      <c r="R86" s="396">
        <f t="shared" si="75"/>
        <v>1.513391167083317E-4</v>
      </c>
      <c r="S86" s="396">
        <f t="shared" si="75"/>
        <v>1.541236620424067E-4</v>
      </c>
      <c r="T86" s="396">
        <f t="shared" si="75"/>
        <v>1.5695944127348178E-4</v>
      </c>
      <c r="U86" s="396">
        <f t="shared" si="75"/>
        <v>1.5984739707329933E-4</v>
      </c>
      <c r="V86" s="396">
        <f t="shared" si="75"/>
        <v>1.627884894581737E-4</v>
      </c>
      <c r="W86" s="396">
        <f t="shared" si="75"/>
        <v>1.6578369610812052E-4</v>
      </c>
      <c r="X86" s="397">
        <f t="shared" si="75"/>
        <v>1.6883401269185782E-4</v>
      </c>
      <c r="Y86" s="396">
        <f>Y34/Y$49</f>
        <v>1.6938852504939147E-4</v>
      </c>
      <c r="Z86" s="396">
        <f t="shared" si="75"/>
        <v>1.7046379276254697E-4</v>
      </c>
      <c r="AA86" s="396">
        <f t="shared" si="75"/>
        <v>1.7429482603152857E-4</v>
      </c>
      <c r="AB86" s="396">
        <f t="shared" si="75"/>
        <v>1.7831797756866552E-4</v>
      </c>
      <c r="AC86" s="396">
        <f t="shared" si="75"/>
        <v>1.8195709926431447E-4</v>
      </c>
      <c r="AD86" s="396">
        <f t="shared" si="75"/>
        <v>1.8586998955782044E-4</v>
      </c>
      <c r="AE86" s="396">
        <f t="shared" si="75"/>
        <v>1.8922112232646175E-4</v>
      </c>
      <c r="AF86" s="396">
        <f t="shared" si="75"/>
        <v>1.9270879874700982E-4</v>
      </c>
      <c r="AG86" s="396">
        <f t="shared" si="75"/>
        <v>1.9656725092384017E-4</v>
      </c>
      <c r="AH86" s="397">
        <f t="shared" si="75"/>
        <v>1.7446181311491976E-4</v>
      </c>
      <c r="AI86" s="292"/>
    </row>
    <row r="87" spans="1:35">
      <c r="A87" s="9" t="s">
        <v>50</v>
      </c>
      <c r="B87" s="37"/>
      <c r="C87" s="410">
        <f t="shared" ref="C87:AH87" si="76">C35/C$49</f>
        <v>0</v>
      </c>
      <c r="D87" s="336">
        <f t="shared" si="76"/>
        <v>0</v>
      </c>
      <c r="E87" s="336">
        <f t="shared" si="76"/>
        <v>3.1141874468748723E-12</v>
      </c>
      <c r="F87" s="336">
        <f t="shared" si="76"/>
        <v>3.2497301692327831E-12</v>
      </c>
      <c r="G87" s="336">
        <f t="shared" si="76"/>
        <v>3.1720427310081644E-12</v>
      </c>
      <c r="H87" s="409">
        <f t="shared" si="76"/>
        <v>3.1730038844263016E-12</v>
      </c>
      <c r="I87" s="116">
        <f t="shared" si="76"/>
        <v>3.2193731423903431E-12</v>
      </c>
      <c r="J87" s="116">
        <f>J35/J$49</f>
        <v>3.2664200257725848E-12</v>
      </c>
      <c r="K87" s="116">
        <f t="shared" si="76"/>
        <v>3.3141544371728861E-12</v>
      </c>
      <c r="L87" s="116">
        <f t="shared" si="76"/>
        <v>3.3625864239045153E-12</v>
      </c>
      <c r="M87" s="116">
        <f t="shared" si="76"/>
        <v>3.4117261801089432E-12</v>
      </c>
      <c r="N87" s="178">
        <f t="shared" si="76"/>
        <v>3.4615840489015468E-12</v>
      </c>
      <c r="O87" s="116">
        <f t="shared" si="76"/>
        <v>3.5252750358818248E-12</v>
      </c>
      <c r="P87" s="116">
        <f t="shared" si="76"/>
        <v>3.5901378972887288E-12</v>
      </c>
      <c r="Q87" s="116">
        <f t="shared" si="76"/>
        <v>3.6561941948806305E-12</v>
      </c>
      <c r="R87" s="116">
        <f t="shared" si="76"/>
        <v>3.7234658871388053E-12</v>
      </c>
      <c r="S87" s="116">
        <f t="shared" si="76"/>
        <v>3.7919753365668852E-12</v>
      </c>
      <c r="T87" s="116">
        <f t="shared" si="76"/>
        <v>3.8617453171246181E-12</v>
      </c>
      <c r="U87" s="116">
        <f t="shared" si="76"/>
        <v>3.9327990217984037E-12</v>
      </c>
      <c r="V87" s="116">
        <f t="shared" si="76"/>
        <v>4.0051600703111214E-12</v>
      </c>
      <c r="W87" s="116">
        <f t="shared" si="76"/>
        <v>4.0788525169738176E-12</v>
      </c>
      <c r="X87" s="178">
        <f t="shared" si="76"/>
        <v>4.1539008586818563E-12</v>
      </c>
      <c r="Y87" s="173">
        <f t="shared" si="76"/>
        <v>4.1675437812268097E-12</v>
      </c>
      <c r="Z87" s="173">
        <f t="shared" si="76"/>
        <v>4.1812315120957696E-12</v>
      </c>
      <c r="AA87" s="173">
        <f t="shared" si="76"/>
        <v>4.1949641984555837E-12</v>
      </c>
      <c r="AB87" s="173">
        <f t="shared" si="76"/>
        <v>4.208741987956449E-12</v>
      </c>
      <c r="AC87" s="173">
        <f t="shared" si="76"/>
        <v>4.2225650287334993E-12</v>
      </c>
      <c r="AD87" s="173">
        <f t="shared" si="76"/>
        <v>4.2364334694083979E-12</v>
      </c>
      <c r="AE87" s="173">
        <f t="shared" si="76"/>
        <v>4.2503474590909364E-12</v>
      </c>
      <c r="AF87" s="173">
        <f t="shared" si="76"/>
        <v>4.2643071473806365E-12</v>
      </c>
      <c r="AG87" s="173">
        <f t="shared" si="76"/>
        <v>4.2783126843683597E-12</v>
      </c>
      <c r="AH87" s="178">
        <f t="shared" si="76"/>
        <v>4.2923642206379181E-12</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2.9280004684800752E-6</v>
      </c>
      <c r="D89" s="336">
        <f t="shared" si="78"/>
        <v>2.970789325344754E-6</v>
      </c>
      <c r="E89" s="336">
        <f t="shared" si="78"/>
        <v>3.1141874468748721E-6</v>
      </c>
      <c r="F89" s="336">
        <f t="shared" si="78"/>
        <v>3.2497301692327833E-6</v>
      </c>
      <c r="G89" s="336">
        <f t="shared" si="78"/>
        <v>3.1720427310081645E-6</v>
      </c>
      <c r="H89" s="409">
        <f t="shared" si="78"/>
        <v>3.1730038844263012E-6</v>
      </c>
      <c r="I89" s="116">
        <f t="shared" si="78"/>
        <v>3.2193731423903427E-6</v>
      </c>
      <c r="J89" s="116">
        <f t="shared" si="78"/>
        <v>3.2664200257725846E-6</v>
      </c>
      <c r="K89" s="116">
        <f t="shared" si="78"/>
        <v>3.314154437172886E-6</v>
      </c>
      <c r="L89" s="116">
        <f t="shared" si="78"/>
        <v>3.3625864239045149E-6</v>
      </c>
      <c r="M89" s="116">
        <f t="shared" si="78"/>
        <v>3.4117261801089428E-6</v>
      </c>
      <c r="N89" s="178">
        <f t="shared" si="78"/>
        <v>3.4615840489015465E-6</v>
      </c>
      <c r="O89" s="116">
        <f t="shared" si="78"/>
        <v>3.5252750358818245E-6</v>
      </c>
      <c r="P89" s="116">
        <f t="shared" si="78"/>
        <v>3.5901378972887284E-6</v>
      </c>
      <c r="Q89" s="116">
        <f t="shared" si="78"/>
        <v>3.6561941948806302E-6</v>
      </c>
      <c r="R89" s="116">
        <f t="shared" si="78"/>
        <v>3.7234658871388054E-6</v>
      </c>
      <c r="S89" s="116">
        <f t="shared" si="78"/>
        <v>3.7919753365668863E-6</v>
      </c>
      <c r="T89" s="116">
        <f t="shared" si="78"/>
        <v>3.8617453171246186E-6</v>
      </c>
      <c r="U89" s="116">
        <f t="shared" si="78"/>
        <v>3.9327990217984035E-6</v>
      </c>
      <c r="V89" s="116">
        <f t="shared" si="78"/>
        <v>4.0051600703111215E-6</v>
      </c>
      <c r="W89" s="116">
        <f t="shared" si="78"/>
        <v>4.0788525169738178E-6</v>
      </c>
      <c r="X89" s="178">
        <f t="shared" si="78"/>
        <v>4.1539008586818553E-6</v>
      </c>
      <c r="Y89" s="173">
        <f t="shared" si="78"/>
        <v>4.167543781226809E-6</v>
      </c>
      <c r="Z89" s="173">
        <f t="shared" si="78"/>
        <v>4.1812315120957688E-6</v>
      </c>
      <c r="AA89" s="173">
        <f t="shared" si="78"/>
        <v>4.194964198455583E-6</v>
      </c>
      <c r="AB89" s="173">
        <f t="shared" si="78"/>
        <v>4.2087419879564484E-6</v>
      </c>
      <c r="AC89" s="173">
        <f t="shared" si="78"/>
        <v>4.2225650287334981E-6</v>
      </c>
      <c r="AD89" s="173">
        <f t="shared" si="78"/>
        <v>4.2364334694083969E-6</v>
      </c>
      <c r="AE89" s="173">
        <f t="shared" si="78"/>
        <v>4.250347459090935E-6</v>
      </c>
      <c r="AF89" s="173">
        <f t="shared" si="78"/>
        <v>4.2643071473806352E-6</v>
      </c>
      <c r="AG89" s="173">
        <f t="shared" si="78"/>
        <v>4.2783126843683586E-6</v>
      </c>
      <c r="AH89" s="178">
        <f t="shared" si="78"/>
        <v>4.2923642206379174E-6</v>
      </c>
      <c r="AI89" s="127"/>
    </row>
    <row r="90" spans="1:35" s="252" customFormat="1">
      <c r="A90" s="10" t="s">
        <v>347</v>
      </c>
      <c r="B90" s="37"/>
      <c r="C90" s="410">
        <f t="shared" ref="C90:AH90" si="79">C38/C$49</f>
        <v>0</v>
      </c>
      <c r="D90" s="336">
        <f t="shared" si="79"/>
        <v>0</v>
      </c>
      <c r="E90" s="336">
        <f t="shared" si="79"/>
        <v>6.2283748937497443E-6</v>
      </c>
      <c r="F90" s="336">
        <f t="shared" si="79"/>
        <v>6.4994603384655667E-6</v>
      </c>
      <c r="G90" s="336">
        <f t="shared" si="79"/>
        <v>6.3440854620163291E-6</v>
      </c>
      <c r="H90" s="409">
        <f t="shared" si="79"/>
        <v>6.3460077688526023E-6</v>
      </c>
      <c r="I90" s="396">
        <f t="shared" si="79"/>
        <v>6.4387462847806853E-6</v>
      </c>
      <c r="J90" s="396">
        <f t="shared" si="79"/>
        <v>6.5328400515451691E-6</v>
      </c>
      <c r="K90" s="396">
        <f t="shared" si="79"/>
        <v>6.6283088743457719E-6</v>
      </c>
      <c r="L90" s="396">
        <f t="shared" si="79"/>
        <v>6.7251728478090298E-6</v>
      </c>
      <c r="M90" s="396">
        <f t="shared" si="79"/>
        <v>6.8234523602178856E-6</v>
      </c>
      <c r="N90" s="397">
        <f t="shared" si="79"/>
        <v>6.923168097803093E-6</v>
      </c>
      <c r="O90" s="396">
        <f t="shared" si="79"/>
        <v>7.050550071763649E-6</v>
      </c>
      <c r="P90" s="396">
        <f t="shared" si="79"/>
        <v>7.1802757945774568E-6</v>
      </c>
      <c r="Q90" s="396">
        <f t="shared" si="79"/>
        <v>7.3123883897612605E-6</v>
      </c>
      <c r="R90" s="396">
        <f t="shared" si="79"/>
        <v>7.4469317742776109E-6</v>
      </c>
      <c r="S90" s="396">
        <f t="shared" si="79"/>
        <v>7.5839506731337726E-6</v>
      </c>
      <c r="T90" s="396">
        <f t="shared" si="79"/>
        <v>7.7234906342492373E-6</v>
      </c>
      <c r="U90" s="396">
        <f t="shared" si="79"/>
        <v>7.865598043596807E-6</v>
      </c>
      <c r="V90" s="396">
        <f t="shared" si="79"/>
        <v>8.0103201406222431E-6</v>
      </c>
      <c r="W90" s="396">
        <f t="shared" si="79"/>
        <v>8.1577050339476357E-6</v>
      </c>
      <c r="X90" s="397">
        <f t="shared" si="79"/>
        <v>8.3078017173637105E-6</v>
      </c>
      <c r="Y90" s="396">
        <f t="shared" si="79"/>
        <v>8.3350875624536179E-6</v>
      </c>
      <c r="Z90" s="396">
        <f t="shared" si="79"/>
        <v>8.3624630241915375E-6</v>
      </c>
      <c r="AA90" s="396">
        <f t="shared" si="79"/>
        <v>8.3899283969111661E-6</v>
      </c>
      <c r="AB90" s="396">
        <f t="shared" si="79"/>
        <v>8.4174839759128968E-6</v>
      </c>
      <c r="AC90" s="396">
        <f t="shared" si="79"/>
        <v>8.4451300574669963E-6</v>
      </c>
      <c r="AD90" s="396">
        <f t="shared" si="79"/>
        <v>8.4728669388167938E-6</v>
      </c>
      <c r="AE90" s="396">
        <f t="shared" si="79"/>
        <v>8.50069491818187E-6</v>
      </c>
      <c r="AF90" s="396">
        <f t="shared" si="79"/>
        <v>8.5286142947612704E-6</v>
      </c>
      <c r="AG90" s="396">
        <f t="shared" si="79"/>
        <v>8.5566253687367171E-6</v>
      </c>
      <c r="AH90" s="397">
        <f t="shared" si="79"/>
        <v>8.5847284412758349E-6</v>
      </c>
      <c r="AI90" s="292"/>
    </row>
    <row r="91" spans="1:35" s="252" customFormat="1">
      <c r="A91" s="10" t="s">
        <v>348</v>
      </c>
      <c r="B91" s="37"/>
      <c r="C91" s="410">
        <f t="shared" ref="C91:AH91" si="80">C39/C$49</f>
        <v>0</v>
      </c>
      <c r="D91" s="336">
        <f t="shared" si="80"/>
        <v>0</v>
      </c>
      <c r="E91" s="336">
        <f t="shared" si="80"/>
        <v>3.1141874468748721E-6</v>
      </c>
      <c r="F91" s="336">
        <f t="shared" si="80"/>
        <v>3.2497301692327833E-6</v>
      </c>
      <c r="G91" s="336">
        <f t="shared" si="80"/>
        <v>3.1720427310081645E-6</v>
      </c>
      <c r="H91" s="409">
        <f t="shared" si="80"/>
        <v>3.1730038844263012E-6</v>
      </c>
      <c r="I91" s="396">
        <f t="shared" si="80"/>
        <v>3.2193731423903427E-6</v>
      </c>
      <c r="J91" s="396">
        <f t="shared" si="80"/>
        <v>3.2664200257725846E-6</v>
      </c>
      <c r="K91" s="396">
        <f t="shared" si="80"/>
        <v>3.314154437172886E-6</v>
      </c>
      <c r="L91" s="396">
        <f t="shared" si="80"/>
        <v>3.3625864239045149E-6</v>
      </c>
      <c r="M91" s="396">
        <f t="shared" si="80"/>
        <v>3.4117261801089428E-6</v>
      </c>
      <c r="N91" s="397">
        <f t="shared" si="80"/>
        <v>3.4615840489015465E-6</v>
      </c>
      <c r="O91" s="396">
        <f t="shared" si="80"/>
        <v>3.5252750358818245E-6</v>
      </c>
      <c r="P91" s="396">
        <f t="shared" si="80"/>
        <v>3.5901378972887284E-6</v>
      </c>
      <c r="Q91" s="396">
        <f t="shared" si="80"/>
        <v>3.6561941948806302E-6</v>
      </c>
      <c r="R91" s="396">
        <f t="shared" si="80"/>
        <v>3.7234658871388054E-6</v>
      </c>
      <c r="S91" s="396">
        <f t="shared" si="80"/>
        <v>3.7919753365668863E-6</v>
      </c>
      <c r="T91" s="396">
        <f t="shared" si="80"/>
        <v>3.8617453171246186E-6</v>
      </c>
      <c r="U91" s="396">
        <f t="shared" si="80"/>
        <v>3.9327990217984035E-6</v>
      </c>
      <c r="V91" s="396">
        <f t="shared" si="80"/>
        <v>4.0051600703111215E-6</v>
      </c>
      <c r="W91" s="396">
        <f t="shared" si="80"/>
        <v>4.0788525169738178E-6</v>
      </c>
      <c r="X91" s="397">
        <f t="shared" si="80"/>
        <v>4.1539008586818553E-6</v>
      </c>
      <c r="Y91" s="396">
        <f t="shared" si="80"/>
        <v>4.167543781226809E-6</v>
      </c>
      <c r="Z91" s="396">
        <f t="shared" si="80"/>
        <v>4.1812315120957688E-6</v>
      </c>
      <c r="AA91" s="396">
        <f t="shared" si="80"/>
        <v>4.194964198455583E-6</v>
      </c>
      <c r="AB91" s="396">
        <f t="shared" si="80"/>
        <v>4.2087419879564484E-6</v>
      </c>
      <c r="AC91" s="396">
        <f t="shared" si="80"/>
        <v>4.2225650287334981E-6</v>
      </c>
      <c r="AD91" s="396">
        <f t="shared" si="80"/>
        <v>4.2364334694083969E-6</v>
      </c>
      <c r="AE91" s="396">
        <f t="shared" si="80"/>
        <v>4.250347459090935E-6</v>
      </c>
      <c r="AF91" s="396">
        <f t="shared" si="80"/>
        <v>4.2643071473806352E-6</v>
      </c>
      <c r="AG91" s="396">
        <f t="shared" si="80"/>
        <v>4.2783126843683586E-6</v>
      </c>
      <c r="AH91" s="397">
        <f t="shared" si="80"/>
        <v>4.2923642206379174E-6</v>
      </c>
      <c r="AI91" s="292"/>
    </row>
    <row r="92" spans="1:35">
      <c r="A92" s="9" t="s">
        <v>344</v>
      </c>
      <c r="B92" s="37"/>
      <c r="C92" s="410">
        <f t="shared" ref="C92:AH92" si="81">C40/C$49</f>
        <v>2.9280004684800749E-7</v>
      </c>
      <c r="D92" s="336">
        <f t="shared" si="81"/>
        <v>2.9707893253447536E-7</v>
      </c>
      <c r="E92" s="336">
        <f t="shared" si="81"/>
        <v>3.1141874468748721E-7</v>
      </c>
      <c r="F92" s="336">
        <f t="shared" si="81"/>
        <v>3.2497301692327831E-7</v>
      </c>
      <c r="G92" s="336">
        <f t="shared" si="81"/>
        <v>3.1720427310081645E-7</v>
      </c>
      <c r="H92" s="409">
        <f t="shared" si="81"/>
        <v>3.1730038844263014E-7</v>
      </c>
      <c r="I92" s="116">
        <f t="shared" si="81"/>
        <v>3.2193731423903427E-7</v>
      </c>
      <c r="J92" s="116">
        <f t="shared" si="81"/>
        <v>3.2664200257725843E-7</v>
      </c>
      <c r="K92" s="116">
        <f t="shared" si="81"/>
        <v>3.314154437172886E-7</v>
      </c>
      <c r="L92" s="116">
        <f t="shared" si="81"/>
        <v>3.362586423904515E-7</v>
      </c>
      <c r="M92" s="116">
        <f t="shared" si="81"/>
        <v>3.4117261801089432E-7</v>
      </c>
      <c r="N92" s="178">
        <f t="shared" si="81"/>
        <v>3.4615840489015466E-7</v>
      </c>
      <c r="O92" s="116">
        <f t="shared" si="81"/>
        <v>3.5252750358818247E-7</v>
      </c>
      <c r="P92" s="116">
        <f t="shared" si="81"/>
        <v>3.5901378972887287E-7</v>
      </c>
      <c r="Q92" s="116">
        <f t="shared" si="81"/>
        <v>3.6561941948806306E-7</v>
      </c>
      <c r="R92" s="116">
        <f t="shared" si="81"/>
        <v>3.7234658871388057E-7</v>
      </c>
      <c r="S92" s="116">
        <f t="shared" si="81"/>
        <v>3.7919753365668861E-7</v>
      </c>
      <c r="T92" s="116">
        <f t="shared" si="81"/>
        <v>3.8617453171246191E-7</v>
      </c>
      <c r="U92" s="116">
        <f t="shared" si="81"/>
        <v>3.9327990217984045E-7</v>
      </c>
      <c r="V92" s="116">
        <f t="shared" si="81"/>
        <v>4.0051600703111222E-7</v>
      </c>
      <c r="W92" s="116">
        <f t="shared" si="81"/>
        <v>4.0788525169738188E-7</v>
      </c>
      <c r="X92" s="178">
        <f t="shared" si="81"/>
        <v>4.1539008586818559E-7</v>
      </c>
      <c r="Y92" s="173">
        <f t="shared" si="81"/>
        <v>4.1675437812268094E-7</v>
      </c>
      <c r="Z92" s="173">
        <f t="shared" si="81"/>
        <v>4.1812315120957695E-7</v>
      </c>
      <c r="AA92" s="173">
        <f t="shared" si="81"/>
        <v>4.1949641984555837E-7</v>
      </c>
      <c r="AB92" s="173">
        <f t="shared" si="81"/>
        <v>4.2087419879564491E-7</v>
      </c>
      <c r="AC92" s="173">
        <f t="shared" si="81"/>
        <v>4.2225650287334993E-7</v>
      </c>
      <c r="AD92" s="173">
        <f t="shared" si="81"/>
        <v>4.236433469408398E-7</v>
      </c>
      <c r="AE92" s="173">
        <f t="shared" si="81"/>
        <v>4.2503474590909362E-7</v>
      </c>
      <c r="AF92" s="173">
        <f t="shared" si="81"/>
        <v>4.2643071473806362E-7</v>
      </c>
      <c r="AG92" s="173">
        <f t="shared" si="81"/>
        <v>4.2783126843683594E-7</v>
      </c>
      <c r="AH92" s="178">
        <f t="shared" si="81"/>
        <v>4.2923642206379173E-7</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3.1730038844263014E-5</v>
      </c>
      <c r="I93" s="116">
        <f t="shared" si="82"/>
        <v>6.0091868707412589E-5</v>
      </c>
      <c r="J93" s="116">
        <f t="shared" si="82"/>
        <v>9.2626716860094347E-5</v>
      </c>
      <c r="K93" s="116">
        <f t="shared" si="82"/>
        <v>1.2491097497844677E-4</v>
      </c>
      <c r="L93" s="116">
        <f t="shared" si="82"/>
        <v>1.5367649028466868E-4</v>
      </c>
      <c r="M93" s="116">
        <f t="shared" si="82"/>
        <v>1.8315838500535076E-4</v>
      </c>
      <c r="N93" s="178">
        <f t="shared" si="82"/>
        <v>2.1269514877302745E-4</v>
      </c>
      <c r="O93" s="116">
        <f t="shared" si="82"/>
        <v>2.4261798179888155E-4</v>
      </c>
      <c r="P93" s="116">
        <f t="shared" si="82"/>
        <v>2.7240267657405371E-4</v>
      </c>
      <c r="Q93" s="116">
        <f t="shared" si="82"/>
        <v>3.0140168104120756E-4</v>
      </c>
      <c r="R93" s="116">
        <f t="shared" si="82"/>
        <v>3.3044539971974972E-4</v>
      </c>
      <c r="S93" s="116">
        <f t="shared" si="82"/>
        <v>3.5980637660851901E-4</v>
      </c>
      <c r="T93" s="116">
        <f t="shared" si="82"/>
        <v>3.8965684505186106E-4</v>
      </c>
      <c r="U93" s="116">
        <f t="shared" si="82"/>
        <v>4.1884403251150041E-4</v>
      </c>
      <c r="V93" s="116">
        <f t="shared" si="82"/>
        <v>4.4937404450071686E-4</v>
      </c>
      <c r="W93" s="116">
        <f t="shared" si="82"/>
        <v>4.7912145152555045E-4</v>
      </c>
      <c r="X93" s="178">
        <f t="shared" si="82"/>
        <v>5.0880150836841618E-4</v>
      </c>
      <c r="Y93" s="173">
        <f t="shared" si="82"/>
        <v>5.3879707873679685E-4</v>
      </c>
      <c r="Z93" s="173">
        <f t="shared" si="82"/>
        <v>5.6885924588464544E-4</v>
      </c>
      <c r="AA93" s="173">
        <f t="shared" si="82"/>
        <v>5.9896137780852184E-4</v>
      </c>
      <c r="AB93" s="173">
        <f t="shared" si="82"/>
        <v>6.2922643498530991E-4</v>
      </c>
      <c r="AC93" s="173">
        <f t="shared" si="82"/>
        <v>6.5934889984575068E-4</v>
      </c>
      <c r="AD93" s="173">
        <f t="shared" si="82"/>
        <v>6.8975322054802752E-4</v>
      </c>
      <c r="AE93" s="173">
        <f t="shared" si="82"/>
        <v>7.1993548061284737E-4</v>
      </c>
      <c r="AF93" s="173">
        <f t="shared" si="82"/>
        <v>7.502317894200961E-4</v>
      </c>
      <c r="AG93" s="173">
        <f t="shared" si="82"/>
        <v>7.8034415069152565E-4</v>
      </c>
      <c r="AH93" s="178">
        <f t="shared" si="82"/>
        <v>8.1026397217818895E-4</v>
      </c>
      <c r="AI93" s="127"/>
    </row>
    <row r="94" spans="1:35">
      <c r="A94" s="9" t="s">
        <v>53</v>
      </c>
      <c r="B94" s="37"/>
      <c r="C94" s="410">
        <f t="shared" ref="C94:AH94" si="83">C42/C$49</f>
        <v>8.7781454045032653E-2</v>
      </c>
      <c r="D94" s="336">
        <f t="shared" si="83"/>
        <v>0.11803014148632686</v>
      </c>
      <c r="E94" s="336">
        <f t="shared" si="83"/>
        <v>0.13491879286531147</v>
      </c>
      <c r="F94" s="336">
        <f t="shared" si="83"/>
        <v>0.16483382755963802</v>
      </c>
      <c r="G94" s="336">
        <f t="shared" si="83"/>
        <v>0.17042940492670852</v>
      </c>
      <c r="H94" s="409">
        <f t="shared" si="83"/>
        <v>0.17244037878821089</v>
      </c>
      <c r="I94" s="116">
        <f t="shared" si="83"/>
        <v>0.1959850916513014</v>
      </c>
      <c r="J94" s="116">
        <f t="shared" si="83"/>
        <v>0.22272255115994738</v>
      </c>
      <c r="K94" s="116">
        <f t="shared" si="83"/>
        <v>0.22538154882051467</v>
      </c>
      <c r="L94" s="116">
        <f t="shared" si="83"/>
        <v>0.22182953031383629</v>
      </c>
      <c r="M94" s="116">
        <f t="shared" si="83"/>
        <v>0.2348725212695062</v>
      </c>
      <c r="N94" s="178">
        <f t="shared" si="83"/>
        <v>0.24984511249136138</v>
      </c>
      <c r="O94" s="116">
        <f t="shared" si="83"/>
        <v>0.25444210669458539</v>
      </c>
      <c r="P94" s="116">
        <f t="shared" si="83"/>
        <v>0.25912368272330033</v>
      </c>
      <c r="Q94" s="116">
        <f t="shared" si="83"/>
        <v>0.26389139683032853</v>
      </c>
      <c r="R94" s="116">
        <f t="shared" si="83"/>
        <v>0.26874683390257337</v>
      </c>
      <c r="S94" s="116">
        <f t="shared" si="83"/>
        <v>0.27369160798786868</v>
      </c>
      <c r="T94" s="116">
        <f t="shared" si="83"/>
        <v>0.27872736283152139</v>
      </c>
      <c r="U94" s="116">
        <f t="shared" si="83"/>
        <v>0.28385577242272664</v>
      </c>
      <c r="V94" s="116">
        <f t="shared" si="83"/>
        <v>0.28907854155103652</v>
      </c>
      <c r="W94" s="116">
        <f t="shared" si="83"/>
        <v>0.29439740637306722</v>
      </c>
      <c r="X94" s="178">
        <f t="shared" si="83"/>
        <v>0.29981413498963366</v>
      </c>
      <c r="Y94" s="173">
        <f t="shared" si="83"/>
        <v>0.30079883374887262</v>
      </c>
      <c r="Z94" s="173">
        <f t="shared" si="83"/>
        <v>0.3017867666172922</v>
      </c>
      <c r="AA94" s="173">
        <f t="shared" si="83"/>
        <v>0.30277794421688425</v>
      </c>
      <c r="AB94" s="173">
        <f t="shared" si="83"/>
        <v>0.3037723772045271</v>
      </c>
      <c r="AC94" s="173">
        <f t="shared" si="83"/>
        <v>0.30477007627210012</v>
      </c>
      <c r="AD94" s="173">
        <f t="shared" si="83"/>
        <v>0.30577105214659878</v>
      </c>
      <c r="AE94" s="173">
        <f t="shared" si="83"/>
        <v>0.30677531559024984</v>
      </c>
      <c r="AF94" s="173">
        <f t="shared" si="83"/>
        <v>0.30778287740062715</v>
      </c>
      <c r="AG94" s="173">
        <f t="shared" si="83"/>
        <v>0.30879374841076773</v>
      </c>
      <c r="AH94" s="178">
        <f t="shared" si="83"/>
        <v>0.30980793948928814</v>
      </c>
      <c r="AI94" s="127"/>
    </row>
    <row r="95" spans="1:35" s="378" customFormat="1">
      <c r="A95" s="373" t="s">
        <v>541</v>
      </c>
      <c r="B95" s="374"/>
      <c r="C95" s="375">
        <f>SUM(C86:C94)</f>
        <v>8.7784674845547986E-2</v>
      </c>
      <c r="D95" s="375">
        <f>SUM(D86:D94)</f>
        <v>0.11803340935458474</v>
      </c>
      <c r="E95" s="375">
        <f>SUM(E86:E94)</f>
        <v>0.13500472516513912</v>
      </c>
      <c r="F95" s="375">
        <f>SUM(F86:F94)</f>
        <v>0.16493175499680202</v>
      </c>
      <c r="G95" s="375">
        <f t="shared" ref="G95:AH95" si="84">SUM(G86:G94)</f>
        <v>0.17052957382050898</v>
      </c>
      <c r="H95" s="375">
        <f t="shared" si="84"/>
        <v>0.17258400154401846</v>
      </c>
      <c r="I95" s="375">
        <f t="shared" si="84"/>
        <v>0.19616325246997948</v>
      </c>
      <c r="J95" s="375">
        <f t="shared" si="84"/>
        <v>0.22293978822062921</v>
      </c>
      <c r="K95" s="375">
        <f t="shared" si="84"/>
        <v>0.22563799867221856</v>
      </c>
      <c r="L95" s="375">
        <f t="shared" si="84"/>
        <v>0.2221220846596452</v>
      </c>
      <c r="M95" s="375">
        <f t="shared" si="84"/>
        <v>0.23520233165061016</v>
      </c>
      <c r="N95" s="376">
        <f t="shared" si="84"/>
        <v>0.25021269514877303</v>
      </c>
      <c r="O95" s="375">
        <f t="shared" si="84"/>
        <v>0.25484246201855482</v>
      </c>
      <c r="P95" s="375">
        <f t="shared" si="84"/>
        <v>0.25955672501073596</v>
      </c>
      <c r="Q95" s="375">
        <f t="shared" si="84"/>
        <v>0.26435639379085568</v>
      </c>
      <c r="R95" s="375">
        <f t="shared" si="84"/>
        <v>0.2692438846328622</v>
      </c>
      <c r="S95" s="375">
        <f t="shared" si="84"/>
        <v>0.27422108512919152</v>
      </c>
      <c r="T95" s="375">
        <f t="shared" si="84"/>
        <v>0.27928981227750871</v>
      </c>
      <c r="U95" s="375">
        <f t="shared" si="84"/>
        <v>0.28445058833223363</v>
      </c>
      <c r="V95" s="375">
        <f t="shared" si="84"/>
        <v>0.28970712524528885</v>
      </c>
      <c r="W95" s="375">
        <f t="shared" si="84"/>
        <v>0.29505903482009932</v>
      </c>
      <c r="X95" s="376">
        <f t="shared" si="84"/>
        <v>0.30050880150836845</v>
      </c>
      <c r="Y95" s="375">
        <f t="shared" si="84"/>
        <v>0.30152410628632936</v>
      </c>
      <c r="Z95" s="375">
        <f t="shared" si="84"/>
        <v>0.30254323270932021</v>
      </c>
      <c r="AA95" s="375">
        <f t="shared" si="84"/>
        <v>0.30356839977813294</v>
      </c>
      <c r="AB95" s="375">
        <f t="shared" si="84"/>
        <v>0.30459717746344045</v>
      </c>
      <c r="AC95" s="375">
        <f t="shared" si="84"/>
        <v>0.30562869479205057</v>
      </c>
      <c r="AD95" s="375">
        <f t="shared" si="84"/>
        <v>0.30666404473816561</v>
      </c>
      <c r="AE95" s="375">
        <f t="shared" si="84"/>
        <v>0.3077018986220218</v>
      </c>
      <c r="AF95" s="375">
        <f t="shared" si="84"/>
        <v>0.3087433016523628</v>
      </c>
      <c r="AG95" s="375">
        <f t="shared" si="84"/>
        <v>0.30978820089866732</v>
      </c>
      <c r="AH95" s="376">
        <f t="shared" si="84"/>
        <v>0.31081026397217826</v>
      </c>
      <c r="AI95" s="377"/>
    </row>
    <row r="96" spans="1:35">
      <c r="A96" s="10" t="s">
        <v>544</v>
      </c>
      <c r="B96" s="37"/>
      <c r="C96" s="332"/>
      <c r="D96" s="332">
        <f>D95/C95-1</f>
        <v>0.34457876118192199</v>
      </c>
      <c r="E96" s="332">
        <f t="shared" ref="E96:O96" si="85">E95/D95-1</f>
        <v>0.1437840006770521</v>
      </c>
      <c r="F96" s="332">
        <f t="shared" si="85"/>
        <v>0.22167394359757298</v>
      </c>
      <c r="G96" s="332">
        <f t="shared" si="85"/>
        <v>3.3940212567407091E-2</v>
      </c>
      <c r="H96" s="284"/>
      <c r="I96" s="164">
        <f t="shared" si="85"/>
        <v>0.13662477816605167</v>
      </c>
      <c r="J96" s="164">
        <f t="shared" si="85"/>
        <v>0.1365012835660826</v>
      </c>
      <c r="K96" s="164">
        <f t="shared" si="85"/>
        <v>1.2102866308095317E-2</v>
      </c>
      <c r="L96" s="164">
        <f t="shared" si="85"/>
        <v>-1.5582100680129218E-2</v>
      </c>
      <c r="M96" s="164">
        <f t="shared" si="85"/>
        <v>5.88876473539659E-2</v>
      </c>
      <c r="N96" s="164">
        <f t="shared" si="85"/>
        <v>6.3818940028454119E-2</v>
      </c>
      <c r="O96" s="172">
        <f t="shared" si="85"/>
        <v>1.8503325209094479E-2</v>
      </c>
      <c r="P96" s="172">
        <f t="shared" ref="P96:AH96" si="86">P95/O95-1</f>
        <v>1.8498734295848696E-2</v>
      </c>
      <c r="Q96" s="172">
        <f t="shared" si="86"/>
        <v>1.849179126420708E-2</v>
      </c>
      <c r="R96" s="172">
        <f t="shared" si="86"/>
        <v>1.8488264164600476E-2</v>
      </c>
      <c r="S96" s="172">
        <f t="shared" si="86"/>
        <v>1.8485844174756849E-2</v>
      </c>
      <c r="T96" s="172">
        <f t="shared" si="86"/>
        <v>1.8484089747982768E-2</v>
      </c>
      <c r="U96" s="172">
        <f t="shared" si="86"/>
        <v>1.8478210904438797E-2</v>
      </c>
      <c r="V96" s="172">
        <f t="shared" si="86"/>
        <v>1.847961343259974E-2</v>
      </c>
      <c r="W96" s="172">
        <f t="shared" si="86"/>
        <v>1.8473517247044269E-2</v>
      </c>
      <c r="X96" s="185">
        <f t="shared" si="86"/>
        <v>1.8470089186022998E-2</v>
      </c>
      <c r="Y96" s="172">
        <f t="shared" si="86"/>
        <v>3.3786191048805758E-3</v>
      </c>
      <c r="Z96" s="172">
        <f t="shared" si="86"/>
        <v>3.3799169013142283E-3</v>
      </c>
      <c r="AA96" s="172">
        <f t="shared" si="86"/>
        <v>3.3884977681775119E-3</v>
      </c>
      <c r="AB96" s="172">
        <f t="shared" si="86"/>
        <v>3.3889485402940345E-3</v>
      </c>
      <c r="AC96" s="172">
        <f t="shared" si="86"/>
        <v>3.3864966747234604E-3</v>
      </c>
      <c r="AD96" s="172">
        <f t="shared" si="86"/>
        <v>3.3876071316520928E-3</v>
      </c>
      <c r="AE96" s="172">
        <f t="shared" si="86"/>
        <v>3.3843350782851722E-3</v>
      </c>
      <c r="AF96" s="172">
        <f t="shared" si="86"/>
        <v>3.3844543534007343E-3</v>
      </c>
      <c r="AG96" s="172">
        <f t="shared" si="86"/>
        <v>3.3843624807803341E-3</v>
      </c>
      <c r="AH96" s="185">
        <f t="shared" si="86"/>
        <v>3.2992317672075888E-3</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221.24850000000001</v>
      </c>
      <c r="D102" s="331">
        <f>D31*Inputs!$C$48</f>
        <v>232.01852209585704</v>
      </c>
      <c r="E102" s="331">
        <f>E31*Inputs!$C$48</f>
        <v>221.35829746953127</v>
      </c>
      <c r="F102" s="331">
        <f>F31*Inputs!$C$48</f>
        <v>218.51629337096759</v>
      </c>
      <c r="G102" s="331">
        <f>G31*Inputs!$C$48</f>
        <v>230.41516549797728</v>
      </c>
      <c r="H102" s="402">
        <f>H31*Inputs!$C$48</f>
        <v>271.4925971256294</v>
      </c>
      <c r="I102" s="14">
        <f>I31*Inputs!$C$48</f>
        <v>287.53176912064527</v>
      </c>
      <c r="J102" s="14">
        <f>J31*Inputs!$C$48</f>
        <v>280.60534671334318</v>
      </c>
      <c r="K102" s="14">
        <f>K31*Inputs!$C$48</f>
        <v>278.23145803990036</v>
      </c>
      <c r="L102" s="14">
        <f>L31*Inputs!$C$48</f>
        <v>283.4926365150996</v>
      </c>
      <c r="M102" s="14">
        <f>M31*Inputs!$C$48</f>
        <v>286.24146320770956</v>
      </c>
      <c r="N102" s="182">
        <f>N31*Inputs!$C$48</f>
        <v>288.3858668700002</v>
      </c>
      <c r="O102" s="14">
        <f>O31*Inputs!$C$48</f>
        <v>290.12474437220203</v>
      </c>
      <c r="P102" s="14">
        <f>P31*Inputs!$C$48</f>
        <v>291.89446535713273</v>
      </c>
      <c r="Q102" s="14">
        <f>Q31*Inputs!$C$48</f>
        <v>294.31931376199202</v>
      </c>
      <c r="R102" s="14">
        <f>R31*Inputs!$C$48</f>
        <v>296.49674924681773</v>
      </c>
      <c r="S102" s="14">
        <f>S31*Inputs!$C$48</f>
        <v>298.25982330028188</v>
      </c>
      <c r="T102" s="14">
        <f>T31*Inputs!$C$48</f>
        <v>299.56546607701608</v>
      </c>
      <c r="U102" s="14">
        <f>U31*Inputs!$C$48</f>
        <v>301.33372159831879</v>
      </c>
      <c r="V102" s="14">
        <f>V31*Inputs!$C$48</f>
        <v>302.12709887160986</v>
      </c>
      <c r="W102" s="14">
        <f>W31*Inputs!$C$48</f>
        <v>303.46474739735936</v>
      </c>
      <c r="X102" s="187">
        <f>X31*Inputs!$C$48</f>
        <v>304.82813080340969</v>
      </c>
      <c r="Y102" s="158">
        <f>Y31*Inputs!$C$48</f>
        <v>305.05036274167219</v>
      </c>
      <c r="Z102" s="158">
        <f>Z31*Inputs!$C$48</f>
        <v>305.24074122398531</v>
      </c>
      <c r="AA102" s="158">
        <f>AA31*Inputs!$C$48</f>
        <v>305.41757813269282</v>
      </c>
      <c r="AB102" s="158">
        <f>AB31*Inputs!$C$48</f>
        <v>305.52306807542283</v>
      </c>
      <c r="AC102" s="158">
        <f>AC31*Inputs!$C$48</f>
        <v>305.70854139564113</v>
      </c>
      <c r="AD102" s="158">
        <f>AD31*Inputs!$C$48</f>
        <v>305.77534929536728</v>
      </c>
      <c r="AE102" s="158">
        <f>AE31*Inputs!$C$48</f>
        <v>305.95243790097373</v>
      </c>
      <c r="AF102" s="158">
        <f>AF31*Inputs!$C$48</f>
        <v>306.08945679689799</v>
      </c>
      <c r="AG102" s="158">
        <f>AG31*Inputs!$C$48</f>
        <v>306.30793879881594</v>
      </c>
      <c r="AH102" s="187">
        <f>AH31*Inputs!$C$48</f>
        <v>306.6022016591557</v>
      </c>
    </row>
    <row r="103" spans="1:36">
      <c r="A103" s="10" t="s">
        <v>59</v>
      </c>
      <c r="B103" s="35">
        <v>0</v>
      </c>
      <c r="C103" s="331">
        <f>C32*Inputs!$C$53</f>
        <v>0</v>
      </c>
      <c r="D103" s="331">
        <f>D32*Inputs!$C$53</f>
        <v>0</v>
      </c>
      <c r="E103" s="331">
        <f>E32*Inputs!$C$53</f>
        <v>0</v>
      </c>
      <c r="F103" s="331">
        <f>F32*Inputs!$C$53</f>
        <v>0</v>
      </c>
      <c r="G103" s="331">
        <f>G32*Inputs!$C$53</f>
        <v>0</v>
      </c>
      <c r="H103" s="402">
        <f>H32*Inputs!$C$53</f>
        <v>0</v>
      </c>
      <c r="I103" s="14">
        <f>I32*Inputs!$C$53</f>
        <v>0</v>
      </c>
      <c r="J103" s="14">
        <f>J32*Inputs!$C$53</f>
        <v>0</v>
      </c>
      <c r="K103" s="14">
        <f>K32*Inputs!$C$53</f>
        <v>0</v>
      </c>
      <c r="L103" s="14">
        <f>L32*Inputs!$C$53</f>
        <v>0</v>
      </c>
      <c r="M103" s="14">
        <f>M32*Inputs!$C$53</f>
        <v>0</v>
      </c>
      <c r="N103" s="182">
        <f>N32*Inputs!$C$53</f>
        <v>0</v>
      </c>
      <c r="O103" s="14">
        <f>O32*Inputs!$C$53</f>
        <v>0</v>
      </c>
      <c r="P103" s="14">
        <f>P32*Inputs!$C$53</f>
        <v>0</v>
      </c>
      <c r="Q103" s="14">
        <f>Q32*Inputs!$C$53</f>
        <v>0</v>
      </c>
      <c r="R103" s="14">
        <f>R32*Inputs!$C$53</f>
        <v>0</v>
      </c>
      <c r="S103" s="14">
        <f>S32*Inputs!$C$53</f>
        <v>0</v>
      </c>
      <c r="T103" s="14">
        <f>T32*Inputs!$C$53</f>
        <v>0</v>
      </c>
      <c r="U103" s="14">
        <f>U32*Inputs!$C$53</f>
        <v>0</v>
      </c>
      <c r="V103" s="14">
        <f>V32*Inputs!$C$53</f>
        <v>0</v>
      </c>
      <c r="W103" s="14">
        <f>W32*Inputs!$C$53</f>
        <v>0</v>
      </c>
      <c r="X103" s="187">
        <f>X32*Inputs!$C$53</f>
        <v>0</v>
      </c>
      <c r="Y103" s="158">
        <f>Y32*Inputs!$C$53</f>
        <v>0</v>
      </c>
      <c r="Z103" s="158">
        <f>Z32*Inputs!$C$53</f>
        <v>0</v>
      </c>
      <c r="AA103" s="158">
        <f>AA32*Inputs!$C$53</f>
        <v>0</v>
      </c>
      <c r="AB103" s="158">
        <f>AB32*Inputs!$C$53</f>
        <v>0</v>
      </c>
      <c r="AC103" s="158">
        <f>AC32*Inputs!$C$53</f>
        <v>0</v>
      </c>
      <c r="AD103" s="158">
        <f>AD32*Inputs!$C$53</f>
        <v>0</v>
      </c>
      <c r="AE103" s="158">
        <f>AE32*Inputs!$C$53</f>
        <v>0</v>
      </c>
      <c r="AF103" s="158">
        <f>AF32*Inputs!$C$53</f>
        <v>0</v>
      </c>
      <c r="AG103" s="158">
        <f>AG32*Inputs!$C$53</f>
        <v>0</v>
      </c>
      <c r="AH103" s="187">
        <f>AH32*Inputs!$C$53</f>
        <v>0</v>
      </c>
    </row>
    <row r="104" spans="1:36">
      <c r="A104" s="10" t="s">
        <v>121</v>
      </c>
      <c r="B104" s="35">
        <v>1</v>
      </c>
      <c r="C104" s="331">
        <f>C34*Inputs!$C$46</f>
        <v>0</v>
      </c>
      <c r="D104" s="331">
        <f>D34*Inputs!$C$46</f>
        <v>0</v>
      </c>
      <c r="E104" s="331">
        <f>E34*Inputs!$C$46</f>
        <v>0.49337001000000003</v>
      </c>
      <c r="F104" s="331">
        <f>F34*Inputs!$C$46</f>
        <v>0.54671441999999992</v>
      </c>
      <c r="G104" s="331">
        <f>G34*Inputs!$C$46</f>
        <v>0.57705207000000003</v>
      </c>
      <c r="H104" s="402">
        <f>H34*Inputs!$C$46</f>
        <v>0.65444337000000008</v>
      </c>
      <c r="I104" s="14">
        <f>I34*Inputs!$C$46</f>
        <v>0.73296434329241178</v>
      </c>
      <c r="J104" s="14">
        <f>J34*Inputs!$C$46</f>
        <v>0.75644861437888045</v>
      </c>
      <c r="K104" s="14">
        <f>K34*Inputs!$C$46</f>
        <v>0.793194559573</v>
      </c>
      <c r="L104" s="14">
        <f>L34*Inputs!$C$46</f>
        <v>0.85469033013134121</v>
      </c>
      <c r="M104" s="14">
        <f>M34*Inputs!$C$46</f>
        <v>0.91263380234635727</v>
      </c>
      <c r="N104" s="182">
        <f>N34*Inputs!$C$46</f>
        <v>0.97238543869296534</v>
      </c>
      <c r="O104" s="14">
        <f>O34*Inputs!$C$46</f>
        <v>0.99216320526663893</v>
      </c>
      <c r="P104" s="14">
        <f>P34*Inputs!$C$46</f>
        <v>1.0124308712581587</v>
      </c>
      <c r="Q104" s="14">
        <f>Q34*Inputs!$C$46</f>
        <v>1.0353965052432856</v>
      </c>
      <c r="R104" s="14">
        <f>R34*Inputs!$C$46</f>
        <v>1.0579459114659664</v>
      </c>
      <c r="S104" s="14">
        <f>S34*Inputs!$C$46</f>
        <v>1.0794462066175319</v>
      </c>
      <c r="T104" s="14">
        <f>T34*Inputs!$C$46</f>
        <v>1.0996836835230612</v>
      </c>
      <c r="U104" s="14">
        <f>U34*Inputs!$C$46</f>
        <v>1.1220199189124089</v>
      </c>
      <c r="V104" s="14">
        <f>V34*Inputs!$C$46</f>
        <v>1.1411067195992206</v>
      </c>
      <c r="W104" s="14">
        <f>W34*Inputs!$C$46</f>
        <v>1.1626138156612669</v>
      </c>
      <c r="X104" s="187">
        <f>X34*Inputs!$C$46</f>
        <v>1.1846219309426627</v>
      </c>
      <c r="Y104" s="158">
        <f>Y34*Inputs!$C$46</f>
        <v>1.1883669194863649</v>
      </c>
      <c r="Z104" s="158">
        <f>Z34*Inputs!$C$46</f>
        <v>1.1956394100000001</v>
      </c>
      <c r="AA104" s="158">
        <f>AA34*Inputs!$C$46</f>
        <v>1.22217942</v>
      </c>
      <c r="AB104" s="158">
        <f>AB34*Inputs!$C$46</f>
        <v>1.2497604</v>
      </c>
      <c r="AC104" s="158">
        <f>AC34*Inputs!$C$46</f>
        <v>1.2749574600000002</v>
      </c>
      <c r="AD104" s="158">
        <f>AD34*Inputs!$C$46</f>
        <v>1.3015554300000001</v>
      </c>
      <c r="AE104" s="158">
        <f>AE34*Inputs!$C$46</f>
        <v>1.3246665599999998</v>
      </c>
      <c r="AF104" s="158">
        <f>AF34*Inputs!$C$46</f>
        <v>1.3485448200000001</v>
      </c>
      <c r="AG104" s="158">
        <f>AG34*Inputs!$C$46</f>
        <v>1.3753639199999999</v>
      </c>
      <c r="AH104" s="187">
        <f>AH34*Inputs!$C$46</f>
        <v>1.2208348320145423</v>
      </c>
    </row>
    <row r="105" spans="1:36">
      <c r="A105" s="10" t="s">
        <v>50</v>
      </c>
      <c r="B105" s="35">
        <v>1</v>
      </c>
      <c r="C105" s="331">
        <f>C35*Inputs!$C$49</f>
        <v>0</v>
      </c>
      <c r="D105" s="331">
        <f>D35*Inputs!$C$49</f>
        <v>0</v>
      </c>
      <c r="E105" s="331">
        <f>E35*Inputs!$C$49</f>
        <v>2.5000000000000002E-8</v>
      </c>
      <c r="F105" s="331">
        <f>F35*Inputs!$C$49</f>
        <v>2.5000000000000002E-8</v>
      </c>
      <c r="G105" s="331">
        <f>G35*Inputs!$C$49</f>
        <v>2.5000000000000002E-8</v>
      </c>
      <c r="H105" s="402">
        <f>H35*Inputs!$C$49</f>
        <v>2.5000000000000002E-8</v>
      </c>
      <c r="I105" s="14">
        <f>I35*Inputs!$C$49</f>
        <v>2.6787094590663143E-8</v>
      </c>
      <c r="J105" s="14">
        <f>J35*Inputs!$C$49</f>
        <v>2.6448254913641158E-8</v>
      </c>
      <c r="K105" s="14">
        <f>K35*Inputs!$C$49</f>
        <v>2.6532131686144787E-8</v>
      </c>
      <c r="L105" s="14">
        <f>L35*Inputs!$C$49</f>
        <v>2.7351177932907111E-8</v>
      </c>
      <c r="M105" s="14">
        <f>M35*Inputs!$C$49</f>
        <v>2.7940786167195734E-8</v>
      </c>
      <c r="N105" s="182">
        <f>N35*Inputs!$C$49</f>
        <v>2.8481007303284165E-8</v>
      </c>
      <c r="O105" s="14">
        <f>O35*Inputs!$C$49</f>
        <v>2.906029478725205E-8</v>
      </c>
      <c r="P105" s="14">
        <f>P35*Inputs!$C$49</f>
        <v>2.9653931343452335E-8</v>
      </c>
      <c r="Q105" s="14">
        <f>Q35*Inputs!$C$49</f>
        <v>3.0326590932158375E-8</v>
      </c>
      <c r="R105" s="14">
        <f>R35*Inputs!$C$49</f>
        <v>3.0987059279130067E-8</v>
      </c>
      <c r="S105" s="14">
        <f>S35*Inputs!$C$49</f>
        <v>3.1616799337822829E-8</v>
      </c>
      <c r="T105" s="14">
        <f>T35*Inputs!$C$49</f>
        <v>3.2209551660730063E-8</v>
      </c>
      <c r="U105" s="14">
        <f>U35*Inputs!$C$49</f>
        <v>3.2863776269550809E-8</v>
      </c>
      <c r="V105" s="14">
        <f>V35*Inputs!$C$49</f>
        <v>3.342282547794713E-8</v>
      </c>
      <c r="W105" s="14">
        <f>W35*Inputs!$C$49</f>
        <v>3.4052764734173475E-8</v>
      </c>
      <c r="X105" s="187">
        <f>X35*Inputs!$C$49</f>
        <v>3.4697378759763451E-8</v>
      </c>
      <c r="Y105" s="158">
        <f>Y35*Inputs!$C$49</f>
        <v>3.4807068849536158E-8</v>
      </c>
      <c r="Z105" s="158">
        <f>Z35*Inputs!$C$49</f>
        <v>3.4913469063105176E-8</v>
      </c>
      <c r="AA105" s="158">
        <f>AA35*Inputs!$C$49</f>
        <v>3.5018653571655213E-8</v>
      </c>
      <c r="AB105" s="158">
        <f>AB35*Inputs!$C$49</f>
        <v>3.5115968128845727E-8</v>
      </c>
      <c r="AC105" s="158">
        <f>AC35*Inputs!$C$49</f>
        <v>3.5222789730091816E-8</v>
      </c>
      <c r="AD105" s="158">
        <f>AD35*Inputs!$C$49</f>
        <v>3.5316243148156695E-8</v>
      </c>
      <c r="AE105" s="158">
        <f>AE35*Inputs!$C$49</f>
        <v>3.5422736399707497E-8</v>
      </c>
      <c r="AF105" s="158">
        <f>AF35*Inputs!$C$49</f>
        <v>3.5524913829271372E-8</v>
      </c>
      <c r="AG105" s="158">
        <f>AG35*Inputs!$C$49</f>
        <v>3.5636882039482865E-8</v>
      </c>
      <c r="AH105" s="187">
        <f>AH35*Inputs!$C$49</f>
        <v>3.5758048591767151E-8</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1.4999999999999999E-2</v>
      </c>
      <c r="D107" s="331">
        <f>D37*Inputs!$C$52</f>
        <v>1.5464295293615846E-2</v>
      </c>
      <c r="E107" s="331">
        <f>E37*Inputs!$C$52</f>
        <v>1.4999999999999999E-2</v>
      </c>
      <c r="F107" s="331">
        <f>F37*Inputs!$C$52</f>
        <v>1.4999999999999999E-2</v>
      </c>
      <c r="G107" s="331">
        <f>G37*Inputs!$C$52</f>
        <v>1.4999999999999999E-2</v>
      </c>
      <c r="H107" s="402">
        <f>H37*Inputs!$C$52</f>
        <v>1.4999999999999999E-2</v>
      </c>
      <c r="I107" s="14">
        <f>I37*Inputs!$C$52</f>
        <v>1.6072256754397881E-2</v>
      </c>
      <c r="J107" s="14">
        <f>J37*Inputs!$C$52</f>
        <v>1.5868952948184693E-2</v>
      </c>
      <c r="K107" s="14">
        <f>K37*Inputs!$C$52</f>
        <v>1.5919279011686868E-2</v>
      </c>
      <c r="L107" s="14">
        <f>L37*Inputs!$C$52</f>
        <v>1.6410706759744265E-2</v>
      </c>
      <c r="M107" s="14">
        <f>M37*Inputs!$C$52</f>
        <v>1.6764471700317436E-2</v>
      </c>
      <c r="N107" s="182">
        <f>N37*Inputs!$C$52</f>
        <v>1.7088604381970497E-2</v>
      </c>
      <c r="O107" s="14">
        <f>O37*Inputs!$C$52</f>
        <v>1.7436176872351227E-2</v>
      </c>
      <c r="P107" s="14">
        <f>P37*Inputs!$C$52</f>
        <v>1.7792358806071398E-2</v>
      </c>
      <c r="Q107" s="14">
        <f>Q37*Inputs!$C$52</f>
        <v>1.8195954559295024E-2</v>
      </c>
      <c r="R107" s="14">
        <f>R37*Inputs!$C$52</f>
        <v>1.8592235567478039E-2</v>
      </c>
      <c r="S107" s="14">
        <f>S37*Inputs!$C$52</f>
        <v>1.8970079602693705E-2</v>
      </c>
      <c r="T107" s="14">
        <f>T37*Inputs!$C$52</f>
        <v>1.9325730996438042E-2</v>
      </c>
      <c r="U107" s="14">
        <f>U37*Inputs!$C$52</f>
        <v>1.9718265761730479E-2</v>
      </c>
      <c r="V107" s="14">
        <f>V37*Inputs!$C$52</f>
        <v>2.0053695286768276E-2</v>
      </c>
      <c r="W107" s="14">
        <f>W37*Inputs!$C$52</f>
        <v>2.0431658840504085E-2</v>
      </c>
      <c r="X107" s="187">
        <f>X37*Inputs!$C$52</f>
        <v>2.0818427255858068E-2</v>
      </c>
      <c r="Y107" s="158">
        <f>Y37*Inputs!$C$52</f>
        <v>2.0884241309721691E-2</v>
      </c>
      <c r="Z107" s="158">
        <f>Z37*Inputs!$C$52</f>
        <v>2.09480814378631E-2</v>
      </c>
      <c r="AA107" s="158">
        <f>AA37*Inputs!$C$52</f>
        <v>2.1011192142993122E-2</v>
      </c>
      <c r="AB107" s="158">
        <f>AB37*Inputs!$C$52</f>
        <v>2.1069580877307429E-2</v>
      </c>
      <c r="AC107" s="158">
        <f>AC37*Inputs!$C$52</f>
        <v>2.1133673838055086E-2</v>
      </c>
      <c r="AD107" s="158">
        <f>AD37*Inputs!$C$52</f>
        <v>2.118974588889401E-2</v>
      </c>
      <c r="AE107" s="158">
        <f>AE37*Inputs!$C$52</f>
        <v>2.1253641839824491E-2</v>
      </c>
      <c r="AF107" s="158">
        <f>AF37*Inputs!$C$52</f>
        <v>2.1314948297562815E-2</v>
      </c>
      <c r="AG107" s="158">
        <f>AG37*Inputs!$C$52</f>
        <v>2.1382129223689712E-2</v>
      </c>
      <c r="AH107" s="187">
        <f>AH37*Inputs!$C$52</f>
        <v>2.1454829155060289E-2</v>
      </c>
    </row>
    <row r="108" spans="1:36">
      <c r="A108" s="9" t="s">
        <v>347</v>
      </c>
      <c r="B108" s="35">
        <v>1</v>
      </c>
      <c r="C108" s="331">
        <f>C38*Inputs!$C$54</f>
        <v>0</v>
      </c>
      <c r="D108" s="331">
        <f>D38*Inputs!$C$54</f>
        <v>0</v>
      </c>
      <c r="E108" s="331">
        <f>E38*Inputs!$C$54</f>
        <v>0.15800000000000003</v>
      </c>
      <c r="F108" s="331">
        <f>F38*Inputs!$C$54</f>
        <v>0.15800000000000003</v>
      </c>
      <c r="G108" s="331">
        <f>G38*Inputs!$C$54</f>
        <v>0.15800000000000003</v>
      </c>
      <c r="H108" s="402">
        <f>H38*Inputs!$C$54</f>
        <v>0.15800000000000003</v>
      </c>
      <c r="I108" s="14">
        <f>I38*Inputs!$C$54</f>
        <v>0.16929443781299103</v>
      </c>
      <c r="J108" s="14">
        <f>J38*Inputs!$C$54</f>
        <v>0.16715297105421209</v>
      </c>
      <c r="K108" s="14">
        <f>K38*Inputs!$C$54</f>
        <v>0.16768307225643503</v>
      </c>
      <c r="L108" s="14">
        <f>L38*Inputs!$C$54</f>
        <v>0.17285944453597293</v>
      </c>
      <c r="M108" s="14">
        <f>M38*Inputs!$C$54</f>
        <v>0.17658576857667702</v>
      </c>
      <c r="N108" s="182">
        <f>N38*Inputs!$C$54</f>
        <v>0.1799999661567559</v>
      </c>
      <c r="O108" s="14">
        <f>O38*Inputs!$C$54</f>
        <v>0.18366106305543292</v>
      </c>
      <c r="P108" s="14">
        <f>P38*Inputs!$C$54</f>
        <v>0.18741284609061873</v>
      </c>
      <c r="Q108" s="14">
        <f>Q38*Inputs!$C$54</f>
        <v>0.19166405469124095</v>
      </c>
      <c r="R108" s="14">
        <f>R38*Inputs!$C$54</f>
        <v>0.19583821464410203</v>
      </c>
      <c r="S108" s="14">
        <f>S38*Inputs!$C$54</f>
        <v>0.19981817181504036</v>
      </c>
      <c r="T108" s="14">
        <f>T38*Inputs!$C$54</f>
        <v>0.20356436649581405</v>
      </c>
      <c r="U108" s="14">
        <f>U38*Inputs!$C$54</f>
        <v>0.20769906602356109</v>
      </c>
      <c r="V108" s="14">
        <f>V38*Inputs!$C$54</f>
        <v>0.21123225702062587</v>
      </c>
      <c r="W108" s="14">
        <f>W38*Inputs!$C$54</f>
        <v>0.21521347311997638</v>
      </c>
      <c r="X108" s="187">
        <f>X38*Inputs!$C$54</f>
        <v>0.21928743376170501</v>
      </c>
      <c r="Y108" s="158">
        <f>Y38*Inputs!$C$54</f>
        <v>0.21998067512906849</v>
      </c>
      <c r="Z108" s="158">
        <f>Z38*Inputs!$C$54</f>
        <v>0.22065312447882468</v>
      </c>
      <c r="AA108" s="158">
        <f>AA38*Inputs!$C$54</f>
        <v>0.22131789057286091</v>
      </c>
      <c r="AB108" s="158">
        <f>AB38*Inputs!$C$54</f>
        <v>0.22193291857430494</v>
      </c>
      <c r="AC108" s="158">
        <f>AC38*Inputs!$C$54</f>
        <v>0.22260803109418026</v>
      </c>
      <c r="AD108" s="158">
        <f>AD38*Inputs!$C$54</f>
        <v>0.22319865669635025</v>
      </c>
      <c r="AE108" s="158">
        <f>AE38*Inputs!$C$54</f>
        <v>0.22387169404615131</v>
      </c>
      <c r="AF108" s="158">
        <f>AF38*Inputs!$C$54</f>
        <v>0.22451745540099499</v>
      </c>
      <c r="AG108" s="158">
        <f>AG38*Inputs!$C$54</f>
        <v>0.22522509448953165</v>
      </c>
      <c r="AH108" s="187">
        <f>AH38*Inputs!$C$54</f>
        <v>0.22599086709996841</v>
      </c>
    </row>
    <row r="109" spans="1:36">
      <c r="A109" s="9" t="s">
        <v>348</v>
      </c>
      <c r="B109" s="35">
        <v>1</v>
      </c>
      <c r="C109" s="331">
        <f>C39*Inputs!$C$54</f>
        <v>0</v>
      </c>
      <c r="D109" s="331">
        <f>D39*Inputs!$C$55</f>
        <v>0</v>
      </c>
      <c r="E109" s="331">
        <f>E39*Inputs!$C$55</f>
        <v>2.3000000000000003E-2</v>
      </c>
      <c r="F109" s="331">
        <f>F39*Inputs!$C$55</f>
        <v>2.3000000000000003E-2</v>
      </c>
      <c r="G109" s="331">
        <f>G39*Inputs!$C$55</f>
        <v>2.3000000000000003E-2</v>
      </c>
      <c r="H109" s="402">
        <f>H39*Inputs!$C$55</f>
        <v>2.3000000000000003E-2</v>
      </c>
      <c r="I109" s="14">
        <f>I39*Inputs!$C$55</f>
        <v>2.4644127023410088E-2</v>
      </c>
      <c r="J109" s="14">
        <f>J39*Inputs!$C$55</f>
        <v>2.433239452054986E-2</v>
      </c>
      <c r="K109" s="14">
        <f>K39*Inputs!$C$55</f>
        <v>2.4409561151253201E-2</v>
      </c>
      <c r="L109" s="14">
        <f>L39*Inputs!$C$55</f>
        <v>2.5163083698274538E-2</v>
      </c>
      <c r="M109" s="14">
        <f>M39*Inputs!$C$55</f>
        <v>2.5705523273820072E-2</v>
      </c>
      <c r="N109" s="182">
        <f>N39*Inputs!$C$55</f>
        <v>2.6202526719021429E-2</v>
      </c>
      <c r="O109" s="14">
        <f>O39*Inputs!$C$55</f>
        <v>2.6735471204271884E-2</v>
      </c>
      <c r="P109" s="14">
        <f>P39*Inputs!$C$55</f>
        <v>2.7281616835976144E-2</v>
      </c>
      <c r="Q109" s="14">
        <f>Q39*Inputs!$C$55</f>
        <v>2.7900463657585705E-2</v>
      </c>
      <c r="R109" s="14">
        <f>R39*Inputs!$C$55</f>
        <v>2.8508094536799661E-2</v>
      </c>
      <c r="S109" s="14">
        <f>S39*Inputs!$C$55</f>
        <v>2.9087455390797014E-2</v>
      </c>
      <c r="T109" s="14">
        <f>T39*Inputs!$C$55</f>
        <v>2.9632787527871667E-2</v>
      </c>
      <c r="U109" s="14">
        <f>U39*Inputs!$C$55</f>
        <v>3.0234674167986739E-2</v>
      </c>
      <c r="V109" s="14">
        <f>V39*Inputs!$C$55</f>
        <v>3.074899943971136E-2</v>
      </c>
      <c r="W109" s="14">
        <f>W39*Inputs!$C$55</f>
        <v>3.1328543555439604E-2</v>
      </c>
      <c r="X109" s="187">
        <f>X39*Inputs!$C$55</f>
        <v>3.1921588458982374E-2</v>
      </c>
      <c r="Y109" s="158">
        <f>Y39*Inputs!$C$55</f>
        <v>3.2022503341573264E-2</v>
      </c>
      <c r="Z109" s="158">
        <f>Z39*Inputs!$C$55</f>
        <v>3.2120391538056757E-2</v>
      </c>
      <c r="AA109" s="158">
        <f>AA39*Inputs!$C$55</f>
        <v>3.2217161285922793E-2</v>
      </c>
      <c r="AB109" s="158">
        <f>AB39*Inputs!$C$55</f>
        <v>3.2306690678538058E-2</v>
      </c>
      <c r="AC109" s="158">
        <f>AC39*Inputs!$C$55</f>
        <v>3.2404966551684469E-2</v>
      </c>
      <c r="AD109" s="158">
        <f>AD39*Inputs!$C$55</f>
        <v>3.2490943696304155E-2</v>
      </c>
      <c r="AE109" s="158">
        <f>AE39*Inputs!$C$55</f>
        <v>3.2588917487730885E-2</v>
      </c>
      <c r="AF109" s="158">
        <f>AF39*Inputs!$C$55</f>
        <v>3.2682920722929651E-2</v>
      </c>
      <c r="AG109" s="158">
        <f>AG39*Inputs!$C$55</f>
        <v>3.2785931476324227E-2</v>
      </c>
      <c r="AH109" s="187">
        <f>AH39*Inputs!$C$55</f>
        <v>3.289740470442578E-2</v>
      </c>
    </row>
    <row r="110" spans="1:36">
      <c r="A110" s="9" t="s">
        <v>344</v>
      </c>
      <c r="B110" s="35">
        <v>1</v>
      </c>
      <c r="C110" s="331">
        <f>C40*Inputs!$C$51</f>
        <v>2.7000000000000001E-3</v>
      </c>
      <c r="D110" s="331">
        <f>D40*Inputs!$C$51</f>
        <v>2.7835731528508519E-3</v>
      </c>
      <c r="E110" s="331">
        <f>E40*Inputs!$C$51</f>
        <v>2.7000000000000001E-3</v>
      </c>
      <c r="F110" s="331">
        <f>F40*Inputs!$C$51</f>
        <v>2.7000000000000001E-3</v>
      </c>
      <c r="G110" s="331">
        <f>G40*Inputs!$C$51</f>
        <v>2.7000000000000001E-3</v>
      </c>
      <c r="H110" s="402">
        <f>H40*Inputs!$C$51</f>
        <v>2.7000000000000001E-3</v>
      </c>
      <c r="I110" s="14">
        <f>I40*Inputs!$C$51</f>
        <v>2.893006215791619E-3</v>
      </c>
      <c r="J110" s="14">
        <f>J40*Inputs!$C$51</f>
        <v>2.8564115306732446E-3</v>
      </c>
      <c r="K110" s="14">
        <f>K40*Inputs!$C$51</f>
        <v>2.8654702221036369E-3</v>
      </c>
      <c r="L110" s="14">
        <f>L40*Inputs!$C$51</f>
        <v>2.9539272167539679E-3</v>
      </c>
      <c r="M110" s="14">
        <f>M40*Inputs!$C$51</f>
        <v>3.0176049060571392E-3</v>
      </c>
      <c r="N110" s="182">
        <f>N40*Inputs!$C$51</f>
        <v>3.0759487887546898E-3</v>
      </c>
      <c r="O110" s="14">
        <f>O40*Inputs!$C$51</f>
        <v>3.1385118370232216E-3</v>
      </c>
      <c r="P110" s="14">
        <f>P40*Inputs!$C$51</f>
        <v>3.2026245850928525E-3</v>
      </c>
      <c r="Q110" s="14">
        <f>Q40*Inputs!$C$51</f>
        <v>3.2752718206731052E-3</v>
      </c>
      <c r="R110" s="14">
        <f>R40*Inputs!$C$51</f>
        <v>3.346602402146048E-3</v>
      </c>
      <c r="S110" s="14">
        <f>S40*Inputs!$C$51</f>
        <v>3.4146143284848668E-3</v>
      </c>
      <c r="T110" s="14">
        <f>T40*Inputs!$C$51</f>
        <v>3.4786315793588485E-3</v>
      </c>
      <c r="U110" s="14">
        <f>U40*Inputs!$C$51</f>
        <v>3.5492878371114881E-3</v>
      </c>
      <c r="V110" s="14">
        <f>V40*Inputs!$C$51</f>
        <v>3.6096651516182906E-3</v>
      </c>
      <c r="W110" s="14">
        <f>W40*Inputs!$C$51</f>
        <v>3.6776985912907365E-3</v>
      </c>
      <c r="X110" s="187">
        <f>X40*Inputs!$C$51</f>
        <v>3.7473169060544529E-3</v>
      </c>
      <c r="Y110" s="158">
        <f>Y40*Inputs!$C$51</f>
        <v>3.7591634357499052E-3</v>
      </c>
      <c r="Z110" s="158">
        <f>Z40*Inputs!$C$51</f>
        <v>3.7706546588153591E-3</v>
      </c>
      <c r="AA110" s="158">
        <f>AA40*Inputs!$C$51</f>
        <v>3.7820145857387628E-3</v>
      </c>
      <c r="AB110" s="158">
        <f>AB40*Inputs!$C$51</f>
        <v>3.7925245579153383E-3</v>
      </c>
      <c r="AC110" s="158">
        <f>AC40*Inputs!$C$51</f>
        <v>3.8040612908499171E-3</v>
      </c>
      <c r="AD110" s="158">
        <f>AD40*Inputs!$C$51</f>
        <v>3.8141542600009233E-3</v>
      </c>
      <c r="AE110" s="158">
        <f>AE40*Inputs!$C$51</f>
        <v>3.8256555311684095E-3</v>
      </c>
      <c r="AF110" s="158">
        <f>AF40*Inputs!$C$51</f>
        <v>3.8366906935613085E-3</v>
      </c>
      <c r="AG110" s="158">
        <f>AG40*Inputs!$C$51</f>
        <v>3.8487832602641489E-3</v>
      </c>
      <c r="AH110" s="187">
        <f>AH40*Inputs!$C$51</f>
        <v>3.861869247910852E-3</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509.66</v>
      </c>
      <c r="D112" s="331">
        <f>D42*Inputs!$C$57</f>
        <v>696.32</v>
      </c>
      <c r="E112" s="331">
        <f>E42*Inputs!$C$57</f>
        <v>736.50655840000013</v>
      </c>
      <c r="F112" s="331">
        <f>F42*Inputs!$C$57</f>
        <v>862.27930400000014</v>
      </c>
      <c r="G112" s="331">
        <f>G42*Inputs!$C$57</f>
        <v>913.38614560000019</v>
      </c>
      <c r="H112" s="402">
        <f>H42*Inputs!$C$57</f>
        <v>923.88365920000012</v>
      </c>
      <c r="I112" s="14">
        <f>I42*Inputs!$C$57</f>
        <v>1108.8843232000002</v>
      </c>
      <c r="J112" s="14">
        <f>J42*Inputs!$C$57</f>
        <v>1226.3038672000002</v>
      </c>
      <c r="K112" s="14">
        <f>K42*Inputs!$C$57</f>
        <v>1226.9494591999999</v>
      </c>
      <c r="L112" s="14">
        <f>L42*Inputs!$C$57</f>
        <v>1226.9612640000003</v>
      </c>
      <c r="M112" s="14">
        <f>M42*Inputs!$C$57</f>
        <v>1307.9934707215155</v>
      </c>
      <c r="N112" s="182">
        <f>N42*Inputs!$C$57</f>
        <v>1397.848919356376</v>
      </c>
      <c r="O112" s="14">
        <f>O42*Inputs!$C$57</f>
        <v>1426.280371054638</v>
      </c>
      <c r="P112" s="14">
        <f>P42*Inputs!$C$57</f>
        <v>1455.4160757626423</v>
      </c>
      <c r="Q112" s="14">
        <f>Q42*Inputs!$C$57</f>
        <v>1488.4302339051119</v>
      </c>
      <c r="R112" s="14">
        <f>R42*Inputs!$C$57</f>
        <v>1520.8460454405774</v>
      </c>
      <c r="S112" s="14">
        <f>S42*Inputs!$C$57</f>
        <v>1551.7537114211134</v>
      </c>
      <c r="T112" s="14">
        <f>T42*Inputs!$C$57</f>
        <v>1580.8460179255364</v>
      </c>
      <c r="U112" s="14">
        <f>U42*Inputs!$C$57</f>
        <v>1612.9553865555906</v>
      </c>
      <c r="V112" s="14">
        <f>V42*Inputs!$C$57</f>
        <v>1640.3935429207177</v>
      </c>
      <c r="W112" s="14">
        <f>W42*Inputs!$C$57</f>
        <v>1671.3109855237615</v>
      </c>
      <c r="X112" s="187">
        <f>X42*Inputs!$C$57</f>
        <v>1702.9486663641092</v>
      </c>
      <c r="Y112" s="158">
        <f>Y42*Inputs!$C$57</f>
        <v>1708.3322601331115</v>
      </c>
      <c r="Z112" s="158">
        <f>Z42*Inputs!$C$57</f>
        <v>1713.5543866531798</v>
      </c>
      <c r="AA112" s="158">
        <f>AA42*Inputs!$C$57</f>
        <v>1718.7168463247781</v>
      </c>
      <c r="AB112" s="158">
        <f>AB42*Inputs!$C$57</f>
        <v>1723.4930484849706</v>
      </c>
      <c r="AC112" s="158">
        <f>AC42*Inputs!$C$57</f>
        <v>1728.7358567282222</v>
      </c>
      <c r="AD112" s="158">
        <f>AD42*Inputs!$C$57</f>
        <v>1733.3225540335902</v>
      </c>
      <c r="AE112" s="158">
        <f>AE42*Inputs!$C$57</f>
        <v>1738.5492468613356</v>
      </c>
      <c r="AF112" s="158">
        <f>AF42*Inputs!$C$57</f>
        <v>1743.5641189821686</v>
      </c>
      <c r="AG112" s="158">
        <f>AG42*Inputs!$C$57</f>
        <v>1749.059522988766</v>
      </c>
      <c r="AH112" s="187">
        <f>AH42*Inputs!$C$57</f>
        <v>1755.0063819733923</v>
      </c>
      <c r="AI112" s="31" t="s">
        <v>0</v>
      </c>
    </row>
    <row r="113" spans="1:35" s="20" customFormat="1">
      <c r="A113" s="10" t="s">
        <v>384</v>
      </c>
      <c r="B113" s="37"/>
      <c r="C113" s="334">
        <f>SUM(C100:C112)</f>
        <v>730.92619999999999</v>
      </c>
      <c r="D113" s="334">
        <f t="shared" ref="D113:AH113" si="87">SUM(D100:D112)</f>
        <v>928.35676996430357</v>
      </c>
      <c r="E113" s="334">
        <f t="shared" si="87"/>
        <v>958.55692590453134</v>
      </c>
      <c r="F113" s="334">
        <f t="shared" si="87"/>
        <v>1081.5410118159677</v>
      </c>
      <c r="G113" s="334">
        <f t="shared" si="87"/>
        <v>1144.5770631929774</v>
      </c>
      <c r="H113" s="404">
        <f t="shared" si="87"/>
        <v>1196.2293997206295</v>
      </c>
      <c r="I113" s="19">
        <f t="shared" si="87"/>
        <v>1397.3619605185315</v>
      </c>
      <c r="J113" s="19">
        <f t="shared" si="87"/>
        <v>1507.8758732842243</v>
      </c>
      <c r="K113" s="19">
        <f t="shared" si="87"/>
        <v>1506.1849892086468</v>
      </c>
      <c r="L113" s="19">
        <f t="shared" si="87"/>
        <v>1511.5259780347931</v>
      </c>
      <c r="M113" s="19">
        <f t="shared" si="87"/>
        <v>1595.3696411279691</v>
      </c>
      <c r="N113" s="182">
        <f t="shared" si="87"/>
        <v>1687.4335387395968</v>
      </c>
      <c r="O113" s="19">
        <f t="shared" si="87"/>
        <v>1717.628249884136</v>
      </c>
      <c r="P113" s="19">
        <f t="shared" si="87"/>
        <v>1748.5586614670049</v>
      </c>
      <c r="Q113" s="19">
        <f t="shared" si="87"/>
        <v>1784.0259799474024</v>
      </c>
      <c r="R113" s="19">
        <f t="shared" si="87"/>
        <v>1818.6470257769988</v>
      </c>
      <c r="S113" s="19">
        <f t="shared" si="87"/>
        <v>1851.3442712807666</v>
      </c>
      <c r="T113" s="19">
        <f t="shared" si="87"/>
        <v>1881.7671692348845</v>
      </c>
      <c r="U113" s="19">
        <f t="shared" si="87"/>
        <v>1915.672329399476</v>
      </c>
      <c r="V113" s="19">
        <f t="shared" si="87"/>
        <v>1943.9273931622483</v>
      </c>
      <c r="W113" s="19">
        <f t="shared" si="87"/>
        <v>1976.2089981449421</v>
      </c>
      <c r="X113" s="182">
        <f t="shared" si="87"/>
        <v>2009.2371938995416</v>
      </c>
      <c r="Y113" s="206">
        <f t="shared" si="87"/>
        <v>2014.8476364122932</v>
      </c>
      <c r="Z113" s="206">
        <f t="shared" si="87"/>
        <v>2020.2682595741921</v>
      </c>
      <c r="AA113" s="206">
        <f t="shared" si="87"/>
        <v>2025.634932171077</v>
      </c>
      <c r="AB113" s="206">
        <f t="shared" si="87"/>
        <v>2030.5449787101975</v>
      </c>
      <c r="AC113" s="206">
        <f t="shared" si="87"/>
        <v>2035.9993063518609</v>
      </c>
      <c r="AD113" s="206">
        <f t="shared" si="87"/>
        <v>2040.6801522948153</v>
      </c>
      <c r="AE113" s="206">
        <f t="shared" si="87"/>
        <v>2046.1078912666369</v>
      </c>
      <c r="AF113" s="206">
        <f t="shared" si="87"/>
        <v>2051.2844726497065</v>
      </c>
      <c r="AG113" s="206">
        <f t="shared" si="87"/>
        <v>2057.0260676816688</v>
      </c>
      <c r="AH113" s="182">
        <f t="shared" si="87"/>
        <v>2063.1136234705282</v>
      </c>
      <c r="AI113" s="31" t="s">
        <v>0</v>
      </c>
    </row>
    <row r="114" spans="1:35" s="20" customFormat="1">
      <c r="A114" s="10" t="s">
        <v>385</v>
      </c>
      <c r="B114" s="37"/>
      <c r="C114" s="334">
        <f>SUM(C101:C103)</f>
        <v>221.24850000000001</v>
      </c>
      <c r="D114" s="334">
        <f t="shared" ref="D114:AH114" si="88">SUM(D101:D103)</f>
        <v>232.01852209585704</v>
      </c>
      <c r="E114" s="334">
        <f t="shared" si="88"/>
        <v>221.35829746953127</v>
      </c>
      <c r="F114" s="334">
        <f t="shared" si="88"/>
        <v>218.51629337096759</v>
      </c>
      <c r="G114" s="334">
        <f t="shared" si="88"/>
        <v>230.41516549797728</v>
      </c>
      <c r="H114" s="404">
        <f t="shared" si="88"/>
        <v>271.4925971256294</v>
      </c>
      <c r="I114" s="19">
        <f t="shared" si="88"/>
        <v>287.53176912064527</v>
      </c>
      <c r="J114" s="19">
        <f t="shared" si="88"/>
        <v>280.60534671334318</v>
      </c>
      <c r="K114" s="19">
        <f t="shared" si="88"/>
        <v>278.23145803990036</v>
      </c>
      <c r="L114" s="19">
        <f t="shared" si="88"/>
        <v>283.4926365150996</v>
      </c>
      <c r="M114" s="19">
        <f t="shared" si="88"/>
        <v>286.24146320770956</v>
      </c>
      <c r="N114" s="182">
        <f t="shared" si="88"/>
        <v>288.3858668700002</v>
      </c>
      <c r="O114" s="19">
        <f t="shared" si="88"/>
        <v>290.12474437220203</v>
      </c>
      <c r="P114" s="19">
        <f t="shared" si="88"/>
        <v>291.89446535713273</v>
      </c>
      <c r="Q114" s="19">
        <f t="shared" si="88"/>
        <v>294.31931376199202</v>
      </c>
      <c r="R114" s="19">
        <f t="shared" si="88"/>
        <v>296.49674924681773</v>
      </c>
      <c r="S114" s="19">
        <f t="shared" si="88"/>
        <v>298.25982330028188</v>
      </c>
      <c r="T114" s="19">
        <f t="shared" si="88"/>
        <v>299.56546607701608</v>
      </c>
      <c r="U114" s="19">
        <f t="shared" si="88"/>
        <v>301.33372159831879</v>
      </c>
      <c r="V114" s="19">
        <f t="shared" si="88"/>
        <v>302.12709887160986</v>
      </c>
      <c r="W114" s="19">
        <f t="shared" si="88"/>
        <v>303.46474739735936</v>
      </c>
      <c r="X114" s="182">
        <f t="shared" si="88"/>
        <v>304.82813080340969</v>
      </c>
      <c r="Y114" s="206">
        <f t="shared" si="88"/>
        <v>305.05036274167219</v>
      </c>
      <c r="Z114" s="206">
        <f t="shared" si="88"/>
        <v>305.24074122398531</v>
      </c>
      <c r="AA114" s="206">
        <f t="shared" si="88"/>
        <v>305.41757813269282</v>
      </c>
      <c r="AB114" s="206">
        <f t="shared" si="88"/>
        <v>305.52306807542283</v>
      </c>
      <c r="AC114" s="206">
        <f t="shared" si="88"/>
        <v>305.70854139564113</v>
      </c>
      <c r="AD114" s="206">
        <f t="shared" si="88"/>
        <v>305.77534929536728</v>
      </c>
      <c r="AE114" s="206">
        <f t="shared" si="88"/>
        <v>305.95243790097373</v>
      </c>
      <c r="AF114" s="206">
        <f t="shared" si="88"/>
        <v>306.08945679689799</v>
      </c>
      <c r="AG114" s="206">
        <f t="shared" si="88"/>
        <v>306.30793879881594</v>
      </c>
      <c r="AH114" s="182">
        <f t="shared" si="88"/>
        <v>306.6022016591557</v>
      </c>
      <c r="AI114" s="31"/>
    </row>
    <row r="115" spans="1:35" s="20" customFormat="1">
      <c r="A115" s="10" t="s">
        <v>386</v>
      </c>
      <c r="B115" s="37"/>
      <c r="C115" s="334">
        <f>SUMPRODUCT($B104:$B112,C104:C112)</f>
        <v>509.67770000000002</v>
      </c>
      <c r="D115" s="334">
        <f t="shared" ref="D115:AH115" si="89">SUMPRODUCT($B104:$B112,D104:D112)</f>
        <v>696.3382478684465</v>
      </c>
      <c r="E115" s="334">
        <f t="shared" si="89"/>
        <v>737.19862843500016</v>
      </c>
      <c r="F115" s="334">
        <f t="shared" si="89"/>
        <v>863.02471844500019</v>
      </c>
      <c r="G115" s="334">
        <f t="shared" si="89"/>
        <v>914.16189769500022</v>
      </c>
      <c r="H115" s="404">
        <f t="shared" si="89"/>
        <v>924.73680259500009</v>
      </c>
      <c r="I115" s="19">
        <f t="shared" si="89"/>
        <v>1109.8301913978862</v>
      </c>
      <c r="J115" s="19">
        <f t="shared" si="89"/>
        <v>1227.270526570881</v>
      </c>
      <c r="K115" s="19">
        <f t="shared" si="89"/>
        <v>1227.9535311687464</v>
      </c>
      <c r="L115" s="19">
        <f t="shared" si="89"/>
        <v>1228.0333415196935</v>
      </c>
      <c r="M115" s="19">
        <f t="shared" si="89"/>
        <v>1309.1281779202595</v>
      </c>
      <c r="N115" s="182">
        <f t="shared" si="89"/>
        <v>1399.0476718695963</v>
      </c>
      <c r="O115" s="19">
        <f t="shared" si="89"/>
        <v>1427.503505511934</v>
      </c>
      <c r="P115" s="19">
        <f t="shared" si="89"/>
        <v>1456.6641961098721</v>
      </c>
      <c r="Q115" s="19">
        <f t="shared" si="89"/>
        <v>1489.7066661854105</v>
      </c>
      <c r="R115" s="19">
        <f t="shared" si="89"/>
        <v>1522.1502765301809</v>
      </c>
      <c r="S115" s="19">
        <f t="shared" si="89"/>
        <v>1553.0844479804848</v>
      </c>
      <c r="T115" s="19">
        <f t="shared" si="89"/>
        <v>1582.2017031578685</v>
      </c>
      <c r="U115" s="19">
        <f t="shared" si="89"/>
        <v>1614.3386078011572</v>
      </c>
      <c r="V115" s="19">
        <f t="shared" si="89"/>
        <v>1641.8002942906385</v>
      </c>
      <c r="W115" s="19">
        <f t="shared" si="89"/>
        <v>1672.7442507475828</v>
      </c>
      <c r="X115" s="182">
        <f t="shared" si="89"/>
        <v>1704.4090630961318</v>
      </c>
      <c r="Y115" s="206">
        <f t="shared" si="89"/>
        <v>1709.7972736706211</v>
      </c>
      <c r="Z115" s="206">
        <f t="shared" si="89"/>
        <v>1715.0275183502067</v>
      </c>
      <c r="AA115" s="206">
        <f t="shared" si="89"/>
        <v>1720.2173540383842</v>
      </c>
      <c r="AB115" s="206">
        <f t="shared" si="89"/>
        <v>1725.0219106347747</v>
      </c>
      <c r="AC115" s="206">
        <f t="shared" si="89"/>
        <v>1730.2907649562198</v>
      </c>
      <c r="AD115" s="206">
        <f t="shared" si="89"/>
        <v>1734.9048029994481</v>
      </c>
      <c r="AE115" s="206">
        <f t="shared" si="89"/>
        <v>1740.1554533656633</v>
      </c>
      <c r="AF115" s="206">
        <f t="shared" si="89"/>
        <v>1745.1950158528086</v>
      </c>
      <c r="AG115" s="206">
        <f t="shared" si="89"/>
        <v>1750.7181288828529</v>
      </c>
      <c r="AH115" s="182">
        <f t="shared" si="89"/>
        <v>1756.5114218113722</v>
      </c>
    </row>
    <row r="116" spans="1:35" s="20" customFormat="1">
      <c r="A116" s="10" t="s">
        <v>142</v>
      </c>
      <c r="B116" s="37"/>
      <c r="C116" s="334">
        <f>C47*Inputs!$C$60</f>
        <v>2281.8872999999999</v>
      </c>
      <c r="D116" s="334">
        <f>D47*Inputs!$C$60</f>
        <v>3186.5692696430824</v>
      </c>
      <c r="E116" s="334">
        <f>E47*Inputs!$C$60</f>
        <v>2888.3813349669795</v>
      </c>
      <c r="F116" s="334">
        <f>F47*Inputs!$C$60</f>
        <v>2662.4195251289279</v>
      </c>
      <c r="G116" s="334">
        <f>G47*Inputs!$C$60</f>
        <v>2703.3831648208329</v>
      </c>
      <c r="H116" s="404">
        <f>H47*Inputs!$C$60</f>
        <v>2665.0636304368618</v>
      </c>
      <c r="I116" s="19">
        <f>I47*Inputs!$C$60</f>
        <v>2727.7335630680618</v>
      </c>
      <c r="J116" s="19">
        <f>J47*Inputs!$C$60</f>
        <v>2557.5457316879051</v>
      </c>
      <c r="K116" s="19">
        <f>K47*Inputs!$C$60</f>
        <v>2518.3739083668115</v>
      </c>
      <c r="L116" s="19">
        <f>L47*Inputs!$C$60</f>
        <v>2570.4344772402824</v>
      </c>
      <c r="M116" s="19">
        <f>M47*Inputs!$C$60</f>
        <v>2540.1889143075537</v>
      </c>
      <c r="N116" s="182">
        <f>N47*Inputs!$C$60</f>
        <v>2496.7409185389497</v>
      </c>
      <c r="O116" s="19">
        <f>O47*Inputs!$C$60</f>
        <v>2483.732807256597</v>
      </c>
      <c r="P116" s="19">
        <f>P47*Inputs!$C$60</f>
        <v>2470.6615986394286</v>
      </c>
      <c r="Q116" s="19">
        <f>Q47*Inputs!$C$60</f>
        <v>2462.5275266150547</v>
      </c>
      <c r="R116" s="19">
        <f>R47*Inputs!$C$60</f>
        <v>2451.8843782004865</v>
      </c>
      <c r="S116" s="19">
        <f>S47*Inputs!$C$60</f>
        <v>2437.3681944989585</v>
      </c>
      <c r="T116" s="19">
        <f>T47*Inputs!$C$60</f>
        <v>2418.5770433990774</v>
      </c>
      <c r="U116" s="19">
        <f>U47*Inputs!$C$60</f>
        <v>2403.1416650910596</v>
      </c>
      <c r="V116" s="19">
        <f>V47*Inputs!$C$60</f>
        <v>2379.6408756527967</v>
      </c>
      <c r="W116" s="19">
        <f>W47*Inputs!$C$60</f>
        <v>2360.0406669507224</v>
      </c>
      <c r="X116" s="182">
        <f>X47*Inputs!$C$60</f>
        <v>2340.2834489268894</v>
      </c>
      <c r="Y116" s="206">
        <f>Y47*Inputs!$C$60</f>
        <v>2336.0394934415767</v>
      </c>
      <c r="Z116" s="206">
        <f>Z47*Inputs!$C$60</f>
        <v>2331.5366617811583</v>
      </c>
      <c r="AA116" s="206">
        <f>AA47*Inputs!$C$60</f>
        <v>2326.9217513355234</v>
      </c>
      <c r="AB116" s="206">
        <f>AB47*Inputs!$C$60</f>
        <v>2321.8566846319609</v>
      </c>
      <c r="AC116" s="206">
        <f>AC47*Inputs!$C$60</f>
        <v>2317.2544012409649</v>
      </c>
      <c r="AD116" s="206">
        <f>AD47*Inputs!$C$60</f>
        <v>2311.8299027218682</v>
      </c>
      <c r="AE116" s="206">
        <f>AE47*Inputs!$C$60</f>
        <v>2307.203899757495</v>
      </c>
      <c r="AF116" s="206">
        <f>AF47*Inputs!$C$60</f>
        <v>2302.2316749257529</v>
      </c>
      <c r="AG116" s="206">
        <f>AG47*Inputs!$C$60</f>
        <v>2297.7199960812568</v>
      </c>
      <c r="AH116" s="182">
        <f>AH47*Inputs!$C$60</f>
        <v>2293.9386223748597</v>
      </c>
      <c r="AI116" s="31"/>
    </row>
    <row r="117" spans="1:35" s="20" customFormat="1">
      <c r="A117" s="10" t="s">
        <v>222</v>
      </c>
      <c r="B117" s="37"/>
      <c r="C117" s="334">
        <f>C48*Inputs!$C$61</f>
        <v>977.95169999999996</v>
      </c>
      <c r="D117" s="334">
        <f>D48*Inputs!$C$61</f>
        <v>1.7913396217511035</v>
      </c>
      <c r="E117" s="334">
        <f>E48*Inputs!$C$61</f>
        <v>0.69082786195827794</v>
      </c>
      <c r="F117" s="334">
        <f>F48*Inputs!$C$61</f>
        <v>1.3068943899268561</v>
      </c>
      <c r="G117" s="334">
        <f>G48*Inputs!$C$61</f>
        <v>0.40254530043355774</v>
      </c>
      <c r="H117" s="404">
        <f>H48*Inputs!$C$61</f>
        <v>0.6115796379339008</v>
      </c>
      <c r="I117" s="19">
        <f>I48*Inputs!$C$61</f>
        <v>0.57796122424791974</v>
      </c>
      <c r="J117" s="19">
        <f>J48*Inputs!$C$61</f>
        <v>1.5040598361123556</v>
      </c>
      <c r="K117" s="19">
        <f>K48*Inputs!$C$61</f>
        <v>1.7266776260117696</v>
      </c>
      <c r="L117" s="19">
        <f>L48*Inputs!$C$61</f>
        <v>2.0433164619234958</v>
      </c>
      <c r="M117" s="19">
        <f>M48*Inputs!$C$61</f>
        <v>2.1597457104418938</v>
      </c>
      <c r="N117" s="182">
        <f>N48*Inputs!$C$61</f>
        <v>2.486501783284548</v>
      </c>
      <c r="O117" s="19">
        <f>O48*Inputs!$C$61</f>
        <v>2.5808286017020872</v>
      </c>
      <c r="P117" s="19">
        <f>P48*Inputs!$C$61</f>
        <v>2.6024567641696921</v>
      </c>
      <c r="Q117" s="19">
        <f>Q48*Inputs!$C$61</f>
        <v>2.7501026086316416</v>
      </c>
      <c r="R117" s="19">
        <f>R48*Inputs!$C$61</f>
        <v>2.7970509085489175</v>
      </c>
      <c r="S117" s="19">
        <f>S48*Inputs!$C$61</f>
        <v>2.8061473446184393</v>
      </c>
      <c r="T117" s="19">
        <f>T48*Inputs!$C$61</f>
        <v>2.9486420325921792</v>
      </c>
      <c r="U117" s="19">
        <f>U48*Inputs!$C$61</f>
        <v>3.0799626341593105</v>
      </c>
      <c r="V117" s="19">
        <f>V48*Inputs!$C$61</f>
        <v>3.1146314887097106</v>
      </c>
      <c r="W117" s="19">
        <f>W48*Inputs!$C$61</f>
        <v>3.2193045131510734</v>
      </c>
      <c r="X117" s="182">
        <f>X48*Inputs!$C$61</f>
        <v>3.2936647843114044</v>
      </c>
      <c r="Y117" s="206">
        <f>Y48*Inputs!$C$61</f>
        <v>3.3277534831953379</v>
      </c>
      <c r="Z117" s="206">
        <f>Z48*Inputs!$C$61</f>
        <v>3.3648188974193181</v>
      </c>
      <c r="AA117" s="206">
        <f>AA48*Inputs!$C$61</f>
        <v>3.3904912897156465</v>
      </c>
      <c r="AB117" s="206">
        <f>AB48*Inputs!$C$61</f>
        <v>3.3123988595789706</v>
      </c>
      <c r="AC117" s="206">
        <f>AC48*Inputs!$C$61</f>
        <v>3.3758386809649528</v>
      </c>
      <c r="AD117" s="206">
        <f>AD48*Inputs!$C$61</f>
        <v>3.351163463842822</v>
      </c>
      <c r="AE117" s="206">
        <f>AE48*Inputs!$C$61</f>
        <v>3.3597645971120071</v>
      </c>
      <c r="AF117" s="206">
        <f>AF48*Inputs!$C$61</f>
        <v>3.4022799758722249</v>
      </c>
      <c r="AG117" s="206">
        <f>AG48*Inputs!$C$61</f>
        <v>3.5901715752611199</v>
      </c>
      <c r="AH117" s="182">
        <f>AH48*Inputs!$C$61</f>
        <v>3.7073165395640535</v>
      </c>
      <c r="AI117" s="31"/>
    </row>
    <row r="118" spans="1:35" s="20" customFormat="1">
      <c r="A118" s="10" t="s">
        <v>58</v>
      </c>
      <c r="B118" s="37"/>
      <c r="C118" s="334">
        <f>SUM(C113,C116,C117)</f>
        <v>3990.7651999999998</v>
      </c>
      <c r="D118" s="334">
        <f>SUM(D113,D116,D117)</f>
        <v>4116.7173792291369</v>
      </c>
      <c r="E118" s="334">
        <f t="shared" ref="E118:AH118" si="90">SUM(E113,E116,E117)</f>
        <v>3847.6290887334694</v>
      </c>
      <c r="F118" s="334">
        <f t="shared" si="90"/>
        <v>3745.2674313348225</v>
      </c>
      <c r="G118" s="334">
        <f t="shared" si="90"/>
        <v>3848.3627733142444</v>
      </c>
      <c r="H118" s="404">
        <f t="shared" si="90"/>
        <v>3861.9046097954256</v>
      </c>
      <c r="I118" s="19">
        <f t="shared" si="90"/>
        <v>4125.6734848108408</v>
      </c>
      <c r="J118" s="19">
        <f t="shared" si="90"/>
        <v>4066.9256648082419</v>
      </c>
      <c r="K118" s="19">
        <f t="shared" si="90"/>
        <v>4026.2855752014698</v>
      </c>
      <c r="L118" s="19">
        <f t="shared" si="90"/>
        <v>4084.0037717369987</v>
      </c>
      <c r="M118" s="19">
        <f t="shared" si="90"/>
        <v>4137.7183011459647</v>
      </c>
      <c r="N118" s="182">
        <f t="shared" si="90"/>
        <v>4186.6609590618309</v>
      </c>
      <c r="O118" s="19">
        <f t="shared" si="90"/>
        <v>4203.9418857424353</v>
      </c>
      <c r="P118" s="19">
        <f t="shared" si="90"/>
        <v>4221.8227168706035</v>
      </c>
      <c r="Q118" s="19">
        <f t="shared" si="90"/>
        <v>4249.3036091710892</v>
      </c>
      <c r="R118" s="19">
        <f t="shared" si="90"/>
        <v>4273.3284548860347</v>
      </c>
      <c r="S118" s="19">
        <f t="shared" si="90"/>
        <v>4291.5186131243436</v>
      </c>
      <c r="T118" s="19">
        <f t="shared" si="90"/>
        <v>4303.2928546665535</v>
      </c>
      <c r="U118" s="19">
        <f t="shared" si="90"/>
        <v>4321.8939571246956</v>
      </c>
      <c r="V118" s="19">
        <f t="shared" si="90"/>
        <v>4326.6829003037546</v>
      </c>
      <c r="W118" s="19">
        <f t="shared" si="90"/>
        <v>4339.4689696088153</v>
      </c>
      <c r="X118" s="182">
        <f t="shared" si="90"/>
        <v>4352.8143076107426</v>
      </c>
      <c r="Y118" s="206">
        <f t="shared" si="90"/>
        <v>4354.2148833370647</v>
      </c>
      <c r="Z118" s="206">
        <f t="shared" si="90"/>
        <v>4355.1697402527698</v>
      </c>
      <c r="AA118" s="206">
        <f t="shared" si="90"/>
        <v>4355.9471747963162</v>
      </c>
      <c r="AB118" s="206">
        <f t="shared" si="90"/>
        <v>4355.7140622017369</v>
      </c>
      <c r="AC118" s="206">
        <f t="shared" si="90"/>
        <v>4356.6295462737908</v>
      </c>
      <c r="AD118" s="206">
        <f t="shared" si="90"/>
        <v>4355.8612184805261</v>
      </c>
      <c r="AE118" s="206">
        <f t="shared" si="90"/>
        <v>4356.6715556212439</v>
      </c>
      <c r="AF118" s="206">
        <f t="shared" si="90"/>
        <v>4356.9184275513317</v>
      </c>
      <c r="AG118" s="206">
        <f t="shared" si="90"/>
        <v>4358.3362353381863</v>
      </c>
      <c r="AH118" s="182">
        <f t="shared" si="90"/>
        <v>4360.759562384952</v>
      </c>
      <c r="AI118" s="31"/>
    </row>
    <row r="119" spans="1:35" s="1" customFormat="1">
      <c r="A119" s="1" t="s">
        <v>335</v>
      </c>
      <c r="B119" s="13"/>
      <c r="C119" s="341">
        <f>C118-'Output - Jobs vs Yr (BAU)'!C55</f>
        <v>1.1990000000000691</v>
      </c>
      <c r="D119" s="341">
        <f>D118-'Output - Jobs vs Yr (BAU)'!D55</f>
        <v>-18.498820770863858</v>
      </c>
      <c r="E119" s="341">
        <f>E118-'Output - Jobs vs Yr (BAU)'!E55</f>
        <v>-38.692930749309198</v>
      </c>
      <c r="F119" s="341">
        <f>F118-'Output - Jobs vs Yr (BAU)'!F55</f>
        <v>-26.491775350914395</v>
      </c>
      <c r="G119" s="341">
        <f>G118-'Output - Jobs vs Yr (BAU)'!G55</f>
        <v>-9.4526135587670979</v>
      </c>
      <c r="H119" s="405">
        <f>H118-'Output - Jobs vs Yr (BAU)'!H55</f>
        <v>-0.14299999999957436</v>
      </c>
      <c r="I119" s="15">
        <f>I118-'Output - Jobs vs Yr (BAU)'!I55</f>
        <v>2.5772404938861655</v>
      </c>
      <c r="J119" s="15">
        <f>J118-'Output - Jobs vs Yr (BAU)'!J55</f>
        <v>-0.89092884679530471</v>
      </c>
      <c r="K119" s="15">
        <f>K118-'Output - Jobs vs Yr (BAU)'!K55</f>
        <v>-3.1385837276761777</v>
      </c>
      <c r="L119" s="15">
        <f>L118-'Output - Jobs vs Yr (BAU)'!L55</f>
        <v>-1.8343399941363714</v>
      </c>
      <c r="M119" s="15">
        <f>M118-'Output - Jobs vs Yr (BAU)'!M55</f>
        <v>27.404517612474592</v>
      </c>
      <c r="N119" s="182">
        <f>N118-'Output - Jobs vs Yr (BAU)'!N55</f>
        <v>59.574264821691941</v>
      </c>
      <c r="O119" s="15">
        <f>O118-'Output - Jobs vs Yr (BAU)'!O55</f>
        <v>70.018289126805939</v>
      </c>
      <c r="P119" s="15">
        <f>P118-'Output - Jobs vs Yr (BAU)'!P55</f>
        <v>80.650510992582895</v>
      </c>
      <c r="Q119" s="15">
        <f>Q118-'Output - Jobs vs Yr (BAU)'!Q55</f>
        <v>92.858909885942012</v>
      </c>
      <c r="R119" s="15">
        <f>R118-'Output - Jobs vs Yr (BAU)'!R55</f>
        <v>104.76233633851825</v>
      </c>
      <c r="S119" s="15">
        <f>S118-'Output - Jobs vs Yr (BAU)'!S55</f>
        <v>116.04744487163316</v>
      </c>
      <c r="T119" s="15">
        <f>T118-'Output - Jobs vs Yr (BAU)'!T55</f>
        <v>126.56211772704319</v>
      </c>
      <c r="U119" s="15">
        <f>U118-'Output - Jobs vs Yr (BAU)'!U55</f>
        <v>134.38060333834073</v>
      </c>
      <c r="V119" s="15">
        <f>V118-'Output - Jobs vs Yr (BAU)'!V55</f>
        <v>144.18635685026675</v>
      </c>
      <c r="W119" s="15">
        <f>W118-'Output - Jobs vs Yr (BAU)'!W55</f>
        <v>155.36218031103999</v>
      </c>
      <c r="X119" s="190">
        <f>X118-'Output - Jobs vs Yr (BAU)'!X55</f>
        <v>166.38419755749874</v>
      </c>
      <c r="Y119" s="130">
        <f>Y118-'Output - Jobs vs Yr (BAU)'!Y55</f>
        <v>168.21377419002511</v>
      </c>
      <c r="Z119" s="130">
        <f>Z118-'Output - Jobs vs Yr (BAU)'!Z55</f>
        <v>169.49428301514035</v>
      </c>
      <c r="AA119" s="130">
        <f>AA118-'Output - Jobs vs Yr (BAU)'!AA55</f>
        <v>171.06771756778562</v>
      </c>
      <c r="AB119" s="130">
        <f>AB118-'Output - Jobs vs Yr (BAU)'!AB55</f>
        <v>172.26823492935182</v>
      </c>
      <c r="AC119" s="130">
        <f>AC118-'Output - Jobs vs Yr (BAU)'!AC55</f>
        <v>173.65051370277342</v>
      </c>
      <c r="AD119" s="130">
        <f>AD118-'Output - Jobs vs Yr (BAU)'!AD55</f>
        <v>175.21337286362177</v>
      </c>
      <c r="AE119" s="130">
        <f>AE118-'Output - Jobs vs Yr (BAU)'!AE55</f>
        <v>176.29410990205724</v>
      </c>
      <c r="AF119" s="130">
        <f>AF118-'Output - Jobs vs Yr (BAU)'!AF55</f>
        <v>177.51226771866277</v>
      </c>
      <c r="AG119" s="130">
        <f>AG118-'Output - Jobs vs Yr (BAU)'!AG55</f>
        <v>178.65777987385627</v>
      </c>
      <c r="AH119" s="190">
        <f>AH118-'Output - Jobs vs Yr (BAU)'!AH55</f>
        <v>179.59624984366019</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0</v>
      </c>
    </row>
    <row r="123" spans="1:35" hidden="1">
      <c r="W123" s="2" t="s">
        <v>134</v>
      </c>
      <c r="X123" s="187">
        <f>X115-'Output - Jobs vs Yr (BAU)'!X51</f>
        <v>476.71146977113153</v>
      </c>
    </row>
    <row r="124" spans="1:35" hidden="1">
      <c r="W124" s="2" t="s">
        <v>137</v>
      </c>
      <c r="X124" s="187">
        <f>SUM(X101,X106,X111)</f>
        <v>0</v>
      </c>
    </row>
    <row r="125" spans="1:35" hidden="1">
      <c r="W125" s="2" t="s">
        <v>132</v>
      </c>
      <c r="X125" s="187">
        <f>SUM(X121:X124)</f>
        <v>476.71146977113153</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199.12365</v>
      </c>
      <c r="D129" s="331">
        <f>D102*Inputs!$H48</f>
        <v>208.81666988627134</v>
      </c>
      <c r="E129" s="331">
        <f>E102*Inputs!$H48</f>
        <v>199.22246772257813</v>
      </c>
      <c r="F129" s="331">
        <f>F102*Inputs!$H48</f>
        <v>196.66466403387082</v>
      </c>
      <c r="G129" s="331">
        <f>G102*Inputs!$H48</f>
        <v>207.37364894817955</v>
      </c>
      <c r="H129" s="402">
        <f>H102*Inputs!$H48</f>
        <v>244.34333741306648</v>
      </c>
      <c r="I129" s="14">
        <f>I102*Inputs!$H48</f>
        <v>258.77859220858073</v>
      </c>
      <c r="J129" s="14">
        <f>J102*Inputs!$H48</f>
        <v>252.54481204200886</v>
      </c>
      <c r="K129" s="14">
        <f>K102*Inputs!$H48</f>
        <v>250.40831223591033</v>
      </c>
      <c r="L129" s="14">
        <f>L102*Inputs!$H48</f>
        <v>255.14337286358966</v>
      </c>
      <c r="M129" s="14">
        <f>M102*Inputs!$H48</f>
        <v>257.61731688693862</v>
      </c>
      <c r="N129" s="182">
        <f>N102*Inputs!$H48</f>
        <v>259.54728018300017</v>
      </c>
      <c r="O129" s="14">
        <f>O102*Inputs!$H48</f>
        <v>261.11226993498184</v>
      </c>
      <c r="P129" s="14">
        <f>P102*Inputs!$H48</f>
        <v>262.70501882141946</v>
      </c>
      <c r="Q129" s="14">
        <f>Q102*Inputs!$H48</f>
        <v>264.88738238579282</v>
      </c>
      <c r="R129" s="14">
        <f>R102*Inputs!$H48</f>
        <v>266.84707432213594</v>
      </c>
      <c r="S129" s="14">
        <f>S102*Inputs!$H48</f>
        <v>268.4338409702537</v>
      </c>
      <c r="T129" s="14">
        <f>T102*Inputs!$H48</f>
        <v>269.60891946931446</v>
      </c>
      <c r="U129" s="14">
        <f>U102*Inputs!$H48</f>
        <v>271.20034943848691</v>
      </c>
      <c r="V129" s="14">
        <f>V102*Inputs!$H48</f>
        <v>271.91438898444886</v>
      </c>
      <c r="W129" s="14">
        <f>W102*Inputs!$H48</f>
        <v>273.11827265762344</v>
      </c>
      <c r="X129" s="187">
        <f>X102*Inputs!$H48</f>
        <v>274.34531772306872</v>
      </c>
      <c r="Y129" s="158">
        <f>Y102*Inputs!$H48</f>
        <v>274.54532646750499</v>
      </c>
      <c r="Z129" s="158">
        <f>Z102*Inputs!$H48</f>
        <v>274.71666710158678</v>
      </c>
      <c r="AA129" s="158">
        <f>AA102*Inputs!$H48</f>
        <v>274.87582031942355</v>
      </c>
      <c r="AB129" s="158">
        <f>AB102*Inputs!$H48</f>
        <v>274.97076126788056</v>
      </c>
      <c r="AC129" s="158">
        <f>AC102*Inputs!$H48</f>
        <v>275.13768725607702</v>
      </c>
      <c r="AD129" s="158">
        <f>AD102*Inputs!$H48</f>
        <v>275.19781436583054</v>
      </c>
      <c r="AE129" s="158">
        <f>AE102*Inputs!$H48</f>
        <v>275.35719411087638</v>
      </c>
      <c r="AF129" s="158">
        <f>AF102*Inputs!$H48</f>
        <v>275.48051111720821</v>
      </c>
      <c r="AG129" s="158">
        <f>AG102*Inputs!$H48</f>
        <v>275.67714491893435</v>
      </c>
      <c r="AH129" s="187">
        <f>AH102*Inputs!$H48</f>
        <v>275.94198149324012</v>
      </c>
    </row>
    <row r="130" spans="1:35">
      <c r="A130" s="10" t="s">
        <v>59</v>
      </c>
      <c r="B130" s="35">
        <v>0</v>
      </c>
      <c r="C130" s="331">
        <f>C103*Inputs!$H53</f>
        <v>0</v>
      </c>
      <c r="D130" s="331">
        <f>D103*Inputs!$H53</f>
        <v>0</v>
      </c>
      <c r="E130" s="331">
        <f>E103*Inputs!$H53</f>
        <v>0</v>
      </c>
      <c r="F130" s="331">
        <f>F103*Inputs!$H53</f>
        <v>0</v>
      </c>
      <c r="G130" s="331">
        <f>G103*Inputs!$H53</f>
        <v>0</v>
      </c>
      <c r="H130" s="402">
        <f>H103*Inputs!$H53</f>
        <v>0</v>
      </c>
      <c r="I130" s="14">
        <f>I103*Inputs!$H53</f>
        <v>0</v>
      </c>
      <c r="J130" s="14">
        <f>J103*Inputs!$H53</f>
        <v>0</v>
      </c>
      <c r="K130" s="14">
        <f>K103*Inputs!$H53</f>
        <v>0</v>
      </c>
      <c r="L130" s="14">
        <f>L103*Inputs!$H53</f>
        <v>0</v>
      </c>
      <c r="M130" s="14">
        <f>M103*Inputs!$H53</f>
        <v>0</v>
      </c>
      <c r="N130" s="182">
        <f>N103*Inputs!$H53</f>
        <v>0</v>
      </c>
      <c r="O130" s="14">
        <f>O103*Inputs!$H53</f>
        <v>0</v>
      </c>
      <c r="P130" s="14">
        <f>P103*Inputs!$H53</f>
        <v>0</v>
      </c>
      <c r="Q130" s="14">
        <f>Q103*Inputs!$H53</f>
        <v>0</v>
      </c>
      <c r="R130" s="14">
        <f>R103*Inputs!$H53</f>
        <v>0</v>
      </c>
      <c r="S130" s="14">
        <f>S103*Inputs!$H53</f>
        <v>0</v>
      </c>
      <c r="T130" s="14">
        <f>T103*Inputs!$H53</f>
        <v>0</v>
      </c>
      <c r="U130" s="14">
        <f>U103*Inputs!$H53</f>
        <v>0</v>
      </c>
      <c r="V130" s="14">
        <f>V103*Inputs!$H53</f>
        <v>0</v>
      </c>
      <c r="W130" s="14">
        <f>W103*Inputs!$H53</f>
        <v>0</v>
      </c>
      <c r="X130" s="187">
        <f>X103*Inputs!$H53</f>
        <v>0</v>
      </c>
      <c r="Y130" s="158">
        <f>Y103*Inputs!$H53</f>
        <v>0</v>
      </c>
      <c r="Z130" s="158">
        <f>Z103*Inputs!$H53</f>
        <v>0</v>
      </c>
      <c r="AA130" s="158">
        <f>AA103*Inputs!$H53</f>
        <v>0</v>
      </c>
      <c r="AB130" s="158">
        <f>AB103*Inputs!$H53</f>
        <v>0</v>
      </c>
      <c r="AC130" s="158">
        <f>AC103*Inputs!$H53</f>
        <v>0</v>
      </c>
      <c r="AD130" s="158">
        <f>AD103*Inputs!$H53</f>
        <v>0</v>
      </c>
      <c r="AE130" s="158">
        <f>AE103*Inputs!$H53</f>
        <v>0</v>
      </c>
      <c r="AF130" s="158">
        <f>AF103*Inputs!$H53</f>
        <v>0</v>
      </c>
      <c r="AG130" s="158">
        <f>AG103*Inputs!$H53</f>
        <v>0</v>
      </c>
      <c r="AH130" s="187">
        <f>AH103*Inputs!$H53</f>
        <v>0</v>
      </c>
    </row>
    <row r="131" spans="1:35">
      <c r="A131" s="10" t="s">
        <v>121</v>
      </c>
      <c r="B131" s="35">
        <v>1</v>
      </c>
      <c r="C131" s="330">
        <f>Inputs!$H46*'Output -Jobs vs Yr'!C104</f>
        <v>0</v>
      </c>
      <c r="D131" s="330">
        <f>Inputs!$H46*'Output -Jobs vs Yr'!D104</f>
        <v>0</v>
      </c>
      <c r="E131" s="330">
        <f>Inputs!$H46*'Output -Jobs vs Yr'!E104</f>
        <v>0.44403300900000003</v>
      </c>
      <c r="F131" s="330">
        <f>Inputs!$H46*'Output -Jobs vs Yr'!F104</f>
        <v>0.49204297799999996</v>
      </c>
      <c r="G131" s="330">
        <f>Inputs!$H46*'Output -Jobs vs Yr'!G104</f>
        <v>0.51934686299999999</v>
      </c>
      <c r="H131" s="286">
        <f>Inputs!$H46*'Output -Jobs vs Yr'!H104</f>
        <v>0.58899903300000012</v>
      </c>
      <c r="I131" s="40">
        <f>Inputs!$H46*'Output -Jobs vs Yr'!I104</f>
        <v>0.65966790896317062</v>
      </c>
      <c r="J131" s="40">
        <f>Inputs!$H46*'Output -Jobs vs Yr'!J104</f>
        <v>0.68080375294099238</v>
      </c>
      <c r="K131" s="40">
        <f>Inputs!$H46*'Output -Jobs vs Yr'!K104</f>
        <v>0.71387510361570006</v>
      </c>
      <c r="L131" s="40">
        <f>Inputs!$H46*'Output -Jobs vs Yr'!L104</f>
        <v>0.76922129711820708</v>
      </c>
      <c r="M131" s="40">
        <f>Inputs!$H46*'Output -Jobs vs Yr'!M104</f>
        <v>0.82137042211172151</v>
      </c>
      <c r="N131" s="177">
        <f>Inputs!$H46*'Output -Jobs vs Yr'!N104</f>
        <v>0.87514689482366881</v>
      </c>
      <c r="O131" s="40">
        <f>Inputs!$H46*'Output -Jobs vs Yr'!O104</f>
        <v>0.89294688473997508</v>
      </c>
      <c r="P131" s="40">
        <f>Inputs!$H46*'Output -Jobs vs Yr'!P104</f>
        <v>0.9111877841323428</v>
      </c>
      <c r="Q131" s="40">
        <f>Inputs!$H46*'Output -Jobs vs Yr'!Q104</f>
        <v>0.93185685471895707</v>
      </c>
      <c r="R131" s="40">
        <f>Inputs!$H46*'Output -Jobs vs Yr'!R104</f>
        <v>0.95215132031936978</v>
      </c>
      <c r="S131" s="40">
        <f>Inputs!$H46*'Output -Jobs vs Yr'!S104</f>
        <v>0.97150158595577873</v>
      </c>
      <c r="T131" s="40">
        <f>Inputs!$H46*'Output -Jobs vs Yr'!T104</f>
        <v>0.98971531517075517</v>
      </c>
      <c r="U131" s="40">
        <f>Inputs!$H46*'Output -Jobs vs Yr'!U104</f>
        <v>1.009817927021168</v>
      </c>
      <c r="V131" s="40">
        <f>Inputs!$H46*'Output -Jobs vs Yr'!V104</f>
        <v>1.0269960476392985</v>
      </c>
      <c r="W131" s="40">
        <f>Inputs!$H46*'Output -Jobs vs Yr'!W104</f>
        <v>1.0463524340951402</v>
      </c>
      <c r="X131" s="184">
        <f>Inputs!$H46*'Output -Jobs vs Yr'!X104</f>
        <v>1.0661597378483965</v>
      </c>
      <c r="Y131" s="271">
        <f>Inputs!$H46*'Output -Jobs vs Yr'!Y104</f>
        <v>1.0695302275377283</v>
      </c>
      <c r="Z131" s="271">
        <f>Inputs!$H46*'Output -Jobs vs Yr'!Z104</f>
        <v>1.0760754690000001</v>
      </c>
      <c r="AA131" s="271">
        <f>Inputs!$H46*'Output -Jobs vs Yr'!AA104</f>
        <v>1.099961478</v>
      </c>
      <c r="AB131" s="271">
        <f>Inputs!$H46*'Output -Jobs vs Yr'!AB104</f>
        <v>1.12478436</v>
      </c>
      <c r="AC131" s="271">
        <f>Inputs!$H46*'Output -Jobs vs Yr'!AC104</f>
        <v>1.1474617140000003</v>
      </c>
      <c r="AD131" s="271">
        <f>Inputs!$H46*'Output -Jobs vs Yr'!AD104</f>
        <v>1.1713998870000002</v>
      </c>
      <c r="AE131" s="271">
        <f>Inputs!$H46*'Output -Jobs vs Yr'!AE104</f>
        <v>1.192199904</v>
      </c>
      <c r="AF131" s="271">
        <f>Inputs!$H46*'Output -Jobs vs Yr'!AF104</f>
        <v>1.2136903380000001</v>
      </c>
      <c r="AG131" s="271">
        <f>Inputs!$H46*'Output -Jobs vs Yr'!AG104</f>
        <v>1.237827528</v>
      </c>
      <c r="AH131" s="184">
        <f>Inputs!$H46*'Output -Jobs vs Yr'!AH104</f>
        <v>1.0987513488130882</v>
      </c>
    </row>
    <row r="132" spans="1:35">
      <c r="A132" s="10" t="s">
        <v>50</v>
      </c>
      <c r="B132" s="35">
        <v>1</v>
      </c>
      <c r="C132" s="331">
        <f>C105*Inputs!$H49</f>
        <v>0</v>
      </c>
      <c r="D132" s="331">
        <f>D105*Inputs!$H49</f>
        <v>0</v>
      </c>
      <c r="E132" s="331">
        <f>E105*Inputs!$H49</f>
        <v>2.2500000000000003E-8</v>
      </c>
      <c r="F132" s="331">
        <f>F105*Inputs!$H49</f>
        <v>2.2500000000000003E-8</v>
      </c>
      <c r="G132" s="331">
        <f>G105*Inputs!$H49</f>
        <v>2.2500000000000003E-8</v>
      </c>
      <c r="H132" s="402">
        <f>H105*Inputs!$H49</f>
        <v>2.2500000000000003E-8</v>
      </c>
      <c r="I132" s="14">
        <f>I105*Inputs!$H49</f>
        <v>2.4108385131596829E-8</v>
      </c>
      <c r="J132" s="14">
        <f>J105*Inputs!$H49</f>
        <v>2.3803429422277042E-8</v>
      </c>
      <c r="K132" s="14">
        <f>K105*Inputs!$H49</f>
        <v>2.387891851753031E-8</v>
      </c>
      <c r="L132" s="14">
        <f>L105*Inputs!$H49</f>
        <v>2.46160601396164E-8</v>
      </c>
      <c r="M132" s="14">
        <f>M105*Inputs!$H49</f>
        <v>2.514670755047616E-8</v>
      </c>
      <c r="N132" s="182">
        <f>N105*Inputs!$H49</f>
        <v>2.5632906572955749E-8</v>
      </c>
      <c r="O132" s="14">
        <f>O105*Inputs!$H49</f>
        <v>2.6154265308526846E-8</v>
      </c>
      <c r="P132" s="14">
        <f>P105*Inputs!$H49</f>
        <v>2.6688538209107103E-8</v>
      </c>
      <c r="Q132" s="14">
        <f>Q105*Inputs!$H49</f>
        <v>2.7293931838942539E-8</v>
      </c>
      <c r="R132" s="14">
        <f>R105*Inputs!$H49</f>
        <v>2.7888353351217061E-8</v>
      </c>
      <c r="S132" s="14">
        <f>S105*Inputs!$H49</f>
        <v>2.8455119404040546E-8</v>
      </c>
      <c r="T132" s="14">
        <f>T105*Inputs!$H49</f>
        <v>2.8988596494657056E-8</v>
      </c>
      <c r="U132" s="14">
        <f>U105*Inputs!$H49</f>
        <v>2.9577398642595727E-8</v>
      </c>
      <c r="V132" s="14">
        <f>V105*Inputs!$H49</f>
        <v>3.0080542930152419E-8</v>
      </c>
      <c r="W132" s="14">
        <f>W105*Inputs!$H49</f>
        <v>3.0647488260756128E-8</v>
      </c>
      <c r="X132" s="187">
        <f>X105*Inputs!$H49</f>
        <v>3.1227640883787108E-8</v>
      </c>
      <c r="Y132" s="158">
        <f>Y105*Inputs!$H49</f>
        <v>3.1326361964582543E-8</v>
      </c>
      <c r="Z132" s="158">
        <f>Z105*Inputs!$H49</f>
        <v>3.142212215679466E-8</v>
      </c>
      <c r="AA132" s="158">
        <f>AA105*Inputs!$H49</f>
        <v>3.1516788214489695E-8</v>
      </c>
      <c r="AB132" s="158">
        <f>AB105*Inputs!$H49</f>
        <v>3.1604371315961155E-8</v>
      </c>
      <c r="AC132" s="158">
        <f>AC105*Inputs!$H49</f>
        <v>3.1700510757082637E-8</v>
      </c>
      <c r="AD132" s="158">
        <f>AD105*Inputs!$H49</f>
        <v>3.1784618833341024E-8</v>
      </c>
      <c r="AE132" s="158">
        <f>AE105*Inputs!$H49</f>
        <v>3.1880462759736746E-8</v>
      </c>
      <c r="AF132" s="158">
        <f>AF105*Inputs!$H49</f>
        <v>3.1972422446344235E-8</v>
      </c>
      <c r="AG132" s="158">
        <f>AG105*Inputs!$H49</f>
        <v>3.2073193835534578E-8</v>
      </c>
      <c r="AH132" s="187">
        <f>AH105*Inputs!$H49</f>
        <v>3.2182243732590436E-8</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1.35E-2</v>
      </c>
      <c r="D134" s="331">
        <f>D107*Inputs!$H52</f>
        <v>1.3917865764254262E-2</v>
      </c>
      <c r="E134" s="331">
        <f>E107*Inputs!$H52</f>
        <v>1.35E-2</v>
      </c>
      <c r="F134" s="331">
        <f>F107*Inputs!$H52</f>
        <v>1.35E-2</v>
      </c>
      <c r="G134" s="331">
        <f>G107*Inputs!$H52</f>
        <v>1.35E-2</v>
      </c>
      <c r="H134" s="402">
        <f>H107*Inputs!$H52</f>
        <v>1.35E-2</v>
      </c>
      <c r="I134" s="14">
        <f>I107*Inputs!$H52</f>
        <v>1.4465031078958093E-2</v>
      </c>
      <c r="J134" s="14">
        <f>J107*Inputs!$H52</f>
        <v>1.4282057653366223E-2</v>
      </c>
      <c r="K134" s="14">
        <f>K107*Inputs!$H52</f>
        <v>1.4327351110518182E-2</v>
      </c>
      <c r="L134" s="14">
        <f>L107*Inputs!$H52</f>
        <v>1.4769636083769839E-2</v>
      </c>
      <c r="M134" s="14">
        <f>M107*Inputs!$H52</f>
        <v>1.5088024530285692E-2</v>
      </c>
      <c r="N134" s="182">
        <f>N107*Inputs!$H52</f>
        <v>1.5379743943773448E-2</v>
      </c>
      <c r="O134" s="14">
        <f>O107*Inputs!$H52</f>
        <v>1.5692559185116105E-2</v>
      </c>
      <c r="P134" s="14">
        <f>P107*Inputs!$H52</f>
        <v>1.6013122925464258E-2</v>
      </c>
      <c r="Q134" s="14">
        <f>Q107*Inputs!$H52</f>
        <v>1.6376359103365521E-2</v>
      </c>
      <c r="R134" s="14">
        <f>R107*Inputs!$H52</f>
        <v>1.6733012010730235E-2</v>
      </c>
      <c r="S134" s="14">
        <f>S107*Inputs!$H52</f>
        <v>1.7073071642424335E-2</v>
      </c>
      <c r="T134" s="14">
        <f>T107*Inputs!$H52</f>
        <v>1.7393157896794239E-2</v>
      </c>
      <c r="U134" s="14">
        <f>U107*Inputs!$H52</f>
        <v>1.7746439185557433E-2</v>
      </c>
      <c r="V134" s="14">
        <f>V107*Inputs!$H52</f>
        <v>1.8048325758091448E-2</v>
      </c>
      <c r="W134" s="14">
        <f>W107*Inputs!$H52</f>
        <v>1.8388492956453676E-2</v>
      </c>
      <c r="X134" s="187">
        <f>X107*Inputs!$H52</f>
        <v>1.8736584530272261E-2</v>
      </c>
      <c r="Y134" s="158">
        <f>Y107*Inputs!$H52</f>
        <v>1.8795817178749522E-2</v>
      </c>
      <c r="Z134" s="158">
        <f>Z107*Inputs!$H52</f>
        <v>1.8853273294076791E-2</v>
      </c>
      <c r="AA134" s="158">
        <f>AA107*Inputs!$H52</f>
        <v>1.8910072928693809E-2</v>
      </c>
      <c r="AB134" s="158">
        <f>AB107*Inputs!$H52</f>
        <v>1.8962622789576687E-2</v>
      </c>
      <c r="AC134" s="158">
        <f>AC107*Inputs!$H52</f>
        <v>1.9020306454249576E-2</v>
      </c>
      <c r="AD134" s="158">
        <f>AD107*Inputs!$H52</f>
        <v>1.9070771300004608E-2</v>
      </c>
      <c r="AE134" s="158">
        <f>AE107*Inputs!$H52</f>
        <v>1.9128277655842043E-2</v>
      </c>
      <c r="AF134" s="158">
        <f>AF107*Inputs!$H52</f>
        <v>1.9183453467806533E-2</v>
      </c>
      <c r="AG134" s="158">
        <f>AG107*Inputs!$H52</f>
        <v>1.9243916301320742E-2</v>
      </c>
      <c r="AH134" s="187">
        <f>AH107*Inputs!$H52</f>
        <v>1.930934623955426E-2</v>
      </c>
    </row>
    <row r="135" spans="1:35">
      <c r="A135" s="9" t="s">
        <v>347</v>
      </c>
      <c r="B135" s="35">
        <v>1</v>
      </c>
      <c r="C135" s="331">
        <f>C108*Inputs!$H54</f>
        <v>0</v>
      </c>
      <c r="D135" s="331">
        <f>D108*Inputs!$H54</f>
        <v>0</v>
      </c>
      <c r="E135" s="331">
        <f>E108*Inputs!$H54</f>
        <v>0.14220000000000002</v>
      </c>
      <c r="F135" s="331">
        <f>F108*Inputs!$H54</f>
        <v>0.14220000000000002</v>
      </c>
      <c r="G135" s="331">
        <f>G108*Inputs!$H54</f>
        <v>0.14220000000000002</v>
      </c>
      <c r="H135" s="402">
        <f>H108*Inputs!$H54</f>
        <v>0.14220000000000002</v>
      </c>
      <c r="I135" s="14">
        <f>I108*Inputs!$H54</f>
        <v>0.15236499403169193</v>
      </c>
      <c r="J135" s="14">
        <f>J108*Inputs!$H54</f>
        <v>0.15043767394879087</v>
      </c>
      <c r="K135" s="14">
        <f>K108*Inputs!$H54</f>
        <v>0.15091476503079154</v>
      </c>
      <c r="L135" s="14">
        <f>L108*Inputs!$H54</f>
        <v>0.15557350008237564</v>
      </c>
      <c r="M135" s="14">
        <f>M108*Inputs!$H54</f>
        <v>0.15892719171900932</v>
      </c>
      <c r="N135" s="182">
        <f>N108*Inputs!$H54</f>
        <v>0.16199996954108031</v>
      </c>
      <c r="O135" s="14">
        <f>O108*Inputs!$H54</f>
        <v>0.16529495674988964</v>
      </c>
      <c r="P135" s="14">
        <f>P108*Inputs!$H54</f>
        <v>0.16867156148155685</v>
      </c>
      <c r="Q135" s="14">
        <f>Q108*Inputs!$H54</f>
        <v>0.17249764922211686</v>
      </c>
      <c r="R135" s="14">
        <f>R108*Inputs!$H54</f>
        <v>0.17625439317969183</v>
      </c>
      <c r="S135" s="14">
        <f>S108*Inputs!$H54</f>
        <v>0.17983635463353634</v>
      </c>
      <c r="T135" s="14">
        <f>T108*Inputs!$H54</f>
        <v>0.18320792984623266</v>
      </c>
      <c r="U135" s="14">
        <f>U108*Inputs!$H54</f>
        <v>0.18692915942120497</v>
      </c>
      <c r="V135" s="14">
        <f>V108*Inputs!$H54</f>
        <v>0.1901090313185633</v>
      </c>
      <c r="W135" s="14">
        <f>W108*Inputs!$H54</f>
        <v>0.19369212580797873</v>
      </c>
      <c r="X135" s="187">
        <f>X108*Inputs!$H54</f>
        <v>0.19735869038553452</v>
      </c>
      <c r="Y135" s="158">
        <f>Y108*Inputs!$H54</f>
        <v>0.19798260761616165</v>
      </c>
      <c r="Z135" s="158">
        <f>Z108*Inputs!$H54</f>
        <v>0.19858781203094222</v>
      </c>
      <c r="AA135" s="158">
        <f>AA108*Inputs!$H54</f>
        <v>0.19918610151557484</v>
      </c>
      <c r="AB135" s="158">
        <f>AB108*Inputs!$H54</f>
        <v>0.19973962671687445</v>
      </c>
      <c r="AC135" s="158">
        <f>AC108*Inputs!$H54</f>
        <v>0.20034722798476223</v>
      </c>
      <c r="AD135" s="158">
        <f>AD108*Inputs!$H54</f>
        <v>0.20087879102671524</v>
      </c>
      <c r="AE135" s="158">
        <f>AE108*Inputs!$H54</f>
        <v>0.20148452464153618</v>
      </c>
      <c r="AF135" s="158">
        <f>AF108*Inputs!$H54</f>
        <v>0.2020657098608955</v>
      </c>
      <c r="AG135" s="158">
        <f>AG108*Inputs!$H54</f>
        <v>0.2027025850405785</v>
      </c>
      <c r="AH135" s="187">
        <f>AH108*Inputs!$H54</f>
        <v>0.20339178038997158</v>
      </c>
    </row>
    <row r="136" spans="1:35">
      <c r="A136" s="9" t="s">
        <v>348</v>
      </c>
      <c r="B136" s="35">
        <v>1</v>
      </c>
      <c r="C136" s="331">
        <f>C109*Inputs!$H55</f>
        <v>0</v>
      </c>
      <c r="D136" s="331">
        <f>D109*Inputs!$H55</f>
        <v>0</v>
      </c>
      <c r="E136" s="331">
        <f>E109*Inputs!$H55</f>
        <v>2.0700000000000003E-2</v>
      </c>
      <c r="F136" s="331">
        <f>F109*Inputs!$H55</f>
        <v>2.0700000000000003E-2</v>
      </c>
      <c r="G136" s="331">
        <f>G109*Inputs!$H55</f>
        <v>2.0700000000000003E-2</v>
      </c>
      <c r="H136" s="402">
        <f>H109*Inputs!$H55</f>
        <v>2.0700000000000003E-2</v>
      </c>
      <c r="I136" s="14">
        <f>I109*Inputs!$H55</f>
        <v>2.2179714321069081E-2</v>
      </c>
      <c r="J136" s="14">
        <f>J109*Inputs!$H55</f>
        <v>2.1899155068494876E-2</v>
      </c>
      <c r="K136" s="14">
        <f>K109*Inputs!$H55</f>
        <v>2.1968605036127881E-2</v>
      </c>
      <c r="L136" s="14">
        <f>L109*Inputs!$H55</f>
        <v>2.2646775328447086E-2</v>
      </c>
      <c r="M136" s="14">
        <f>M109*Inputs!$H55</f>
        <v>2.3134970946438065E-2</v>
      </c>
      <c r="N136" s="187">
        <f>N109*Inputs!$H55</f>
        <v>2.3582274047119288E-2</v>
      </c>
      <c r="O136" s="14">
        <f>O109*Inputs!$H55</f>
        <v>2.4061924083844697E-2</v>
      </c>
      <c r="P136" s="14">
        <f>P109*Inputs!$H55</f>
        <v>2.4553455152378532E-2</v>
      </c>
      <c r="Q136" s="14">
        <f>Q109*Inputs!$H55</f>
        <v>2.5110417291827135E-2</v>
      </c>
      <c r="R136" s="14">
        <f>R109*Inputs!$H55</f>
        <v>2.5657285083119697E-2</v>
      </c>
      <c r="S136" s="14">
        <f>S109*Inputs!$H55</f>
        <v>2.6178709851717313E-2</v>
      </c>
      <c r="T136" s="14">
        <f>T109*Inputs!$H55</f>
        <v>2.6669508775084502E-2</v>
      </c>
      <c r="U136" s="14">
        <f>U109*Inputs!$H55</f>
        <v>2.7211206751188065E-2</v>
      </c>
      <c r="V136" s="14">
        <f>V109*Inputs!$H55</f>
        <v>2.7674099495740224E-2</v>
      </c>
      <c r="W136" s="14">
        <f>W109*Inputs!$H55</f>
        <v>2.8195689199895645E-2</v>
      </c>
      <c r="X136" s="187">
        <f>X109*Inputs!$H55</f>
        <v>2.8729429613084136E-2</v>
      </c>
      <c r="Y136" s="158">
        <f>Y109*Inputs!$H55</f>
        <v>2.8820253007415936E-2</v>
      </c>
      <c r="Z136" s="158">
        <f>Z109*Inputs!$H55</f>
        <v>2.8908352384251081E-2</v>
      </c>
      <c r="AA136" s="158">
        <f>AA109*Inputs!$H55</f>
        <v>2.8995445157330515E-2</v>
      </c>
      <c r="AB136" s="158">
        <f>AB109*Inputs!$H55</f>
        <v>2.9076021610684254E-2</v>
      </c>
      <c r="AC136" s="158">
        <f>AC109*Inputs!$H55</f>
        <v>2.9164469896516023E-2</v>
      </c>
      <c r="AD136" s="158">
        <f>AD109*Inputs!$H55</f>
        <v>2.924184932667374E-2</v>
      </c>
      <c r="AE136" s="158">
        <f>AE109*Inputs!$H55</f>
        <v>2.9330025738957797E-2</v>
      </c>
      <c r="AF136" s="158">
        <f>AF109*Inputs!$H55</f>
        <v>2.9414628650636685E-2</v>
      </c>
      <c r="AG136" s="158">
        <f>AG109*Inputs!$H55</f>
        <v>2.9507338328691804E-2</v>
      </c>
      <c r="AH136" s="187">
        <f>AH109*Inputs!$H55</f>
        <v>2.9607664233983203E-2</v>
      </c>
    </row>
    <row r="137" spans="1:35">
      <c r="A137" s="9" t="s">
        <v>344</v>
      </c>
      <c r="B137" s="35">
        <v>1</v>
      </c>
      <c r="C137" s="331">
        <f>C110*Inputs!$H56</f>
        <v>2.16E-3</v>
      </c>
      <c r="D137" s="331">
        <f>D110*Inputs!$H56</f>
        <v>2.2268585222806818E-3</v>
      </c>
      <c r="E137" s="331">
        <f>E110*Inputs!$H56</f>
        <v>2.16E-3</v>
      </c>
      <c r="F137" s="331">
        <f>F110*Inputs!$H56</f>
        <v>2.16E-3</v>
      </c>
      <c r="G137" s="331">
        <f>G110*Inputs!$H56</f>
        <v>2.16E-3</v>
      </c>
      <c r="H137" s="402">
        <f>H110*Inputs!$H56</f>
        <v>2.16E-3</v>
      </c>
      <c r="I137" s="14">
        <f>I110*Inputs!$H56</f>
        <v>2.3144049726332955E-3</v>
      </c>
      <c r="J137" s="14">
        <f>J110*Inputs!$H56</f>
        <v>2.2851292245385959E-3</v>
      </c>
      <c r="K137" s="14">
        <f>K110*Inputs!$H56</f>
        <v>2.2923761776829097E-3</v>
      </c>
      <c r="L137" s="14">
        <f>L110*Inputs!$H56</f>
        <v>2.3631417734031744E-3</v>
      </c>
      <c r="M137" s="14">
        <f>M110*Inputs!$H56</f>
        <v>2.4140839248457113E-3</v>
      </c>
      <c r="N137" s="187">
        <f>N110*Inputs!$H56</f>
        <v>2.4607590310037519E-3</v>
      </c>
      <c r="O137" s="14">
        <f>O110*Inputs!$H56</f>
        <v>2.5108094696185777E-3</v>
      </c>
      <c r="P137" s="14">
        <f>P110*Inputs!$H56</f>
        <v>2.5620996680742821E-3</v>
      </c>
      <c r="Q137" s="14">
        <f>Q110*Inputs!$H56</f>
        <v>2.6202174565384843E-3</v>
      </c>
      <c r="R137" s="14">
        <f>R110*Inputs!$H56</f>
        <v>2.6772819217168384E-3</v>
      </c>
      <c r="S137" s="14">
        <f>S110*Inputs!$H56</f>
        <v>2.7316914627878936E-3</v>
      </c>
      <c r="T137" s="14">
        <f>T110*Inputs!$H56</f>
        <v>2.782905263487079E-3</v>
      </c>
      <c r="U137" s="14">
        <f>U110*Inputs!$H56</f>
        <v>2.8394302696891907E-3</v>
      </c>
      <c r="V137" s="14">
        <f>V110*Inputs!$H56</f>
        <v>2.8877321212946328E-3</v>
      </c>
      <c r="W137" s="14">
        <f>W110*Inputs!$H56</f>
        <v>2.9421588730325892E-3</v>
      </c>
      <c r="X137" s="187">
        <f>X110*Inputs!$H56</f>
        <v>2.9978535248435627E-3</v>
      </c>
      <c r="Y137" s="158">
        <f>Y110*Inputs!$H56</f>
        <v>3.0073307485999241E-3</v>
      </c>
      <c r="Z137" s="158">
        <f>Z110*Inputs!$H56</f>
        <v>3.0165237270522874E-3</v>
      </c>
      <c r="AA137" s="158">
        <f>AA110*Inputs!$H56</f>
        <v>3.0256116685910103E-3</v>
      </c>
      <c r="AB137" s="158">
        <f>AB110*Inputs!$H56</f>
        <v>3.0340196463322709E-3</v>
      </c>
      <c r="AC137" s="158">
        <f>AC110*Inputs!$H56</f>
        <v>3.0432490326799339E-3</v>
      </c>
      <c r="AD137" s="158">
        <f>AD110*Inputs!$H56</f>
        <v>3.051323408000739E-3</v>
      </c>
      <c r="AE137" s="158">
        <f>AE110*Inputs!$H56</f>
        <v>3.0605244249347278E-3</v>
      </c>
      <c r="AF137" s="158">
        <f>AF110*Inputs!$H56</f>
        <v>3.0693525548490469E-3</v>
      </c>
      <c r="AG137" s="158">
        <f>AG110*Inputs!$H56</f>
        <v>3.0790266082113193E-3</v>
      </c>
      <c r="AH137" s="187">
        <f>AH110*Inputs!$H56</f>
        <v>3.0894953983286819E-3</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458.69400000000002</v>
      </c>
      <c r="D139" s="331">
        <f>D112*Inputs!$H57</f>
        <v>626.6880000000001</v>
      </c>
      <c r="E139" s="331">
        <f>E112*Inputs!$H57</f>
        <v>662.85590256000012</v>
      </c>
      <c r="F139" s="331">
        <f>F112*Inputs!$H57</f>
        <v>776.05137360000015</v>
      </c>
      <c r="G139" s="331">
        <f>G112*Inputs!$H57</f>
        <v>822.04753104000019</v>
      </c>
      <c r="H139" s="402">
        <f>H112*Inputs!$H57</f>
        <v>831.49529328000017</v>
      </c>
      <c r="I139" s="14">
        <f>I112*Inputs!$H57</f>
        <v>997.99589088000016</v>
      </c>
      <c r="J139" s="14">
        <f>J112*Inputs!$H57</f>
        <v>1103.6734804800003</v>
      </c>
      <c r="K139" s="14">
        <f>K112*Inputs!$H57</f>
        <v>1104.2545132799999</v>
      </c>
      <c r="L139" s="14">
        <f>L112*Inputs!$H57</f>
        <v>1104.2651376000003</v>
      </c>
      <c r="M139" s="14">
        <f>M112*Inputs!$H57</f>
        <v>1177.194123649364</v>
      </c>
      <c r="N139" s="182">
        <f>N112*Inputs!$H57</f>
        <v>1258.0640274207385</v>
      </c>
      <c r="O139" s="14">
        <f>O112*Inputs!$H57</f>
        <v>1283.6523339491741</v>
      </c>
      <c r="P139" s="14">
        <f>P112*Inputs!$H57</f>
        <v>1309.8744681863782</v>
      </c>
      <c r="Q139" s="14">
        <f>Q112*Inputs!$H57</f>
        <v>1339.5872105146007</v>
      </c>
      <c r="R139" s="14">
        <f>R112*Inputs!$H57</f>
        <v>1368.7614408965196</v>
      </c>
      <c r="S139" s="14">
        <f>S112*Inputs!$H57</f>
        <v>1396.5783402790021</v>
      </c>
      <c r="T139" s="14">
        <f>T112*Inputs!$H57</f>
        <v>1422.7614161329827</v>
      </c>
      <c r="U139" s="14">
        <f>U112*Inputs!$H57</f>
        <v>1451.6598479000315</v>
      </c>
      <c r="V139" s="14">
        <f>V112*Inputs!$H57</f>
        <v>1476.3541886286459</v>
      </c>
      <c r="W139" s="14">
        <f>W112*Inputs!$H57</f>
        <v>1504.1798869713853</v>
      </c>
      <c r="X139" s="187">
        <f>X112*Inputs!$H57</f>
        <v>1532.6537997276982</v>
      </c>
      <c r="Y139" s="158">
        <f>Y112*Inputs!$H57</f>
        <v>1537.4990341198004</v>
      </c>
      <c r="Z139" s="158">
        <f>Z112*Inputs!$H57</f>
        <v>1542.1989479878619</v>
      </c>
      <c r="AA139" s="158">
        <f>AA112*Inputs!$H57</f>
        <v>1546.8451616923003</v>
      </c>
      <c r="AB139" s="158">
        <f>AB112*Inputs!$H57</f>
        <v>1551.1437436364736</v>
      </c>
      <c r="AC139" s="158">
        <f>AC112*Inputs!$H57</f>
        <v>1555.8622710554</v>
      </c>
      <c r="AD139" s="158">
        <f>AD112*Inputs!$H57</f>
        <v>1559.9902986302313</v>
      </c>
      <c r="AE139" s="158">
        <f>AE112*Inputs!$H57</f>
        <v>1564.6943221752022</v>
      </c>
      <c r="AF139" s="158">
        <f>AF112*Inputs!$H57</f>
        <v>1569.2077070839518</v>
      </c>
      <c r="AG139" s="158">
        <f>AG112*Inputs!$H57</f>
        <v>1574.1535706898894</v>
      </c>
      <c r="AH139" s="187">
        <f>AH112*Inputs!$H57</f>
        <v>1579.5057437760531</v>
      </c>
      <c r="AI139" s="31">
        <f>SUM(C139:X139)</f>
        <v>25009.342206976526</v>
      </c>
    </row>
    <row r="140" spans="1:35">
      <c r="A140" s="10" t="s">
        <v>384</v>
      </c>
      <c r="C140" s="331">
        <f t="shared" ref="C140:AH140" si="91">SUM(C127:C139)</f>
        <v>657.83330999999998</v>
      </c>
      <c r="D140" s="331">
        <f t="shared" si="91"/>
        <v>835.52081461055798</v>
      </c>
      <c r="E140" s="331">
        <f t="shared" si="91"/>
        <v>862.70096331407831</v>
      </c>
      <c r="F140" s="331">
        <f t="shared" si="91"/>
        <v>973.38664063437091</v>
      </c>
      <c r="G140" s="331">
        <f t="shared" si="91"/>
        <v>1030.1190868736799</v>
      </c>
      <c r="H140" s="402">
        <f t="shared" si="91"/>
        <v>1076.6061897485665</v>
      </c>
      <c r="I140" s="14">
        <f t="shared" si="91"/>
        <v>1257.6254751660567</v>
      </c>
      <c r="J140" s="14">
        <f t="shared" si="91"/>
        <v>1357.0880003146488</v>
      </c>
      <c r="K140" s="14">
        <f t="shared" si="91"/>
        <v>1355.5662037407599</v>
      </c>
      <c r="L140" s="14">
        <f t="shared" si="91"/>
        <v>1360.3730848385921</v>
      </c>
      <c r="M140" s="14">
        <f t="shared" si="91"/>
        <v>1435.8323752546817</v>
      </c>
      <c r="N140" s="182">
        <f t="shared" si="91"/>
        <v>1518.6898772707582</v>
      </c>
      <c r="O140" s="14">
        <f t="shared" si="91"/>
        <v>1545.8651110445387</v>
      </c>
      <c r="P140" s="14">
        <f t="shared" si="91"/>
        <v>1573.702475057846</v>
      </c>
      <c r="Q140" s="14">
        <f t="shared" si="91"/>
        <v>1605.6230544254802</v>
      </c>
      <c r="R140" s="14">
        <f t="shared" si="91"/>
        <v>1636.7819885390586</v>
      </c>
      <c r="S140" s="14">
        <f t="shared" si="91"/>
        <v>1666.2095026912571</v>
      </c>
      <c r="T140" s="14">
        <f t="shared" si="91"/>
        <v>1693.590104448238</v>
      </c>
      <c r="U140" s="14">
        <f t="shared" si="91"/>
        <v>1724.1047415307446</v>
      </c>
      <c r="V140" s="14">
        <f t="shared" si="91"/>
        <v>1749.5342928795085</v>
      </c>
      <c r="W140" s="14">
        <f t="shared" si="91"/>
        <v>1778.5877305605886</v>
      </c>
      <c r="X140" s="187">
        <f t="shared" si="91"/>
        <v>1808.3130997778967</v>
      </c>
      <c r="Y140" s="158">
        <f t="shared" si="91"/>
        <v>1813.3624968547203</v>
      </c>
      <c r="Z140" s="158">
        <f t="shared" si="91"/>
        <v>1818.2410565513071</v>
      </c>
      <c r="AA140" s="158">
        <f t="shared" si="91"/>
        <v>1823.0710607525107</v>
      </c>
      <c r="AB140" s="158">
        <f t="shared" si="91"/>
        <v>1827.4901015867219</v>
      </c>
      <c r="AC140" s="158">
        <f t="shared" si="91"/>
        <v>1832.3989953105456</v>
      </c>
      <c r="AD140" s="158">
        <f t="shared" si="91"/>
        <v>1836.611755649908</v>
      </c>
      <c r="AE140" s="158">
        <f t="shared" si="91"/>
        <v>1841.4967195744202</v>
      </c>
      <c r="AF140" s="158">
        <f t="shared" si="91"/>
        <v>1846.1556417156667</v>
      </c>
      <c r="AG140" s="158">
        <f t="shared" si="91"/>
        <v>1851.3230760351757</v>
      </c>
      <c r="AH140" s="187">
        <f t="shared" si="91"/>
        <v>1856.8018749365503</v>
      </c>
      <c r="AI140" s="48" t="s">
        <v>0</v>
      </c>
    </row>
    <row r="141" spans="1:35">
      <c r="A141" s="10" t="s">
        <v>387</v>
      </c>
      <c r="C141" s="331">
        <f>SUM(C128:C130)</f>
        <v>199.12365</v>
      </c>
      <c r="D141" s="331">
        <f t="shared" ref="D141:AH141" si="92">SUM(D128:D130)</f>
        <v>208.81666988627134</v>
      </c>
      <c r="E141" s="331">
        <f t="shared" si="92"/>
        <v>199.22246772257813</v>
      </c>
      <c r="F141" s="331">
        <f t="shared" si="92"/>
        <v>196.66466403387082</v>
      </c>
      <c r="G141" s="331">
        <f t="shared" si="92"/>
        <v>207.37364894817955</v>
      </c>
      <c r="H141" s="402">
        <f t="shared" si="92"/>
        <v>244.34333741306648</v>
      </c>
      <c r="I141" s="14">
        <f t="shared" si="92"/>
        <v>258.77859220858073</v>
      </c>
      <c r="J141" s="14">
        <f t="shared" si="92"/>
        <v>252.54481204200886</v>
      </c>
      <c r="K141" s="14">
        <f t="shared" si="92"/>
        <v>250.40831223591033</v>
      </c>
      <c r="L141" s="14">
        <f t="shared" si="92"/>
        <v>255.14337286358966</v>
      </c>
      <c r="M141" s="14">
        <f t="shared" si="92"/>
        <v>257.61731688693862</v>
      </c>
      <c r="N141" s="187">
        <f t="shared" si="92"/>
        <v>259.54728018300017</v>
      </c>
      <c r="O141" s="14">
        <f t="shared" si="92"/>
        <v>261.11226993498184</v>
      </c>
      <c r="P141" s="14">
        <f t="shared" si="92"/>
        <v>262.70501882141946</v>
      </c>
      <c r="Q141" s="14">
        <f t="shared" si="92"/>
        <v>264.88738238579282</v>
      </c>
      <c r="R141" s="14">
        <f t="shared" si="92"/>
        <v>266.84707432213594</v>
      </c>
      <c r="S141" s="14">
        <f t="shared" si="92"/>
        <v>268.4338409702537</v>
      </c>
      <c r="T141" s="14">
        <f t="shared" si="92"/>
        <v>269.60891946931446</v>
      </c>
      <c r="U141" s="14">
        <f t="shared" si="92"/>
        <v>271.20034943848691</v>
      </c>
      <c r="V141" s="14">
        <f t="shared" si="92"/>
        <v>271.91438898444886</v>
      </c>
      <c r="W141" s="14">
        <f t="shared" si="92"/>
        <v>273.11827265762344</v>
      </c>
      <c r="X141" s="187">
        <f t="shared" si="92"/>
        <v>274.34531772306872</v>
      </c>
      <c r="Y141" s="158">
        <f t="shared" si="92"/>
        <v>274.54532646750499</v>
      </c>
      <c r="Z141" s="158">
        <f t="shared" si="92"/>
        <v>274.71666710158678</v>
      </c>
      <c r="AA141" s="158">
        <f t="shared" si="92"/>
        <v>274.87582031942355</v>
      </c>
      <c r="AB141" s="158">
        <f t="shared" si="92"/>
        <v>274.97076126788056</v>
      </c>
      <c r="AC141" s="158">
        <f t="shared" si="92"/>
        <v>275.13768725607702</v>
      </c>
      <c r="AD141" s="158">
        <f t="shared" si="92"/>
        <v>275.19781436583054</v>
      </c>
      <c r="AE141" s="158">
        <f t="shared" si="92"/>
        <v>275.35719411087638</v>
      </c>
      <c r="AF141" s="158">
        <f t="shared" si="92"/>
        <v>275.48051111720821</v>
      </c>
      <c r="AG141" s="158">
        <f t="shared" si="92"/>
        <v>275.67714491893435</v>
      </c>
      <c r="AH141" s="187">
        <f t="shared" si="92"/>
        <v>275.94198149324012</v>
      </c>
      <c r="AI141" s="48"/>
    </row>
    <row r="142" spans="1:35">
      <c r="A142" s="10" t="s">
        <v>386</v>
      </c>
      <c r="C142" s="330">
        <f t="shared" ref="C142:AH142" si="93">SUMPRODUCT($B131:$B139,C131:C139)</f>
        <v>458.70966000000004</v>
      </c>
      <c r="D142" s="330">
        <f t="shared" si="93"/>
        <v>626.70414472428661</v>
      </c>
      <c r="E142" s="330">
        <f t="shared" si="93"/>
        <v>663.47849559150006</v>
      </c>
      <c r="F142" s="330">
        <f t="shared" si="93"/>
        <v>776.72197660050017</v>
      </c>
      <c r="G142" s="330">
        <f t="shared" si="93"/>
        <v>822.74543792550014</v>
      </c>
      <c r="H142" s="286">
        <f t="shared" si="93"/>
        <v>832.26285233550016</v>
      </c>
      <c r="I142" s="40">
        <f t="shared" si="93"/>
        <v>998.84688295747605</v>
      </c>
      <c r="J142" s="40">
        <f t="shared" si="93"/>
        <v>1104.54318827264</v>
      </c>
      <c r="K142" s="40">
        <f t="shared" si="93"/>
        <v>1105.1578915048497</v>
      </c>
      <c r="L142" s="40">
        <f t="shared" si="93"/>
        <v>1105.2297119750026</v>
      </c>
      <c r="M142" s="40">
        <f t="shared" si="93"/>
        <v>1178.215058367743</v>
      </c>
      <c r="N142" s="177">
        <f t="shared" si="93"/>
        <v>1259.1425970877581</v>
      </c>
      <c r="O142" s="40">
        <f t="shared" si="93"/>
        <v>1284.7528411095568</v>
      </c>
      <c r="P142" s="40">
        <f t="shared" si="93"/>
        <v>1310.9974562364266</v>
      </c>
      <c r="Q142" s="40">
        <f t="shared" si="93"/>
        <v>1340.7356720396874</v>
      </c>
      <c r="R142" s="40">
        <f t="shared" si="93"/>
        <v>1369.9349142169226</v>
      </c>
      <c r="S142" s="40">
        <f t="shared" si="93"/>
        <v>1397.7756617210034</v>
      </c>
      <c r="T142" s="40">
        <f t="shared" si="93"/>
        <v>1423.9811849789237</v>
      </c>
      <c r="U142" s="40">
        <f t="shared" si="93"/>
        <v>1452.9043920922577</v>
      </c>
      <c r="V142" s="40">
        <f t="shared" si="93"/>
        <v>1477.6199038950595</v>
      </c>
      <c r="W142" s="40">
        <f t="shared" si="93"/>
        <v>1505.4694579029654</v>
      </c>
      <c r="X142" s="184">
        <f t="shared" si="93"/>
        <v>1533.9677820548279</v>
      </c>
      <c r="Y142" s="271">
        <f t="shared" si="93"/>
        <v>1538.8171703872154</v>
      </c>
      <c r="Z142" s="271">
        <f t="shared" si="93"/>
        <v>1543.5243894497203</v>
      </c>
      <c r="AA142" s="271">
        <f t="shared" si="93"/>
        <v>1548.1952404330873</v>
      </c>
      <c r="AB142" s="271">
        <f t="shared" si="93"/>
        <v>1552.5193403188414</v>
      </c>
      <c r="AC142" s="271">
        <f t="shared" si="93"/>
        <v>1557.2613080544688</v>
      </c>
      <c r="AD142" s="271">
        <f t="shared" si="93"/>
        <v>1561.4139412840773</v>
      </c>
      <c r="AE142" s="271">
        <f t="shared" si="93"/>
        <v>1566.1395254635438</v>
      </c>
      <c r="AF142" s="271">
        <f t="shared" si="93"/>
        <v>1570.6751305984585</v>
      </c>
      <c r="AG142" s="271">
        <f t="shared" si="93"/>
        <v>1575.6459311162414</v>
      </c>
      <c r="AH142" s="184">
        <f t="shared" si="93"/>
        <v>1580.8598934433103</v>
      </c>
    </row>
    <row r="143" spans="1:35">
      <c r="A143" s="10" t="s">
        <v>142</v>
      </c>
      <c r="C143" s="331">
        <f>C116*Inputs!$H$60</f>
        <v>2053.69857</v>
      </c>
      <c r="D143" s="331">
        <f>D116*Inputs!$H$60</f>
        <v>2867.9123426787742</v>
      </c>
      <c r="E143" s="331">
        <f>E116*Inputs!$H$60</f>
        <v>2599.5432014702815</v>
      </c>
      <c r="F143" s="331">
        <f>F116*Inputs!$H$60</f>
        <v>2396.1775726160354</v>
      </c>
      <c r="G143" s="331">
        <f>G116*Inputs!$H$60</f>
        <v>2433.0448483387495</v>
      </c>
      <c r="H143" s="402">
        <f>H116*Inputs!$H$60</f>
        <v>2398.5572673931756</v>
      </c>
      <c r="I143" s="14">
        <f>I116*Inputs!$H$60</f>
        <v>2454.9602067612559</v>
      </c>
      <c r="J143" s="14">
        <f>J116*Inputs!$H$60</f>
        <v>2301.7911585191146</v>
      </c>
      <c r="K143" s="14">
        <f>K116*Inputs!$H$60</f>
        <v>2266.5365175301304</v>
      </c>
      <c r="L143" s="14">
        <f>L116*Inputs!$H$60</f>
        <v>2313.3910295162541</v>
      </c>
      <c r="M143" s="14">
        <f>M116*Inputs!$H$60</f>
        <v>2286.1700228767982</v>
      </c>
      <c r="N143" s="182">
        <f>N116*Inputs!$H$60</f>
        <v>2247.0668266850548</v>
      </c>
      <c r="O143" s="14">
        <f>O116*Inputs!$H$60</f>
        <v>2235.3595265309373</v>
      </c>
      <c r="P143" s="14">
        <f>P116*Inputs!$H$60</f>
        <v>2223.5954387754859</v>
      </c>
      <c r="Q143" s="14">
        <f>Q116*Inputs!$H$60</f>
        <v>2216.2747739535494</v>
      </c>
      <c r="R143" s="14">
        <f>R116*Inputs!$H$60</f>
        <v>2206.6959403804381</v>
      </c>
      <c r="S143" s="14">
        <f>S116*Inputs!$H$60</f>
        <v>2193.6313750490626</v>
      </c>
      <c r="T143" s="14">
        <f>T116*Inputs!$H$60</f>
        <v>2176.7193390591697</v>
      </c>
      <c r="U143" s="14">
        <f>U116*Inputs!$H$60</f>
        <v>2162.8274985819539</v>
      </c>
      <c r="V143" s="14">
        <f>V116*Inputs!$H$60</f>
        <v>2141.6767880875173</v>
      </c>
      <c r="W143" s="14">
        <f>W116*Inputs!$H$60</f>
        <v>2124.0366002556502</v>
      </c>
      <c r="X143" s="187">
        <f>X116*Inputs!$H$60</f>
        <v>2106.2551040342005</v>
      </c>
      <c r="Y143" s="158">
        <f>Y116*Inputs!$H$60</f>
        <v>2102.4355440974191</v>
      </c>
      <c r="Z143" s="158">
        <f>Z116*Inputs!$H$60</f>
        <v>2098.3829956030427</v>
      </c>
      <c r="AA143" s="158">
        <f>AA116*Inputs!$H$60</f>
        <v>2094.2295762019712</v>
      </c>
      <c r="AB143" s="158">
        <f>AB116*Inputs!$H$60</f>
        <v>2089.6710161687647</v>
      </c>
      <c r="AC143" s="158">
        <f>AC116*Inputs!$H$60</f>
        <v>2085.5289611168682</v>
      </c>
      <c r="AD143" s="158">
        <f>AD116*Inputs!$H$60</f>
        <v>2080.6469124496816</v>
      </c>
      <c r="AE143" s="158">
        <f>AE116*Inputs!$H$60</f>
        <v>2076.4835097817454</v>
      </c>
      <c r="AF143" s="158">
        <f>AF116*Inputs!$H$60</f>
        <v>2072.0085074331778</v>
      </c>
      <c r="AG143" s="158">
        <f>AG116*Inputs!$H$60</f>
        <v>2067.9479964731313</v>
      </c>
      <c r="AH143" s="187">
        <f>AH116*Inputs!$H$60</f>
        <v>2064.5447601373739</v>
      </c>
      <c r="AI143" s="48"/>
    </row>
    <row r="144" spans="1:35">
      <c r="A144" s="10" t="s">
        <v>222</v>
      </c>
      <c r="C144" s="331">
        <f>C117*Inputs!$H$61</f>
        <v>880.15652999999998</v>
      </c>
      <c r="D144" s="331">
        <f>D117*Inputs!$H$61</f>
        <v>1.6122056595759933</v>
      </c>
      <c r="E144" s="331">
        <f>E117*Inputs!$H$61</f>
        <v>0.62174507576245019</v>
      </c>
      <c r="F144" s="331">
        <f>F117*Inputs!$H$61</f>
        <v>1.1762049509341705</v>
      </c>
      <c r="G144" s="331">
        <f>G117*Inputs!$H$61</f>
        <v>0.36229077039020197</v>
      </c>
      <c r="H144" s="402">
        <f>H117*Inputs!$H$61</f>
        <v>0.55042167414051069</v>
      </c>
      <c r="I144" s="14">
        <f>I117*Inputs!$H$61</f>
        <v>0.52016510182312781</v>
      </c>
      <c r="J144" s="14">
        <f>J117*Inputs!$H$61</f>
        <v>1.3536538525011201</v>
      </c>
      <c r="K144" s="14">
        <f>K117*Inputs!$H$61</f>
        <v>1.5540098634105926</v>
      </c>
      <c r="L144" s="14">
        <f>L117*Inputs!$H$61</f>
        <v>1.8389848157311464</v>
      </c>
      <c r="M144" s="14">
        <f>M117*Inputs!$H$61</f>
        <v>1.9437711393977044</v>
      </c>
      <c r="N144" s="182">
        <f>N117*Inputs!$H$61</f>
        <v>2.2378516049560933</v>
      </c>
      <c r="O144" s="14">
        <f>O117*Inputs!$H$61</f>
        <v>2.3227457415318784</v>
      </c>
      <c r="P144" s="14">
        <f>P117*Inputs!$H$61</f>
        <v>2.3422110877527231</v>
      </c>
      <c r="Q144" s="14">
        <f>Q117*Inputs!$H$61</f>
        <v>2.4750923477684776</v>
      </c>
      <c r="R144" s="14">
        <f>R117*Inputs!$H$61</f>
        <v>2.517345817694026</v>
      </c>
      <c r="S144" s="14">
        <f>S117*Inputs!$H$61</f>
        <v>2.5255326101565956</v>
      </c>
      <c r="T144" s="14">
        <f>T117*Inputs!$H$61</f>
        <v>2.6537778293329612</v>
      </c>
      <c r="U144" s="14">
        <f>U117*Inputs!$H$61</f>
        <v>2.7719663707433795</v>
      </c>
      <c r="V144" s="14">
        <f>V117*Inputs!$H$61</f>
        <v>2.8031683398387397</v>
      </c>
      <c r="W144" s="14">
        <f>W117*Inputs!$H$61</f>
        <v>2.8973740618359662</v>
      </c>
      <c r="X144" s="187">
        <f>X117*Inputs!$H$61</f>
        <v>2.9642983058802641</v>
      </c>
      <c r="Y144" s="158">
        <f>Y117*Inputs!$H$61</f>
        <v>2.994978134875804</v>
      </c>
      <c r="Z144" s="158">
        <f>Z117*Inputs!$H$61</f>
        <v>3.0283370076773863</v>
      </c>
      <c r="AA144" s="158">
        <f>AA117*Inputs!$H$61</f>
        <v>3.0514421607440818</v>
      </c>
      <c r="AB144" s="158">
        <f>AB117*Inputs!$H$61</f>
        <v>2.9811589736210737</v>
      </c>
      <c r="AC144" s="158">
        <f>AC117*Inputs!$H$61</f>
        <v>3.0382548128684577</v>
      </c>
      <c r="AD144" s="158">
        <f>AD117*Inputs!$H$61</f>
        <v>3.0160471174585397</v>
      </c>
      <c r="AE144" s="158">
        <f>AE117*Inputs!$H$61</f>
        <v>3.0237881374008064</v>
      </c>
      <c r="AF144" s="158">
        <f>AF117*Inputs!$H$61</f>
        <v>3.0620519782850026</v>
      </c>
      <c r="AG144" s="158">
        <f>AG117*Inputs!$H$61</f>
        <v>3.231154417735008</v>
      </c>
      <c r="AH144" s="187">
        <f>AH117*Inputs!$H$61</f>
        <v>3.3365848856076483</v>
      </c>
      <c r="AI144" s="48"/>
    </row>
    <row r="145" spans="1:35">
      <c r="A145" s="10" t="s">
        <v>58</v>
      </c>
      <c r="C145" s="331">
        <f>SUM(C140,C143,C144)</f>
        <v>3591.6884099999997</v>
      </c>
      <c r="D145" s="331">
        <f>SUM(D140,D143,D144)</f>
        <v>3705.045362948908</v>
      </c>
      <c r="E145" s="331">
        <f t="shared" ref="E145:AH145" si="94">SUM(E140,E143,E144)</f>
        <v>3462.8659098601224</v>
      </c>
      <c r="F145" s="331">
        <f t="shared" si="94"/>
        <v>3370.7404182013406</v>
      </c>
      <c r="G145" s="331">
        <f t="shared" si="94"/>
        <v>3463.5262259828196</v>
      </c>
      <c r="H145" s="402">
        <f t="shared" si="94"/>
        <v>3475.7138788158827</v>
      </c>
      <c r="I145" s="14">
        <f t="shared" si="94"/>
        <v>3713.1058470291359</v>
      </c>
      <c r="J145" s="14">
        <f t="shared" si="94"/>
        <v>3660.2328126862649</v>
      </c>
      <c r="K145" s="14">
        <f t="shared" si="94"/>
        <v>3623.656731134301</v>
      </c>
      <c r="L145" s="14">
        <f t="shared" si="94"/>
        <v>3675.6030991705775</v>
      </c>
      <c r="M145" s="14">
        <f t="shared" si="94"/>
        <v>3723.9461692708774</v>
      </c>
      <c r="N145" s="187">
        <f t="shared" si="94"/>
        <v>3767.9945555607692</v>
      </c>
      <c r="O145" s="14">
        <f t="shared" si="94"/>
        <v>3783.5473833170076</v>
      </c>
      <c r="P145" s="14">
        <f t="shared" si="94"/>
        <v>3799.6401249210849</v>
      </c>
      <c r="Q145" s="14">
        <f t="shared" si="94"/>
        <v>3824.3729207267979</v>
      </c>
      <c r="R145" s="14">
        <f t="shared" si="94"/>
        <v>3845.9952747371908</v>
      </c>
      <c r="S145" s="14">
        <f t="shared" si="94"/>
        <v>3862.3664103504761</v>
      </c>
      <c r="T145" s="14">
        <f t="shared" si="94"/>
        <v>3872.9632213367404</v>
      </c>
      <c r="U145" s="14">
        <f t="shared" si="94"/>
        <v>3889.7042064834418</v>
      </c>
      <c r="V145" s="14">
        <f t="shared" si="94"/>
        <v>3894.0142493068643</v>
      </c>
      <c r="W145" s="14">
        <f t="shared" si="94"/>
        <v>3905.5217048780746</v>
      </c>
      <c r="X145" s="187">
        <f t="shared" si="94"/>
        <v>3917.5325021179774</v>
      </c>
      <c r="Y145" s="158">
        <f t="shared" si="94"/>
        <v>3918.7930190870156</v>
      </c>
      <c r="Z145" s="158">
        <f t="shared" si="94"/>
        <v>3919.6523891620268</v>
      </c>
      <c r="AA145" s="158">
        <f t="shared" si="94"/>
        <v>3920.3520791152259</v>
      </c>
      <c r="AB145" s="158">
        <f t="shared" si="94"/>
        <v>3920.1422767291078</v>
      </c>
      <c r="AC145" s="158">
        <f t="shared" si="94"/>
        <v>3920.9662112402825</v>
      </c>
      <c r="AD145" s="158">
        <f t="shared" si="94"/>
        <v>3920.2747152170482</v>
      </c>
      <c r="AE145" s="158">
        <f t="shared" si="94"/>
        <v>3921.0040174935666</v>
      </c>
      <c r="AF145" s="158">
        <f t="shared" si="94"/>
        <v>3921.2262011271296</v>
      </c>
      <c r="AG145" s="158">
        <f t="shared" si="94"/>
        <v>3922.5022269260421</v>
      </c>
      <c r="AH145" s="187">
        <f t="shared" si="94"/>
        <v>3924.6832199595324</v>
      </c>
      <c r="AI145" s="48"/>
    </row>
    <row r="146" spans="1:35" s="1" customFormat="1">
      <c r="A146" s="1" t="s">
        <v>335</v>
      </c>
      <c r="B146" s="13"/>
      <c r="C146" s="341">
        <f>C145-'Output - Jobs vs Yr (BAU)'!C73</f>
        <v>1.0788299999999253</v>
      </c>
      <c r="D146" s="341">
        <f>D145-'Output - Jobs vs Yr (BAU)'!D73</f>
        <v>-16.649217051092364</v>
      </c>
      <c r="E146" s="341">
        <f>E145-'Output - Jobs vs Yr (BAU)'!E73</f>
        <v>-34.823907674378916</v>
      </c>
      <c r="F146" s="341">
        <f>F145-'Output - Jobs vs Yr (BAU)'!F73</f>
        <v>-23.842867815822501</v>
      </c>
      <c r="G146" s="341">
        <f>G145-'Output - Jobs vs Yr (BAU)'!G73</f>
        <v>-8.5076222028906159</v>
      </c>
      <c r="H146" s="405">
        <f>H145-'Output - Jobs vs Yr (BAU)'!H73</f>
        <v>-0.12896999999975378</v>
      </c>
      <c r="I146" s="15">
        <f>I145-'Output - Jobs vs Yr (BAU)'!I73</f>
        <v>2.3192271438770149</v>
      </c>
      <c r="J146" s="15">
        <f>J145-'Output - Jobs vs Yr (BAU)'!J73</f>
        <v>-0.80212160326891535</v>
      </c>
      <c r="K146" s="15">
        <f>K145-'Output - Jobs vs Yr (BAU)'!K73</f>
        <v>-2.8250119019303384</v>
      </c>
      <c r="L146" s="15">
        <f>L145-'Output - Jobs vs Yr (BAU)'!L73</f>
        <v>-1.6512013874444165</v>
      </c>
      <c r="M146" s="15">
        <f>M145-'Output - Jobs vs Yr (BAU)'!M73</f>
        <v>24.663764090736095</v>
      </c>
      <c r="N146" s="182">
        <f>N145-'Output - Jobs vs Yr (BAU)'!N73</f>
        <v>53.616530744644024</v>
      </c>
      <c r="O146" s="15">
        <f>O145-'Output - Jobs vs Yr (BAU)'!O73</f>
        <v>63.016146362941527</v>
      </c>
      <c r="P146" s="15">
        <f>P145-'Output - Jobs vs Yr (BAU)'!P73</f>
        <v>72.585139630866252</v>
      </c>
      <c r="Q146" s="15">
        <f>Q145-'Output - Jobs vs Yr (BAU)'!Q73</f>
        <v>83.572691370164648</v>
      </c>
      <c r="R146" s="15">
        <f>R145-'Output - Jobs vs Yr (BAU)'!R73</f>
        <v>94.285768044426277</v>
      </c>
      <c r="S146" s="15">
        <f>S145-'Output - Jobs vs Yr (BAU)'!S73</f>
        <v>104.44235892303641</v>
      </c>
      <c r="T146" s="15">
        <f>T145-'Output - Jobs vs Yr (BAU)'!T73</f>
        <v>113.90555809118086</v>
      </c>
      <c r="U146" s="15">
        <f>U145-'Output - Jobs vs Yr (BAU)'!U73</f>
        <v>120.94218807572224</v>
      </c>
      <c r="V146" s="15">
        <f>V145-'Output - Jobs vs Yr (BAU)'!V73</f>
        <v>129.76736019872533</v>
      </c>
      <c r="W146" s="15">
        <f>W145-'Output - Jobs vs Yr (BAU)'!W73</f>
        <v>139.82559451007637</v>
      </c>
      <c r="X146" s="190">
        <f>X145-'Output - Jobs vs Yr (BAU)'!X73</f>
        <v>149.74540307005827</v>
      </c>
      <c r="Y146" s="130">
        <f>Y145-'Output - Jobs vs Yr (BAU)'!Y73</f>
        <v>151.39202085467969</v>
      </c>
      <c r="Z146" s="130">
        <f>Z145-'Output - Jobs vs Yr (BAU)'!Z73</f>
        <v>152.54447764815995</v>
      </c>
      <c r="AA146" s="130">
        <f>AA145-'Output - Jobs vs Yr (BAU)'!AA73</f>
        <v>153.96056760954752</v>
      </c>
      <c r="AB146" s="130">
        <f>AB145-'Output - Jobs vs Yr (BAU)'!AB73</f>
        <v>155.04103218396176</v>
      </c>
      <c r="AC146" s="130">
        <f>AC145-'Output - Jobs vs Yr (BAU)'!AC73</f>
        <v>156.28508192636627</v>
      </c>
      <c r="AD146" s="130">
        <f>AD145-'Output - Jobs vs Yr (BAU)'!AD73</f>
        <v>157.69165416183478</v>
      </c>
      <c r="AE146" s="130">
        <f>AE145-'Output - Jobs vs Yr (BAU)'!AE73</f>
        <v>158.66431634629816</v>
      </c>
      <c r="AF146" s="130">
        <f>AF145-'Output - Jobs vs Yr (BAU)'!AF73</f>
        <v>159.76065727772857</v>
      </c>
      <c r="AG146" s="130">
        <f>AG145-'Output - Jobs vs Yr (BAU)'!AG73</f>
        <v>160.79161700814529</v>
      </c>
      <c r="AH146" s="190">
        <f>AH145-'Output - Jobs vs Yr (BAU)'!AH73</f>
        <v>161.63623867236947</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7580.1757799999996</v>
      </c>
      <c r="D176" s="334">
        <f>'Output - Jobs vs Yr (BAU)'!D55+'Output - Jobs vs Yr (BAU)'!D73</f>
        <v>7856.9107800000011</v>
      </c>
      <c r="E176" s="334">
        <f>'Output - Jobs vs Yr (BAU)'!E55+'Output - Jobs vs Yr (BAU)'!E73</f>
        <v>7384.0118370172804</v>
      </c>
      <c r="F176" s="334">
        <f>'Output - Jobs vs Yr (BAU)'!F55+'Output - Jobs vs Yr (BAU)'!F73</f>
        <v>7166.3424927029</v>
      </c>
      <c r="G176" s="334">
        <f>'Output - Jobs vs Yr (BAU)'!G55+'Output - Jobs vs Yr (BAU)'!G73</f>
        <v>7329.8492350587221</v>
      </c>
      <c r="H176" s="404">
        <f>'Output - Jobs vs Yr (BAU)'!H55+'Output - Jobs vs Yr (BAU)'!H73</f>
        <v>7337.8904586113076</v>
      </c>
      <c r="I176" s="19">
        <f>'Output - Jobs vs Yr (BAU)'!I55+'Output - Jobs vs Yr (BAU)'!I73</f>
        <v>7833.8828642022136</v>
      </c>
      <c r="J176" s="19">
        <f>'Output - Jobs vs Yr (BAU)'!J55+'Output - Jobs vs Yr (BAU)'!J73</f>
        <v>7728.851527944571</v>
      </c>
      <c r="K176" s="19">
        <f>'Output - Jobs vs Yr (BAU)'!K55+'Output - Jobs vs Yr (BAU)'!K73</f>
        <v>7655.9059019653778</v>
      </c>
      <c r="L176" s="19">
        <f>'Output - Jobs vs Yr (BAU)'!L55+'Output - Jobs vs Yr (BAU)'!L73</f>
        <v>7763.0924122891574</v>
      </c>
      <c r="M176" s="19">
        <f>'Output - Jobs vs Yr (BAU)'!M55+'Output - Jobs vs Yr (BAU)'!M73</f>
        <v>7809.5961887136309</v>
      </c>
      <c r="N176" s="182">
        <f>'Output - Jobs vs Yr (BAU)'!N55+'Output - Jobs vs Yr (BAU)'!N73</f>
        <v>7841.4647190562646</v>
      </c>
      <c r="O176" s="19">
        <f>'Output - Jobs vs Yr (BAU)'!O55+'Output - Jobs vs Yr (BAU)'!O73</f>
        <v>7854.4548335696954</v>
      </c>
      <c r="P176" s="19">
        <f>'Output - Jobs vs Yr (BAU)'!P55+'Output - Jobs vs Yr (BAU)'!P73</f>
        <v>7868.2271911682392</v>
      </c>
      <c r="Q176" s="19">
        <f>'Output - Jobs vs Yr (BAU)'!Q55+'Output - Jobs vs Yr (BAU)'!Q73</f>
        <v>7897.2449286417805</v>
      </c>
      <c r="R176" s="19">
        <f>'Output - Jobs vs Yr (BAU)'!R55+'Output - Jobs vs Yr (BAU)'!R73</f>
        <v>7920.2756252402814</v>
      </c>
      <c r="S176" s="19">
        <f>'Output - Jobs vs Yr (BAU)'!S55+'Output - Jobs vs Yr (BAU)'!S73</f>
        <v>7933.3952196801501</v>
      </c>
      <c r="T176" s="19">
        <f>'Output - Jobs vs Yr (BAU)'!T55+'Output - Jobs vs Yr (BAU)'!T73</f>
        <v>7935.7884001850698</v>
      </c>
      <c r="U176" s="19">
        <f>'Output - Jobs vs Yr (BAU)'!U55+'Output - Jobs vs Yr (BAU)'!U73</f>
        <v>7956.2753721940744</v>
      </c>
      <c r="V176" s="19">
        <f>'Output - Jobs vs Yr (BAU)'!V55+'Output - Jobs vs Yr (BAU)'!V73</f>
        <v>7946.7434325616268</v>
      </c>
      <c r="W176" s="19">
        <f>'Output - Jobs vs Yr (BAU)'!W55+'Output - Jobs vs Yr (BAU)'!W73</f>
        <v>7949.802899665774</v>
      </c>
      <c r="X176" s="182">
        <f>'Output - Jobs vs Yr (BAU)'!X55+'Output - Jobs vs Yr (BAU)'!X73</f>
        <v>7954.2172091011635</v>
      </c>
      <c r="Y176" s="206">
        <f>'Output - Jobs vs Yr (BAU)'!Y55+'Output - Jobs vs Yr (BAU)'!Y73</f>
        <v>7953.4021073793756</v>
      </c>
      <c r="Z176" s="206">
        <f>'Output - Jobs vs Yr (BAU)'!Z55+'Output - Jobs vs Yr (BAU)'!Z73</f>
        <v>7952.7833687514958</v>
      </c>
      <c r="AA176" s="206">
        <f>'Output - Jobs vs Yr (BAU)'!AA55+'Output - Jobs vs Yr (BAU)'!AA73</f>
        <v>7951.2709687342085</v>
      </c>
      <c r="AB176" s="206">
        <f>'Output - Jobs vs Yr (BAU)'!AB55+'Output - Jobs vs Yr (BAU)'!AB73</f>
        <v>7948.5470718175311</v>
      </c>
      <c r="AC176" s="206">
        <f>'Output - Jobs vs Yr (BAU)'!AC55+'Output - Jobs vs Yr (BAU)'!AC73</f>
        <v>7947.6601618849336</v>
      </c>
      <c r="AD176" s="206">
        <f>'Output - Jobs vs Yr (BAU)'!AD55+'Output - Jobs vs Yr (BAU)'!AD73</f>
        <v>7943.2309066721173</v>
      </c>
      <c r="AE176" s="206">
        <f>'Output - Jobs vs Yr (BAU)'!AE55+'Output - Jobs vs Yr (BAU)'!AE73</f>
        <v>7942.7171468664546</v>
      </c>
      <c r="AF176" s="206">
        <f>'Output - Jobs vs Yr (BAU)'!AF55+'Output - Jobs vs Yr (BAU)'!AF73</f>
        <v>7940.8717036820699</v>
      </c>
      <c r="AG176" s="206">
        <f>'Output - Jobs vs Yr (BAU)'!AG55+'Output - Jobs vs Yr (BAU)'!AG73</f>
        <v>7941.3890653822273</v>
      </c>
      <c r="AH176" s="182">
        <f>'Output - Jobs vs Yr (BAU)'!AH55+'Output - Jobs vs Yr (BAU)'!AH73</f>
        <v>7944.2102938284552</v>
      </c>
      <c r="AI176" s="1"/>
    </row>
    <row r="177" spans="1:49">
      <c r="A177" s="76" t="s">
        <v>300</v>
      </c>
      <c r="C177" s="334">
        <f>'Output - Jobs vs Yr (BAU)'!C55</f>
        <v>3989.5661999999998</v>
      </c>
      <c r="D177" s="334">
        <f>'Output - Jobs vs Yr (BAU)'!D55</f>
        <v>4135.2162000000008</v>
      </c>
      <c r="E177" s="334">
        <f>'Output - Jobs vs Yr (BAU)'!E55</f>
        <v>3886.3220194827786</v>
      </c>
      <c r="F177" s="334">
        <f>'Output - Jobs vs Yr (BAU)'!F55</f>
        <v>3771.7592066857369</v>
      </c>
      <c r="G177" s="334">
        <f>'Output - Jobs vs Yr (BAU)'!G55</f>
        <v>3857.8153868730114</v>
      </c>
      <c r="H177" s="404">
        <f>'Output - Jobs vs Yr (BAU)'!H55</f>
        <v>3862.0476097954252</v>
      </c>
      <c r="I177" s="19">
        <f>'Output - Jobs vs Yr (BAU)'!I55</f>
        <v>4123.0962443169547</v>
      </c>
      <c r="J177" s="19">
        <f>'Output - Jobs vs Yr (BAU)'!J55</f>
        <v>4067.8165936550372</v>
      </c>
      <c r="K177" s="19">
        <f>'Output - Jobs vs Yr (BAU)'!K55</f>
        <v>4029.424158929146</v>
      </c>
      <c r="L177" s="19">
        <f>'Output - Jobs vs Yr (BAU)'!L55</f>
        <v>4085.8381117311351</v>
      </c>
      <c r="M177" s="19">
        <f>'Output - Jobs vs Yr (BAU)'!M55</f>
        <v>4110.3137835334901</v>
      </c>
      <c r="N177" s="182">
        <f>'Output - Jobs vs Yr (BAU)'!N55</f>
        <v>4127.086694240139</v>
      </c>
      <c r="O177" s="19">
        <f>'Output - Jobs vs Yr (BAU)'!O55</f>
        <v>4133.9235966156293</v>
      </c>
      <c r="P177" s="19">
        <f>'Output - Jobs vs Yr (BAU)'!P55</f>
        <v>4141.1722058780206</v>
      </c>
      <c r="Q177" s="19">
        <f>'Output - Jobs vs Yr (BAU)'!Q55</f>
        <v>4156.4446992851472</v>
      </c>
      <c r="R177" s="19">
        <f>'Output - Jobs vs Yr (BAU)'!R55</f>
        <v>4168.5661185475165</v>
      </c>
      <c r="S177" s="19">
        <f>'Output - Jobs vs Yr (BAU)'!S55</f>
        <v>4175.4711682527104</v>
      </c>
      <c r="T177" s="19">
        <f>'Output - Jobs vs Yr (BAU)'!T55</f>
        <v>4176.7307369395103</v>
      </c>
      <c r="U177" s="19">
        <f>'Output - Jobs vs Yr (BAU)'!U55</f>
        <v>4187.5133537863549</v>
      </c>
      <c r="V177" s="19">
        <f>'Output - Jobs vs Yr (BAU)'!V55</f>
        <v>4182.4965434534879</v>
      </c>
      <c r="W177" s="19">
        <f>'Output - Jobs vs Yr (BAU)'!W55</f>
        <v>4184.1067892977753</v>
      </c>
      <c r="X177" s="182">
        <f>'Output - Jobs vs Yr (BAU)'!X55</f>
        <v>4186.4301100532439</v>
      </c>
      <c r="Y177" s="206">
        <f>'Output - Jobs vs Yr (BAU)'!Y55</f>
        <v>4186.0011091470396</v>
      </c>
      <c r="Z177" s="206">
        <f>'Output - Jobs vs Yr (BAU)'!Z55</f>
        <v>4185.6754572376294</v>
      </c>
      <c r="AA177" s="206">
        <f>'Output - Jobs vs Yr (BAU)'!AA55</f>
        <v>4184.8794572285306</v>
      </c>
      <c r="AB177" s="206">
        <f>'Output - Jobs vs Yr (BAU)'!AB55</f>
        <v>4183.445827272385</v>
      </c>
      <c r="AC177" s="206">
        <f>'Output - Jobs vs Yr (BAU)'!AC55</f>
        <v>4182.9790325710173</v>
      </c>
      <c r="AD177" s="206">
        <f>'Output - Jobs vs Yr (BAU)'!AD55</f>
        <v>4180.6478456169043</v>
      </c>
      <c r="AE177" s="206">
        <f>'Output - Jobs vs Yr (BAU)'!AE55</f>
        <v>4180.3774457191867</v>
      </c>
      <c r="AF177" s="206">
        <f>'Output - Jobs vs Yr (BAU)'!AF55</f>
        <v>4179.4061598326689</v>
      </c>
      <c r="AG177" s="206">
        <f>'Output - Jobs vs Yr (BAU)'!AG55</f>
        <v>4179.67845546433</v>
      </c>
      <c r="AH177" s="182">
        <f>'Output - Jobs vs Yr (BAU)'!AH55</f>
        <v>4181.1633125412918</v>
      </c>
      <c r="AI177" s="1"/>
    </row>
    <row r="178" spans="1:49">
      <c r="A178" s="76" t="s">
        <v>301</v>
      </c>
      <c r="C178" s="334">
        <f>'Output - Jobs vs Yr (BAU)'!C73</f>
        <v>3590.6095799999998</v>
      </c>
      <c r="D178" s="334">
        <f>'Output - Jobs vs Yr (BAU)'!D73</f>
        <v>3721.6945800000003</v>
      </c>
      <c r="E178" s="334">
        <f>'Output - Jobs vs Yr (BAU)'!E73</f>
        <v>3497.6898175345013</v>
      </c>
      <c r="F178" s="334">
        <f>'Output - Jobs vs Yr (BAU)'!F73</f>
        <v>3394.5832860171631</v>
      </c>
      <c r="G178" s="334">
        <f>'Output - Jobs vs Yr (BAU)'!G73</f>
        <v>3472.0338481857102</v>
      </c>
      <c r="H178" s="404">
        <f>'Output - Jobs vs Yr (BAU)'!H73</f>
        <v>3475.8428488158825</v>
      </c>
      <c r="I178" s="19">
        <f>'Output - Jobs vs Yr (BAU)'!I73</f>
        <v>3710.7866198852589</v>
      </c>
      <c r="J178" s="19">
        <f>'Output - Jobs vs Yr (BAU)'!J73</f>
        <v>3661.0349342895338</v>
      </c>
      <c r="K178" s="19">
        <f>'Output - Jobs vs Yr (BAU)'!K73</f>
        <v>3626.4817430362314</v>
      </c>
      <c r="L178" s="19">
        <f>'Output - Jobs vs Yr (BAU)'!L73</f>
        <v>3677.2543005580219</v>
      </c>
      <c r="M178" s="19">
        <f>'Output - Jobs vs Yr (BAU)'!M73</f>
        <v>3699.2824051801413</v>
      </c>
      <c r="N178" s="182">
        <f>'Output - Jobs vs Yr (BAU)'!N73</f>
        <v>3714.3780248161252</v>
      </c>
      <c r="O178" s="19">
        <f>'Output - Jobs vs Yr (BAU)'!O73</f>
        <v>3720.5312369540661</v>
      </c>
      <c r="P178" s="19">
        <f>'Output - Jobs vs Yr (BAU)'!P73</f>
        <v>3727.0549852902186</v>
      </c>
      <c r="Q178" s="19">
        <f>'Output - Jobs vs Yr (BAU)'!Q73</f>
        <v>3740.8002293566333</v>
      </c>
      <c r="R178" s="19">
        <f>'Output - Jobs vs Yr (BAU)'!R73</f>
        <v>3751.7095066927645</v>
      </c>
      <c r="S178" s="19">
        <f>'Output - Jobs vs Yr (BAU)'!S73</f>
        <v>3757.9240514274397</v>
      </c>
      <c r="T178" s="19">
        <f>'Output - Jobs vs Yr (BAU)'!T73</f>
        <v>3759.0576632455595</v>
      </c>
      <c r="U178" s="19">
        <f>'Output - Jobs vs Yr (BAU)'!U73</f>
        <v>3768.7620184077196</v>
      </c>
      <c r="V178" s="19">
        <f>'Output - Jobs vs Yr (BAU)'!V73</f>
        <v>3764.2468891081389</v>
      </c>
      <c r="W178" s="19">
        <f>'Output - Jobs vs Yr (BAU)'!W73</f>
        <v>3765.6961103679982</v>
      </c>
      <c r="X178" s="182">
        <f>'Output - Jobs vs Yr (BAU)'!X73</f>
        <v>3767.7870990479191</v>
      </c>
      <c r="Y178" s="206">
        <f>'Output - Jobs vs Yr (BAU)'!Y73</f>
        <v>3767.400998232336</v>
      </c>
      <c r="Z178" s="206">
        <f>'Output - Jobs vs Yr (BAU)'!Z73</f>
        <v>3767.1079115138668</v>
      </c>
      <c r="AA178" s="206">
        <f>'Output - Jobs vs Yr (BAU)'!AA73</f>
        <v>3766.3915115056784</v>
      </c>
      <c r="AB178" s="206">
        <f>'Output - Jobs vs Yr (BAU)'!AB73</f>
        <v>3765.1012445451461</v>
      </c>
      <c r="AC178" s="206">
        <f>'Output - Jobs vs Yr (BAU)'!AC73</f>
        <v>3764.6811293139162</v>
      </c>
      <c r="AD178" s="206">
        <f>'Output - Jobs vs Yr (BAU)'!AD73</f>
        <v>3762.5830610552134</v>
      </c>
      <c r="AE178" s="206">
        <f>'Output - Jobs vs Yr (BAU)'!AE73</f>
        <v>3762.3397011472684</v>
      </c>
      <c r="AF178" s="206">
        <f>'Output - Jobs vs Yr (BAU)'!AF73</f>
        <v>3761.465543849401</v>
      </c>
      <c r="AG178" s="206">
        <f>'Output - Jobs vs Yr (BAU)'!AG73</f>
        <v>3761.7106099178968</v>
      </c>
      <c r="AH178" s="182">
        <f>'Output - Jobs vs Yr (BAU)'!AH73</f>
        <v>3763.0469812871629</v>
      </c>
      <c r="AI178" s="80" t="s">
        <v>0</v>
      </c>
    </row>
    <row r="179" spans="1:49">
      <c r="A179" s="75" t="s">
        <v>298</v>
      </c>
      <c r="C179" s="331">
        <f>SUM(C118,C145)</f>
        <v>7582.4536099999996</v>
      </c>
      <c r="D179" s="331">
        <f t="shared" ref="D179:AH179" si="99">SUM(D118,D145)+D249+D252</f>
        <v>7821.7627421780453</v>
      </c>
      <c r="E179" s="331">
        <f t="shared" si="99"/>
        <v>7310.4949985935918</v>
      </c>
      <c r="F179" s="331">
        <f t="shared" si="99"/>
        <v>7116.0078495361631</v>
      </c>
      <c r="G179" s="331">
        <f t="shared" si="99"/>
        <v>7311.8889992970635</v>
      </c>
      <c r="H179" s="402">
        <f>SUM(H118,H145)+H249+H252</f>
        <v>7337.6184886113078</v>
      </c>
      <c r="I179" s="14">
        <f t="shared" si="99"/>
        <v>7838.7793318399763</v>
      </c>
      <c r="J179" s="14">
        <f t="shared" si="99"/>
        <v>7727.1584774945068</v>
      </c>
      <c r="K179" s="14">
        <f t="shared" si="99"/>
        <v>7649.9423063357708</v>
      </c>
      <c r="L179" s="14">
        <f t="shared" si="99"/>
        <v>7759.6068709075762</v>
      </c>
      <c r="M179" s="14">
        <f t="shared" si="99"/>
        <v>7861.6644704168421</v>
      </c>
      <c r="N179" s="187">
        <f t="shared" si="99"/>
        <v>7954.6555146226001</v>
      </c>
      <c r="O179" s="14">
        <f t="shared" si="99"/>
        <v>7987.4892690594424</v>
      </c>
      <c r="P179" s="14">
        <f t="shared" si="99"/>
        <v>8021.4628417916883</v>
      </c>
      <c r="Q179" s="14">
        <f t="shared" si="99"/>
        <v>8073.6765298978871</v>
      </c>
      <c r="R179" s="14">
        <f t="shared" si="99"/>
        <v>8119.3237296232255</v>
      </c>
      <c r="S179" s="14">
        <f t="shared" si="99"/>
        <v>8153.8850234748197</v>
      </c>
      <c r="T179" s="14">
        <f t="shared" si="99"/>
        <v>8176.2560760032939</v>
      </c>
      <c r="U179" s="14">
        <f t="shared" si="99"/>
        <v>8211.5981636081378</v>
      </c>
      <c r="V179" s="14">
        <f t="shared" si="99"/>
        <v>8220.6971496106198</v>
      </c>
      <c r="W179" s="14">
        <f t="shared" si="99"/>
        <v>8244.9906744868895</v>
      </c>
      <c r="X179" s="187">
        <f t="shared" si="99"/>
        <v>8270.3468097287205</v>
      </c>
      <c r="Y179" s="158">
        <f t="shared" si="99"/>
        <v>8273.0079024240804</v>
      </c>
      <c r="Z179" s="158">
        <f t="shared" si="99"/>
        <v>8274.822129414797</v>
      </c>
      <c r="AA179" s="158">
        <f t="shared" si="99"/>
        <v>8276.2992539115421</v>
      </c>
      <c r="AB179" s="158">
        <f t="shared" si="99"/>
        <v>8275.8563389308438</v>
      </c>
      <c r="AC179" s="158">
        <f t="shared" si="99"/>
        <v>8277.5957575140728</v>
      </c>
      <c r="AD179" s="158">
        <f t="shared" si="99"/>
        <v>8276.1359336975747</v>
      </c>
      <c r="AE179" s="158">
        <f t="shared" si="99"/>
        <v>8277.6755731148114</v>
      </c>
      <c r="AF179" s="158">
        <f t="shared" si="99"/>
        <v>8278.1446286784612</v>
      </c>
      <c r="AG179" s="158">
        <f t="shared" si="99"/>
        <v>8280.8384622642279</v>
      </c>
      <c r="AH179" s="187">
        <f t="shared" si="99"/>
        <v>8285.4427823444839</v>
      </c>
    </row>
    <row r="180" spans="1:49">
      <c r="A180" s="76" t="s">
        <v>302</v>
      </c>
      <c r="C180" s="331">
        <f>C118</f>
        <v>3990.7651999999998</v>
      </c>
      <c r="D180" s="331">
        <f t="shared" ref="D180:AH180" si="100">D118+D250+D253</f>
        <v>4116.7173792291369</v>
      </c>
      <c r="E180" s="331">
        <f t="shared" si="100"/>
        <v>3847.6290887334694</v>
      </c>
      <c r="F180" s="331">
        <f t="shared" si="100"/>
        <v>3745.2674313348225</v>
      </c>
      <c r="G180" s="331">
        <f t="shared" si="100"/>
        <v>3848.3627733142444</v>
      </c>
      <c r="H180" s="402">
        <f t="shared" si="100"/>
        <v>3861.9046097954256</v>
      </c>
      <c r="I180" s="14">
        <f t="shared" si="100"/>
        <v>4125.6734848108408</v>
      </c>
      <c r="J180" s="14">
        <f t="shared" si="100"/>
        <v>4066.9256648082419</v>
      </c>
      <c r="K180" s="14">
        <f t="shared" si="100"/>
        <v>4026.2855752014698</v>
      </c>
      <c r="L180" s="14">
        <f t="shared" si="100"/>
        <v>4084.0037717369987</v>
      </c>
      <c r="M180" s="14">
        <f t="shared" si="100"/>
        <v>4137.7183011459647</v>
      </c>
      <c r="N180" s="187">
        <f t="shared" si="100"/>
        <v>4186.6609590618309</v>
      </c>
      <c r="O180" s="14">
        <f t="shared" si="100"/>
        <v>4203.9418857424353</v>
      </c>
      <c r="P180" s="14">
        <f t="shared" si="100"/>
        <v>4221.8227168706035</v>
      </c>
      <c r="Q180" s="14">
        <f t="shared" si="100"/>
        <v>4249.3036091710892</v>
      </c>
      <c r="R180" s="14">
        <f t="shared" si="100"/>
        <v>4273.3284548860347</v>
      </c>
      <c r="S180" s="14">
        <f t="shared" si="100"/>
        <v>4291.5186131243436</v>
      </c>
      <c r="T180" s="14">
        <f t="shared" si="100"/>
        <v>4303.2928546665535</v>
      </c>
      <c r="U180" s="14">
        <f t="shared" si="100"/>
        <v>4321.8939571246956</v>
      </c>
      <c r="V180" s="14">
        <f t="shared" si="100"/>
        <v>4326.6829003037546</v>
      </c>
      <c r="W180" s="14">
        <f t="shared" si="100"/>
        <v>4339.4689696088153</v>
      </c>
      <c r="X180" s="187">
        <f t="shared" si="100"/>
        <v>4352.8143076107426</v>
      </c>
      <c r="Y180" s="158">
        <f t="shared" si="100"/>
        <v>4354.2148833370647</v>
      </c>
      <c r="Z180" s="158">
        <f t="shared" si="100"/>
        <v>4355.1697402527698</v>
      </c>
      <c r="AA180" s="158">
        <f t="shared" si="100"/>
        <v>4355.9471747963162</v>
      </c>
      <c r="AB180" s="158">
        <f t="shared" si="100"/>
        <v>4355.7140622017369</v>
      </c>
      <c r="AC180" s="158">
        <f t="shared" si="100"/>
        <v>4356.6295462737908</v>
      </c>
      <c r="AD180" s="158">
        <f t="shared" si="100"/>
        <v>4355.8612184805261</v>
      </c>
      <c r="AE180" s="158">
        <f t="shared" si="100"/>
        <v>4356.6715556212439</v>
      </c>
      <c r="AF180" s="158">
        <f t="shared" si="100"/>
        <v>4356.9184275513317</v>
      </c>
      <c r="AG180" s="158">
        <f t="shared" si="100"/>
        <v>4358.3362353381863</v>
      </c>
      <c r="AH180" s="187">
        <f t="shared" si="100"/>
        <v>4360.759562384952</v>
      </c>
    </row>
    <row r="181" spans="1:49">
      <c r="A181" s="76" t="s">
        <v>303</v>
      </c>
      <c r="C181" s="331">
        <f>C145</f>
        <v>3591.6884099999997</v>
      </c>
      <c r="D181" s="331">
        <f t="shared" ref="D181:AH181" si="101">D145+D251+D254</f>
        <v>3705.045362948908</v>
      </c>
      <c r="E181" s="331">
        <f t="shared" si="101"/>
        <v>3462.8659098601224</v>
      </c>
      <c r="F181" s="331">
        <f t="shared" si="101"/>
        <v>3370.7404182013406</v>
      </c>
      <c r="G181" s="331">
        <f t="shared" si="101"/>
        <v>3463.5262259828196</v>
      </c>
      <c r="H181" s="402">
        <f>H145+H251+H254</f>
        <v>3475.7138788158827</v>
      </c>
      <c r="I181" s="14">
        <f t="shared" si="101"/>
        <v>3713.1058470291359</v>
      </c>
      <c r="J181" s="14">
        <f t="shared" si="101"/>
        <v>3660.2328126862649</v>
      </c>
      <c r="K181" s="14">
        <f t="shared" si="101"/>
        <v>3623.656731134301</v>
      </c>
      <c r="L181" s="14">
        <f t="shared" si="101"/>
        <v>3675.6030991705775</v>
      </c>
      <c r="M181" s="14">
        <f t="shared" si="101"/>
        <v>3723.9461692708774</v>
      </c>
      <c r="N181" s="187">
        <f t="shared" si="101"/>
        <v>3767.9945555607692</v>
      </c>
      <c r="O181" s="14">
        <f t="shared" si="101"/>
        <v>3783.5473833170076</v>
      </c>
      <c r="P181" s="14">
        <f t="shared" si="101"/>
        <v>3799.6401249210849</v>
      </c>
      <c r="Q181" s="14">
        <f t="shared" si="101"/>
        <v>3824.3729207267979</v>
      </c>
      <c r="R181" s="14">
        <f t="shared" si="101"/>
        <v>3845.9952747371908</v>
      </c>
      <c r="S181" s="14">
        <f t="shared" si="101"/>
        <v>3862.3664103504761</v>
      </c>
      <c r="T181" s="14">
        <f t="shared" si="101"/>
        <v>3872.9632213367404</v>
      </c>
      <c r="U181" s="14">
        <f t="shared" si="101"/>
        <v>3889.7042064834418</v>
      </c>
      <c r="V181" s="14">
        <f t="shared" si="101"/>
        <v>3894.0142493068643</v>
      </c>
      <c r="W181" s="14">
        <f t="shared" si="101"/>
        <v>3905.5217048780746</v>
      </c>
      <c r="X181" s="187">
        <f t="shared" si="101"/>
        <v>3917.5325021179774</v>
      </c>
      <c r="Y181" s="158">
        <f t="shared" si="101"/>
        <v>3918.7930190870156</v>
      </c>
      <c r="Z181" s="158">
        <f t="shared" si="101"/>
        <v>3919.6523891620268</v>
      </c>
      <c r="AA181" s="158">
        <f t="shared" si="101"/>
        <v>3920.3520791152259</v>
      </c>
      <c r="AB181" s="158">
        <f t="shared" si="101"/>
        <v>3920.1422767291078</v>
      </c>
      <c r="AC181" s="158">
        <f t="shared" si="101"/>
        <v>3920.9662112402825</v>
      </c>
      <c r="AD181" s="158">
        <f t="shared" si="101"/>
        <v>3920.2747152170482</v>
      </c>
      <c r="AE181" s="158">
        <f t="shared" si="101"/>
        <v>3921.0040174935666</v>
      </c>
      <c r="AF181" s="158">
        <f t="shared" si="101"/>
        <v>3921.2262011271296</v>
      </c>
      <c r="AG181" s="158">
        <f t="shared" si="101"/>
        <v>3922.5022269260421</v>
      </c>
      <c r="AH181" s="187">
        <f t="shared" si="101"/>
        <v>3924.6832199595324</v>
      </c>
      <c r="AI181" s="31" t="s">
        <v>0</v>
      </c>
    </row>
    <row r="182" spans="1:49" s="1" customFormat="1">
      <c r="A182" s="75" t="s">
        <v>304</v>
      </c>
      <c r="B182" s="13"/>
      <c r="C182" s="341" t="s">
        <v>0</v>
      </c>
      <c r="D182" s="341">
        <f t="shared" ref="D182:AH182" si="102">D179-D176</f>
        <v>-35.148037821955768</v>
      </c>
      <c r="E182" s="341">
        <f t="shared" si="102"/>
        <v>-73.516838423688569</v>
      </c>
      <c r="F182" s="341">
        <f t="shared" si="102"/>
        <v>-50.334643166736896</v>
      </c>
      <c r="G182" s="341">
        <f t="shared" si="102"/>
        <v>-17.960235761658623</v>
      </c>
      <c r="H182" s="405">
        <f>H179-H176</f>
        <v>-0.27196999999978289</v>
      </c>
      <c r="I182" s="15">
        <f t="shared" si="102"/>
        <v>4.8964676377627256</v>
      </c>
      <c r="J182" s="15">
        <f t="shared" si="102"/>
        <v>-1.6930504500642201</v>
      </c>
      <c r="K182" s="15">
        <f t="shared" si="102"/>
        <v>-5.9635956296069708</v>
      </c>
      <c r="L182" s="15">
        <f t="shared" si="102"/>
        <v>-3.4855413815812426</v>
      </c>
      <c r="M182" s="15">
        <f t="shared" si="102"/>
        <v>52.068281703211142</v>
      </c>
      <c r="N182" s="190">
        <f t="shared" si="102"/>
        <v>113.19079556633551</v>
      </c>
      <c r="O182" s="15">
        <f t="shared" si="102"/>
        <v>133.03443548974701</v>
      </c>
      <c r="P182" s="15">
        <f t="shared" si="102"/>
        <v>153.23565062344915</v>
      </c>
      <c r="Q182" s="15">
        <f t="shared" si="102"/>
        <v>176.43160125610666</v>
      </c>
      <c r="R182" s="15">
        <f t="shared" si="102"/>
        <v>199.04810438294408</v>
      </c>
      <c r="S182" s="15">
        <f t="shared" si="102"/>
        <v>220.48980379466957</v>
      </c>
      <c r="T182" s="15">
        <f t="shared" si="102"/>
        <v>240.46767581822405</v>
      </c>
      <c r="U182" s="15">
        <f t="shared" si="102"/>
        <v>255.32279141406343</v>
      </c>
      <c r="V182" s="15">
        <f t="shared" si="102"/>
        <v>273.95371704899298</v>
      </c>
      <c r="W182" s="15">
        <f t="shared" si="102"/>
        <v>295.18777482111545</v>
      </c>
      <c r="X182" s="190">
        <f t="shared" si="102"/>
        <v>316.12960062755701</v>
      </c>
      <c r="Y182" s="130">
        <f t="shared" si="102"/>
        <v>319.60579504470479</v>
      </c>
      <c r="Z182" s="130">
        <f t="shared" si="102"/>
        <v>322.03876066330122</v>
      </c>
      <c r="AA182" s="130">
        <f t="shared" si="102"/>
        <v>325.0282851773336</v>
      </c>
      <c r="AB182" s="130">
        <f t="shared" si="102"/>
        <v>327.30926711331267</v>
      </c>
      <c r="AC182" s="130">
        <f t="shared" si="102"/>
        <v>329.93559562913924</v>
      </c>
      <c r="AD182" s="130">
        <f t="shared" si="102"/>
        <v>332.90502702545746</v>
      </c>
      <c r="AE182" s="130">
        <f t="shared" si="102"/>
        <v>334.95842624835677</v>
      </c>
      <c r="AF182" s="130">
        <f t="shared" si="102"/>
        <v>337.27292499639134</v>
      </c>
      <c r="AG182" s="130">
        <f t="shared" si="102"/>
        <v>339.44939688200066</v>
      </c>
      <c r="AH182" s="190">
        <f t="shared" si="102"/>
        <v>341.23248851602875</v>
      </c>
    </row>
    <row r="183" spans="1:49" s="20" customFormat="1">
      <c r="A183" s="20" t="s">
        <v>305</v>
      </c>
      <c r="B183" s="33"/>
      <c r="C183" s="334" t="s">
        <v>0</v>
      </c>
      <c r="D183" s="334">
        <f t="shared" ref="D183:AH183" si="103">D180-D177</f>
        <v>-18.498820770863858</v>
      </c>
      <c r="E183" s="334">
        <f t="shared" si="103"/>
        <v>-38.692930749309198</v>
      </c>
      <c r="F183" s="334">
        <f t="shared" si="103"/>
        <v>-26.491775350914395</v>
      </c>
      <c r="G183" s="334">
        <f t="shared" si="103"/>
        <v>-9.4526135587670979</v>
      </c>
      <c r="H183" s="404">
        <f>H180-H177</f>
        <v>-0.14299999999957436</v>
      </c>
      <c r="I183" s="19">
        <f t="shared" si="103"/>
        <v>2.5772404938861655</v>
      </c>
      <c r="J183" s="19">
        <f t="shared" si="103"/>
        <v>-0.89092884679530471</v>
      </c>
      <c r="K183" s="19">
        <f t="shared" si="103"/>
        <v>-3.1385837276761777</v>
      </c>
      <c r="L183" s="19">
        <f t="shared" si="103"/>
        <v>-1.8343399941363714</v>
      </c>
      <c r="M183" s="19">
        <f t="shared" si="103"/>
        <v>27.404517612474592</v>
      </c>
      <c r="N183" s="182">
        <f t="shared" si="103"/>
        <v>59.574264821691941</v>
      </c>
      <c r="O183" s="19">
        <f t="shared" si="103"/>
        <v>70.018289126805939</v>
      </c>
      <c r="P183" s="19">
        <f t="shared" si="103"/>
        <v>80.650510992582895</v>
      </c>
      <c r="Q183" s="19">
        <f t="shared" si="103"/>
        <v>92.858909885942012</v>
      </c>
      <c r="R183" s="19">
        <f t="shared" si="103"/>
        <v>104.76233633851825</v>
      </c>
      <c r="S183" s="19">
        <f t="shared" si="103"/>
        <v>116.04744487163316</v>
      </c>
      <c r="T183" s="19">
        <f t="shared" si="103"/>
        <v>126.56211772704319</v>
      </c>
      <c r="U183" s="19">
        <f t="shared" si="103"/>
        <v>134.38060333834073</v>
      </c>
      <c r="V183" s="19">
        <f t="shared" si="103"/>
        <v>144.18635685026675</v>
      </c>
      <c r="W183" s="19">
        <f t="shared" si="103"/>
        <v>155.36218031103999</v>
      </c>
      <c r="X183" s="182">
        <f t="shared" si="103"/>
        <v>166.38419755749874</v>
      </c>
      <c r="Y183" s="206">
        <f t="shared" si="103"/>
        <v>168.21377419002511</v>
      </c>
      <c r="Z183" s="206">
        <f t="shared" si="103"/>
        <v>169.49428301514035</v>
      </c>
      <c r="AA183" s="206">
        <f t="shared" si="103"/>
        <v>171.06771756778562</v>
      </c>
      <c r="AB183" s="206">
        <f t="shared" si="103"/>
        <v>172.26823492935182</v>
      </c>
      <c r="AC183" s="206">
        <f t="shared" si="103"/>
        <v>173.65051370277342</v>
      </c>
      <c r="AD183" s="206">
        <f t="shared" si="103"/>
        <v>175.21337286362177</v>
      </c>
      <c r="AE183" s="206">
        <f t="shared" si="103"/>
        <v>176.29410990205724</v>
      </c>
      <c r="AF183" s="206">
        <f t="shared" si="103"/>
        <v>177.51226771866277</v>
      </c>
      <c r="AG183" s="206">
        <f t="shared" si="103"/>
        <v>178.65777987385627</v>
      </c>
      <c r="AH183" s="182">
        <f t="shared" si="103"/>
        <v>179.59624984366019</v>
      </c>
    </row>
    <row r="184" spans="1:49" s="20" customFormat="1">
      <c r="A184" s="20" t="s">
        <v>306</v>
      </c>
      <c r="B184" s="33"/>
      <c r="C184" s="334" t="s">
        <v>0</v>
      </c>
      <c r="D184" s="334">
        <f t="shared" ref="D184:AH184" si="104">D181-D178</f>
        <v>-16.649217051092364</v>
      </c>
      <c r="E184" s="334">
        <f t="shared" si="104"/>
        <v>-34.823907674378916</v>
      </c>
      <c r="F184" s="334">
        <f t="shared" si="104"/>
        <v>-23.842867815822501</v>
      </c>
      <c r="G184" s="334">
        <f t="shared" si="104"/>
        <v>-8.5076222028906159</v>
      </c>
      <c r="H184" s="404">
        <f t="shared" si="104"/>
        <v>-0.12896999999975378</v>
      </c>
      <c r="I184" s="19">
        <f t="shared" si="104"/>
        <v>2.3192271438770149</v>
      </c>
      <c r="J184" s="19">
        <f t="shared" si="104"/>
        <v>-0.80212160326891535</v>
      </c>
      <c r="K184" s="19">
        <f t="shared" si="104"/>
        <v>-2.8250119019303384</v>
      </c>
      <c r="L184" s="19">
        <f t="shared" si="104"/>
        <v>-1.6512013874444165</v>
      </c>
      <c r="M184" s="19">
        <f t="shared" si="104"/>
        <v>24.663764090736095</v>
      </c>
      <c r="N184" s="182">
        <f t="shared" si="104"/>
        <v>53.616530744644024</v>
      </c>
      <c r="O184" s="19">
        <f t="shared" si="104"/>
        <v>63.016146362941527</v>
      </c>
      <c r="P184" s="19">
        <f t="shared" si="104"/>
        <v>72.585139630866252</v>
      </c>
      <c r="Q184" s="19">
        <f t="shared" si="104"/>
        <v>83.572691370164648</v>
      </c>
      <c r="R184" s="19">
        <f t="shared" si="104"/>
        <v>94.285768044426277</v>
      </c>
      <c r="S184" s="19">
        <f t="shared" si="104"/>
        <v>104.44235892303641</v>
      </c>
      <c r="T184" s="19">
        <f t="shared" si="104"/>
        <v>113.90555809118086</v>
      </c>
      <c r="U184" s="19">
        <f t="shared" si="104"/>
        <v>120.94218807572224</v>
      </c>
      <c r="V184" s="19">
        <f t="shared" si="104"/>
        <v>129.76736019872533</v>
      </c>
      <c r="W184" s="19">
        <f t="shared" si="104"/>
        <v>139.82559451007637</v>
      </c>
      <c r="X184" s="182">
        <f t="shared" si="104"/>
        <v>149.74540307005827</v>
      </c>
      <c r="Y184" s="206">
        <f t="shared" si="104"/>
        <v>151.39202085467969</v>
      </c>
      <c r="Z184" s="206">
        <f t="shared" si="104"/>
        <v>152.54447764815995</v>
      </c>
      <c r="AA184" s="206">
        <f t="shared" si="104"/>
        <v>153.96056760954752</v>
      </c>
      <c r="AB184" s="206">
        <f t="shared" si="104"/>
        <v>155.04103218396176</v>
      </c>
      <c r="AC184" s="206">
        <f t="shared" si="104"/>
        <v>156.28508192636627</v>
      </c>
      <c r="AD184" s="206">
        <f t="shared" si="104"/>
        <v>157.69165416183478</v>
      </c>
      <c r="AE184" s="206">
        <f t="shared" si="104"/>
        <v>158.66431634629816</v>
      </c>
      <c r="AF184" s="206">
        <f t="shared" si="104"/>
        <v>159.76065727772857</v>
      </c>
      <c r="AG184" s="206">
        <f t="shared" si="104"/>
        <v>160.79161700814529</v>
      </c>
      <c r="AH184" s="182">
        <f t="shared" si="104"/>
        <v>161.63623867236947</v>
      </c>
    </row>
    <row r="185" spans="1:49" s="1" customFormat="1">
      <c r="A185" s="1" t="s">
        <v>450</v>
      </c>
      <c r="B185" s="13"/>
      <c r="C185" s="341"/>
      <c r="D185" s="341">
        <f>D182</f>
        <v>-35.148037821955768</v>
      </c>
      <c r="E185" s="341">
        <f>D185+E182</f>
        <v>-108.66487624564434</v>
      </c>
      <c r="F185" s="341">
        <f t="shared" ref="E185:N187" si="105">E185+F182</f>
        <v>-158.99951941238123</v>
      </c>
      <c r="G185" s="341">
        <f t="shared" si="105"/>
        <v>-176.95975517403986</v>
      </c>
      <c r="H185" s="405">
        <f>H182</f>
        <v>-0.27196999999978289</v>
      </c>
      <c r="I185" s="15">
        <f t="shared" si="105"/>
        <v>4.6244976377629428</v>
      </c>
      <c r="J185" s="15">
        <f t="shared" si="105"/>
        <v>2.9314471876987227</v>
      </c>
      <c r="K185" s="15">
        <f t="shared" si="105"/>
        <v>-3.0321484419082481</v>
      </c>
      <c r="L185" s="15">
        <f t="shared" si="105"/>
        <v>-6.5176898234894907</v>
      </c>
      <c r="M185" s="15">
        <f t="shared" si="105"/>
        <v>45.550591879721651</v>
      </c>
      <c r="N185" s="15">
        <f t="shared" si="105"/>
        <v>158.74138744605716</v>
      </c>
      <c r="O185" s="15">
        <f t="shared" ref="O185:X185" si="106">N185+O182</f>
        <v>291.77582293580417</v>
      </c>
      <c r="P185" s="15">
        <f t="shared" si="106"/>
        <v>445.01147355925332</v>
      </c>
      <c r="Q185" s="15">
        <f t="shared" si="106"/>
        <v>621.44307481535998</v>
      </c>
      <c r="R185" s="15">
        <f t="shared" si="106"/>
        <v>820.49117919830405</v>
      </c>
      <c r="S185" s="130">
        <f t="shared" si="106"/>
        <v>1040.9809829929736</v>
      </c>
      <c r="T185" s="15">
        <f t="shared" si="106"/>
        <v>1281.4486588111977</v>
      </c>
      <c r="U185" s="15">
        <f t="shared" si="106"/>
        <v>1536.7714502252611</v>
      </c>
      <c r="V185" s="15">
        <f t="shared" si="106"/>
        <v>1810.7251672742541</v>
      </c>
      <c r="W185" s="15">
        <f t="shared" si="106"/>
        <v>2105.9129420953695</v>
      </c>
      <c r="X185" s="190">
        <f t="shared" si="106"/>
        <v>2422.0425427229266</v>
      </c>
      <c r="Y185" s="130">
        <f t="shared" ref="Y185:AH185" si="107">X185+Y182</f>
        <v>2741.6483377676313</v>
      </c>
      <c r="Z185" s="130">
        <f t="shared" si="107"/>
        <v>3063.6870984309326</v>
      </c>
      <c r="AA185" s="130">
        <f t="shared" si="107"/>
        <v>3388.7153836082662</v>
      </c>
      <c r="AB185" s="130">
        <f t="shared" si="107"/>
        <v>3716.0246507215788</v>
      </c>
      <c r="AC185" s="130">
        <f t="shared" si="107"/>
        <v>4045.9602463507181</v>
      </c>
      <c r="AD185" s="130">
        <f t="shared" si="107"/>
        <v>4378.8652733761755</v>
      </c>
      <c r="AE185" s="130">
        <f t="shared" si="107"/>
        <v>4713.8236996245323</v>
      </c>
      <c r="AF185" s="130">
        <f t="shared" si="107"/>
        <v>5051.0966246209236</v>
      </c>
      <c r="AG185" s="130">
        <f t="shared" si="107"/>
        <v>5390.5460215029243</v>
      </c>
      <c r="AH185" s="190">
        <f t="shared" si="107"/>
        <v>5731.7785100189531</v>
      </c>
    </row>
    <row r="186" spans="1:49" s="20" customFormat="1">
      <c r="A186" s="20" t="s">
        <v>451</v>
      </c>
      <c r="B186" s="33"/>
      <c r="C186" s="334"/>
      <c r="D186" s="334">
        <f>D183</f>
        <v>-18.498820770863858</v>
      </c>
      <c r="E186" s="334">
        <f t="shared" si="105"/>
        <v>-57.191751520173057</v>
      </c>
      <c r="F186" s="334">
        <f t="shared" si="105"/>
        <v>-83.683526871087452</v>
      </c>
      <c r="G186" s="334">
        <f t="shared" si="105"/>
        <v>-93.136140429854549</v>
      </c>
      <c r="H186" s="404">
        <f t="shared" si="105"/>
        <v>-93.279140429854124</v>
      </c>
      <c r="I186" s="19">
        <f t="shared" ref="I186:X186" si="108">H186+I183</f>
        <v>-90.701899935967958</v>
      </c>
      <c r="J186" s="19">
        <f t="shared" si="108"/>
        <v>-91.592828782763263</v>
      </c>
      <c r="K186" s="19">
        <f t="shared" si="108"/>
        <v>-94.731412510439441</v>
      </c>
      <c r="L186" s="19">
        <f t="shared" si="108"/>
        <v>-96.565752504575812</v>
      </c>
      <c r="M186" s="19">
        <f t="shared" si="108"/>
        <v>-69.16123489210122</v>
      </c>
      <c r="N186" s="182">
        <f t="shared" si="108"/>
        <v>-9.5869700704092793</v>
      </c>
      <c r="O186" s="19">
        <f t="shared" si="108"/>
        <v>60.43131905639666</v>
      </c>
      <c r="P186" s="19">
        <f t="shared" si="108"/>
        <v>141.08183004897955</v>
      </c>
      <c r="Q186" s="19">
        <f t="shared" si="108"/>
        <v>233.94073993492157</v>
      </c>
      <c r="R186" s="19">
        <f t="shared" si="108"/>
        <v>338.70307627343982</v>
      </c>
      <c r="S186" s="206">
        <f t="shared" si="108"/>
        <v>454.75052114507298</v>
      </c>
      <c r="T186" s="19">
        <f t="shared" si="108"/>
        <v>581.31263887211617</v>
      </c>
      <c r="U186" s="19">
        <f t="shared" si="108"/>
        <v>715.6932422104569</v>
      </c>
      <c r="V186" s="19">
        <f t="shared" si="108"/>
        <v>859.87959906072365</v>
      </c>
      <c r="W186" s="19">
        <f t="shared" si="108"/>
        <v>1015.2417793717636</v>
      </c>
      <c r="X186" s="182">
        <f t="shared" si="108"/>
        <v>1181.6259769292624</v>
      </c>
      <c r="Y186" s="206">
        <f t="shared" ref="Y186:AH186" si="109">X186+Y183</f>
        <v>1349.8397511192875</v>
      </c>
      <c r="Z186" s="206">
        <f t="shared" si="109"/>
        <v>1519.3340341344278</v>
      </c>
      <c r="AA186" s="206">
        <f t="shared" si="109"/>
        <v>1690.4017517022135</v>
      </c>
      <c r="AB186" s="206">
        <f t="shared" si="109"/>
        <v>1862.6699866315653</v>
      </c>
      <c r="AC186" s="206">
        <f t="shared" si="109"/>
        <v>2036.3205003343387</v>
      </c>
      <c r="AD186" s="206">
        <f t="shared" si="109"/>
        <v>2211.5338731979605</v>
      </c>
      <c r="AE186" s="206">
        <f t="shared" si="109"/>
        <v>2387.8279831000177</v>
      </c>
      <c r="AF186" s="206">
        <f t="shared" si="109"/>
        <v>2565.3402508186805</v>
      </c>
      <c r="AG186" s="206">
        <f t="shared" si="109"/>
        <v>2743.9980306925368</v>
      </c>
      <c r="AH186" s="182">
        <f t="shared" si="109"/>
        <v>2923.5942805361969</v>
      </c>
    </row>
    <row r="187" spans="1:49" s="20" customFormat="1">
      <c r="A187" s="20" t="s">
        <v>452</v>
      </c>
      <c r="B187" s="33"/>
      <c r="C187" s="334"/>
      <c r="D187" s="334">
        <f>D184</f>
        <v>-16.649217051092364</v>
      </c>
      <c r="E187" s="334">
        <f t="shared" si="105"/>
        <v>-51.47312472547128</v>
      </c>
      <c r="F187" s="334">
        <f t="shared" si="105"/>
        <v>-75.315992541293781</v>
      </c>
      <c r="G187" s="334">
        <f t="shared" si="105"/>
        <v>-83.823614744184397</v>
      </c>
      <c r="H187" s="404">
        <f t="shared" si="105"/>
        <v>-83.952584744184151</v>
      </c>
      <c r="I187" s="19">
        <f t="shared" ref="I187:X187" si="110">H187+I184</f>
        <v>-81.633357600307136</v>
      </c>
      <c r="J187" s="19">
        <f t="shared" si="110"/>
        <v>-82.435479203576051</v>
      </c>
      <c r="K187" s="19">
        <f t="shared" si="110"/>
        <v>-85.260491105506389</v>
      </c>
      <c r="L187" s="19">
        <f t="shared" si="110"/>
        <v>-86.911692492950806</v>
      </c>
      <c r="M187" s="19">
        <f t="shared" si="110"/>
        <v>-62.247928402214711</v>
      </c>
      <c r="N187" s="182">
        <f t="shared" si="110"/>
        <v>-8.6313976575706874</v>
      </c>
      <c r="O187" s="19">
        <f t="shared" si="110"/>
        <v>54.384748705370839</v>
      </c>
      <c r="P187" s="19">
        <f t="shared" si="110"/>
        <v>126.96988833623709</v>
      </c>
      <c r="Q187" s="19">
        <f t="shared" si="110"/>
        <v>210.54257970640174</v>
      </c>
      <c r="R187" s="19">
        <f t="shared" si="110"/>
        <v>304.82834775082802</v>
      </c>
      <c r="S187" s="206">
        <f t="shared" si="110"/>
        <v>409.27070667386442</v>
      </c>
      <c r="T187" s="19">
        <f t="shared" si="110"/>
        <v>523.17626476504529</v>
      </c>
      <c r="U187" s="19">
        <f t="shared" si="110"/>
        <v>644.11845284076753</v>
      </c>
      <c r="V187" s="19">
        <f t="shared" si="110"/>
        <v>773.88581303949286</v>
      </c>
      <c r="W187" s="19">
        <f t="shared" si="110"/>
        <v>913.71140754956923</v>
      </c>
      <c r="X187" s="182">
        <f t="shared" si="110"/>
        <v>1063.4568106196275</v>
      </c>
      <c r="Y187" s="206">
        <f t="shared" ref="Y187:AH187" si="111">X187+Y184</f>
        <v>1214.8488314743072</v>
      </c>
      <c r="Z187" s="206">
        <f t="shared" si="111"/>
        <v>1367.3933091224671</v>
      </c>
      <c r="AA187" s="206">
        <f t="shared" si="111"/>
        <v>1521.3538767320147</v>
      </c>
      <c r="AB187" s="206">
        <f t="shared" si="111"/>
        <v>1676.3949089159764</v>
      </c>
      <c r="AC187" s="206">
        <f t="shared" si="111"/>
        <v>1832.6799908423427</v>
      </c>
      <c r="AD187" s="206">
        <f t="shared" si="111"/>
        <v>1990.3716450041775</v>
      </c>
      <c r="AE187" s="206">
        <f t="shared" si="111"/>
        <v>2149.0359613504756</v>
      </c>
      <c r="AF187" s="206">
        <f t="shared" si="111"/>
        <v>2308.7966186282042</v>
      </c>
      <c r="AG187" s="206">
        <f t="shared" si="111"/>
        <v>2469.5882356363495</v>
      </c>
      <c r="AH187" s="182">
        <f t="shared" si="111"/>
        <v>2631.224474308719</v>
      </c>
    </row>
    <row r="188" spans="1:49" s="519" customFormat="1">
      <c r="A188" s="519" t="s">
        <v>550</v>
      </c>
      <c r="B188" s="520"/>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row>
    <row r="189" spans="1:49" s="1" customFormat="1">
      <c r="B189" s="13"/>
      <c r="C189" s="341"/>
      <c r="D189" s="341"/>
      <c r="E189" s="341"/>
      <c r="F189" s="341"/>
      <c r="G189" s="341"/>
      <c r="H189" s="405"/>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80"/>
    </row>
    <row r="190" spans="1:49" s="1" customFormat="1">
      <c r="A190" s="1" t="s">
        <v>412</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49">
      <c r="A191" t="s">
        <v>406</v>
      </c>
      <c r="I191" s="112"/>
      <c r="J191" s="112"/>
      <c r="K191" s="112"/>
      <c r="L191" s="112"/>
      <c r="M191" s="131"/>
      <c r="N191" s="192"/>
      <c r="O191" s="131"/>
      <c r="P191" s="112"/>
      <c r="Q191" s="112"/>
      <c r="R191" s="131"/>
      <c r="S191" s="131"/>
      <c r="T191" s="131"/>
      <c r="U191" s="131"/>
      <c r="V191" s="112"/>
      <c r="W191" s="112"/>
    </row>
    <row r="192" spans="1:49">
      <c r="A192" t="s">
        <v>407</v>
      </c>
      <c r="I192" s="112"/>
      <c r="J192" s="112"/>
      <c r="K192" s="112"/>
      <c r="L192" s="112"/>
      <c r="M192" s="131"/>
      <c r="N192" s="192"/>
      <c r="O192" s="131"/>
      <c r="P192" s="112"/>
      <c r="Q192" s="112"/>
      <c r="R192" s="131"/>
      <c r="S192" s="131"/>
      <c r="T192" s="131"/>
      <c r="U192" s="131"/>
      <c r="V192" s="112"/>
      <c r="W192" s="112"/>
    </row>
    <row r="193" spans="1:34">
      <c r="A193" t="s">
        <v>408</v>
      </c>
      <c r="I193" s="112"/>
      <c r="J193" s="112"/>
      <c r="K193" s="112"/>
      <c r="L193" s="112"/>
      <c r="M193" s="131"/>
      <c r="N193" s="192"/>
      <c r="O193" s="131"/>
      <c r="P193" s="112"/>
      <c r="Q193" s="112"/>
      <c r="R193" s="131"/>
      <c r="S193" s="131"/>
      <c r="T193" s="131"/>
      <c r="U193" s="131"/>
      <c r="V193" s="112"/>
      <c r="W193" s="112"/>
    </row>
    <row r="194" spans="1:34">
      <c r="A194" t="s">
        <v>388</v>
      </c>
      <c r="C194" s="331">
        <f>SUM(C195:C196)</f>
        <v>968.38763000000006</v>
      </c>
      <c r="D194" s="331">
        <f t="shared" ref="D194:AH194" si="112">SUM(D195:D196)</f>
        <v>1323.0416300000002</v>
      </c>
      <c r="E194" s="331">
        <f t="shared" si="112"/>
        <v>1400.6773940265002</v>
      </c>
      <c r="F194" s="331">
        <f t="shared" si="112"/>
        <v>1639.7469650455005</v>
      </c>
      <c r="G194" s="331">
        <f t="shared" si="112"/>
        <v>1736.9076056205004</v>
      </c>
      <c r="H194" s="402">
        <f t="shared" si="112"/>
        <v>1756.9999249305001</v>
      </c>
      <c r="I194" s="14">
        <f t="shared" si="112"/>
        <v>2108.5178611395004</v>
      </c>
      <c r="J194" s="14">
        <f t="shared" si="112"/>
        <v>2331.6935682135004</v>
      </c>
      <c r="K194" s="14">
        <f t="shared" si="112"/>
        <v>2332.9576766695</v>
      </c>
      <c r="L194" s="14">
        <f t="shared" si="112"/>
        <v>2333.0719308515008</v>
      </c>
      <c r="M194" s="14">
        <f t="shared" si="112"/>
        <v>2333.1317006525005</v>
      </c>
      <c r="N194" s="187">
        <f t="shared" si="112"/>
        <v>2333.3010558985002</v>
      </c>
      <c r="O194" s="14">
        <f t="shared" si="112"/>
        <v>2333.0497190155002</v>
      </c>
      <c r="P194" s="14">
        <f t="shared" si="112"/>
        <v>2333.1617030775005</v>
      </c>
      <c r="Q194" s="14">
        <f t="shared" si="112"/>
        <v>2333.1198833175004</v>
      </c>
      <c r="R194" s="14">
        <f t="shared" si="112"/>
        <v>2333.2077502235002</v>
      </c>
      <c r="S194" s="15">
        <f t="shared" si="112"/>
        <v>2333.1781066325002</v>
      </c>
      <c r="T194" s="14">
        <f t="shared" si="112"/>
        <v>2333.1864015385004</v>
      </c>
      <c r="U194" s="14">
        <f t="shared" si="112"/>
        <v>2332.8311442884997</v>
      </c>
      <c r="V194" s="14">
        <f t="shared" si="112"/>
        <v>2332.7769551295005</v>
      </c>
      <c r="W194" s="14">
        <f t="shared" si="112"/>
        <v>2332.7460701734999</v>
      </c>
      <c r="X194" s="187">
        <f t="shared" si="112"/>
        <v>2332.6254273175009</v>
      </c>
      <c r="Y194" s="158">
        <f t="shared" si="112"/>
        <v>2332.7311167175003</v>
      </c>
      <c r="Z194" s="158">
        <f t="shared" si="112"/>
        <v>2332.9029772465001</v>
      </c>
      <c r="AA194" s="158">
        <f t="shared" si="112"/>
        <v>2333.9569255055003</v>
      </c>
      <c r="AB194" s="158">
        <f t="shared" si="112"/>
        <v>2336.1838170475003</v>
      </c>
      <c r="AC194" s="158">
        <f t="shared" si="112"/>
        <v>2338.4293834615</v>
      </c>
      <c r="AD194" s="158">
        <f t="shared" si="112"/>
        <v>2338.2880834445004</v>
      </c>
      <c r="AE194" s="158">
        <f t="shared" si="112"/>
        <v>2342.1103193914996</v>
      </c>
      <c r="AF194" s="158">
        <f t="shared" si="112"/>
        <v>2344.7341066455006</v>
      </c>
      <c r="AG194" s="158">
        <f t="shared" si="112"/>
        <v>2348.7848365355003</v>
      </c>
      <c r="AH194" s="187">
        <f t="shared" si="112"/>
        <v>2355.0052332925006</v>
      </c>
    </row>
    <row r="195" spans="1:34">
      <c r="A195" t="s">
        <v>389</v>
      </c>
      <c r="C195" s="330">
        <f>'Output - Jobs vs Yr (BAU)'!C51</f>
        <v>509.67770000000002</v>
      </c>
      <c r="D195" s="330">
        <f>'Output - Jobs vs Yr (BAU)'!D51</f>
        <v>696.33770000000004</v>
      </c>
      <c r="E195" s="330">
        <f>'Output - Jobs vs Yr (BAU)'!E51</f>
        <v>737.19862843500016</v>
      </c>
      <c r="F195" s="330">
        <f>'Output - Jobs vs Yr (BAU)'!F51</f>
        <v>863.02471844500019</v>
      </c>
      <c r="G195" s="330">
        <f>'Output - Jobs vs Yr (BAU)'!G51</f>
        <v>914.16189769500022</v>
      </c>
      <c r="H195" s="286">
        <f>'Output - Jobs vs Yr (BAU)'!H51</f>
        <v>924.73680259500009</v>
      </c>
      <c r="I195" s="118">
        <f>'Output - Jobs vs Yr (BAU)'!I51</f>
        <v>1109.7462427050002</v>
      </c>
      <c r="J195" s="118">
        <f>'Output - Jobs vs Yr (BAU)'!J51</f>
        <v>1227.2071411650002</v>
      </c>
      <c r="K195" s="118">
        <f>'Output - Jobs vs Yr (BAU)'!K51</f>
        <v>1227.872461405</v>
      </c>
      <c r="L195" s="118">
        <f>'Output - Jobs vs Yr (BAU)'!L51</f>
        <v>1227.9325951850003</v>
      </c>
      <c r="M195" s="118">
        <f>'Output - Jobs vs Yr (BAU)'!M51</f>
        <v>1227.9640529750002</v>
      </c>
      <c r="N195" s="177">
        <f>'Output - Jobs vs Yr (BAU)'!N51</f>
        <v>1228.0531873150001</v>
      </c>
      <c r="O195" s="118">
        <f>'Output - Jobs vs Yr (BAU)'!O51</f>
        <v>1227.9209047450001</v>
      </c>
      <c r="P195" s="118">
        <f>'Output - Jobs vs Yr (BAU)'!P51</f>
        <v>1227.9798437250001</v>
      </c>
      <c r="Q195" s="118">
        <f>'Output - Jobs vs Yr (BAU)'!Q51</f>
        <v>1227.9578333250001</v>
      </c>
      <c r="R195" s="118">
        <f>'Output - Jobs vs Yr (BAU)'!R51</f>
        <v>1228.004079065</v>
      </c>
      <c r="S195" s="118">
        <f>'Output - Jobs vs Yr (BAU)'!S51</f>
        <v>1227.9884771750001</v>
      </c>
      <c r="T195" s="118">
        <f>'Output - Jobs vs Yr (BAU)'!T51</f>
        <v>1227.9928429150002</v>
      </c>
      <c r="U195" s="118">
        <f>'Output - Jobs vs Yr (BAU)'!U51</f>
        <v>1227.805865415</v>
      </c>
      <c r="V195" s="118">
        <f>'Output - Jobs vs Yr (BAU)'!V51</f>
        <v>1227.7773448050002</v>
      </c>
      <c r="W195" s="118">
        <f>'Output - Jobs vs Yr (BAU)'!W51</f>
        <v>1227.761089565</v>
      </c>
      <c r="X195" s="184">
        <f>'Output - Jobs vs Yr (BAU)'!X51</f>
        <v>1227.6975933250003</v>
      </c>
      <c r="Y195" s="271">
        <f>'Output - Jobs vs Yr (BAU)'!Y51</f>
        <v>1227.7532193250001</v>
      </c>
      <c r="Z195" s="271">
        <f>'Output - Jobs vs Yr (BAU)'!Z51</f>
        <v>1227.843672235</v>
      </c>
      <c r="AA195" s="271">
        <f>'Output - Jobs vs Yr (BAU)'!AA51</f>
        <v>1228.3983818450001</v>
      </c>
      <c r="AB195" s="271">
        <f>'Output - Jobs vs Yr (BAU)'!AB51</f>
        <v>1229.570430025</v>
      </c>
      <c r="AC195" s="271">
        <f>'Output - Jobs vs Yr (BAU)'!AC51</f>
        <v>1230.7523070850002</v>
      </c>
      <c r="AD195" s="271">
        <f>'Output - Jobs vs Yr (BAU)'!AD51</f>
        <v>1230.6779386550002</v>
      </c>
      <c r="AE195" s="271">
        <f>'Output - Jobs vs Yr (BAU)'!AE51</f>
        <v>1232.689641785</v>
      </c>
      <c r="AF195" s="271">
        <f>'Output - Jobs vs Yr (BAU)'!AF51</f>
        <v>1234.0705824450004</v>
      </c>
      <c r="AG195" s="271">
        <f>'Output - Jobs vs Yr (BAU)'!AG51</f>
        <v>1236.2025455450002</v>
      </c>
      <c r="AH195" s="184">
        <f>'Output - Jobs vs Yr (BAU)'!AH51</f>
        <v>1239.4764385750002</v>
      </c>
    </row>
    <row r="196" spans="1:34">
      <c r="A196" t="s">
        <v>390</v>
      </c>
      <c r="C196" s="330">
        <f>'Output - Jobs vs Yr (BAU)'!C69</f>
        <v>458.70993000000004</v>
      </c>
      <c r="D196" s="330">
        <f>'Output - Jobs vs Yr (BAU)'!D69</f>
        <v>626.70393000000013</v>
      </c>
      <c r="E196" s="330">
        <f>'Output - Jobs vs Yr (BAU)'!E69</f>
        <v>663.47876559150006</v>
      </c>
      <c r="F196" s="330">
        <f>'Output - Jobs vs Yr (BAU)'!F69</f>
        <v>776.72224660050017</v>
      </c>
      <c r="G196" s="330">
        <f>'Output - Jobs vs Yr (BAU)'!G69</f>
        <v>822.74570792550014</v>
      </c>
      <c r="H196" s="286">
        <f>'Output - Jobs vs Yr (BAU)'!H69</f>
        <v>832.26312233550016</v>
      </c>
      <c r="I196" s="118">
        <f>'Output - Jobs vs Yr (BAU)'!I69</f>
        <v>998.77161843450017</v>
      </c>
      <c r="J196" s="118">
        <f>'Output - Jobs vs Yr (BAU)'!J69</f>
        <v>1104.4864270485002</v>
      </c>
      <c r="K196" s="118">
        <f>'Output - Jobs vs Yr (BAU)'!K69</f>
        <v>1105.0852152644998</v>
      </c>
      <c r="L196" s="118">
        <f>'Output - Jobs vs Yr (BAU)'!L69</f>
        <v>1105.1393356665003</v>
      </c>
      <c r="M196" s="118">
        <f>'Output - Jobs vs Yr (BAU)'!M69</f>
        <v>1105.1676476775003</v>
      </c>
      <c r="N196" s="177">
        <f>'Output - Jobs vs Yr (BAU)'!N69</f>
        <v>1105.2478685835001</v>
      </c>
      <c r="O196" s="118">
        <f>'Output - Jobs vs Yr (BAU)'!O69</f>
        <v>1105.1288142705</v>
      </c>
      <c r="P196" s="118">
        <f>'Output - Jobs vs Yr (BAU)'!P69</f>
        <v>1105.1818593525002</v>
      </c>
      <c r="Q196" s="118">
        <f>'Output - Jobs vs Yr (BAU)'!Q69</f>
        <v>1105.1620499925002</v>
      </c>
      <c r="R196" s="118">
        <f>'Output - Jobs vs Yr (BAU)'!R69</f>
        <v>1105.2036711585001</v>
      </c>
      <c r="S196" s="118">
        <f>'Output - Jobs vs Yr (BAU)'!S69</f>
        <v>1105.1896294575001</v>
      </c>
      <c r="T196" s="118">
        <f>'Output - Jobs vs Yr (BAU)'!T69</f>
        <v>1105.1935586235002</v>
      </c>
      <c r="U196" s="118">
        <f>'Output - Jobs vs Yr (BAU)'!U69</f>
        <v>1105.0252788734999</v>
      </c>
      <c r="V196" s="118">
        <f>'Output - Jobs vs Yr (BAU)'!V69</f>
        <v>1104.9996103245001</v>
      </c>
      <c r="W196" s="118">
        <f>'Output - Jobs vs Yr (BAU)'!W69</f>
        <v>1104.9849806085001</v>
      </c>
      <c r="X196" s="184">
        <f>'Output - Jobs vs Yr (BAU)'!X69</f>
        <v>1104.9278339925004</v>
      </c>
      <c r="Y196" s="271">
        <f>'Output - Jobs vs Yr (BAU)'!Y69</f>
        <v>1104.9778973925002</v>
      </c>
      <c r="Z196" s="271">
        <f>'Output - Jobs vs Yr (BAU)'!Z69</f>
        <v>1105.0593050115001</v>
      </c>
      <c r="AA196" s="271">
        <f>'Output - Jobs vs Yr (BAU)'!AA69</f>
        <v>1105.5585436604999</v>
      </c>
      <c r="AB196" s="271">
        <f>'Output - Jobs vs Yr (BAU)'!AB69</f>
        <v>1106.6133870225001</v>
      </c>
      <c r="AC196" s="271">
        <f>'Output - Jobs vs Yr (BAU)'!AC69</f>
        <v>1107.6770763765001</v>
      </c>
      <c r="AD196" s="271">
        <f>'Output - Jobs vs Yr (BAU)'!AD69</f>
        <v>1107.6101447895003</v>
      </c>
      <c r="AE196" s="271">
        <f>'Output - Jobs vs Yr (BAU)'!AE69</f>
        <v>1109.4206776064998</v>
      </c>
      <c r="AF196" s="271">
        <f>'Output - Jobs vs Yr (BAU)'!AF69</f>
        <v>1110.6635242005002</v>
      </c>
      <c r="AG196" s="271">
        <f>'Output - Jobs vs Yr (BAU)'!AG69</f>
        <v>1112.5822909905003</v>
      </c>
      <c r="AH196" s="184">
        <f>'Output - Jobs vs Yr (BAU)'!AH69</f>
        <v>1115.5287947175002</v>
      </c>
    </row>
    <row r="197" spans="1:34">
      <c r="A197" t="s">
        <v>391</v>
      </c>
      <c r="C197" s="331">
        <f>SUM(C198:C199)</f>
        <v>420.37215000000003</v>
      </c>
      <c r="D197" s="331">
        <f t="shared" ref="D197:AH197" si="113">SUM(D198:D199)</f>
        <v>581.96714999999995</v>
      </c>
      <c r="E197" s="331">
        <f t="shared" si="113"/>
        <v>696.03277178094015</v>
      </c>
      <c r="F197" s="331">
        <f t="shared" si="113"/>
        <v>603.69973178010252</v>
      </c>
      <c r="G197" s="331">
        <f t="shared" si="113"/>
        <v>504.90356105237731</v>
      </c>
      <c r="H197" s="402">
        <f t="shared" si="113"/>
        <v>515.83593453869594</v>
      </c>
      <c r="I197" s="14">
        <f t="shared" si="113"/>
        <v>526.45976402780252</v>
      </c>
      <c r="J197" s="14">
        <f t="shared" si="113"/>
        <v>537.15105396114768</v>
      </c>
      <c r="K197" s="14">
        <f t="shared" si="113"/>
        <v>547.93286694042922</v>
      </c>
      <c r="L197" s="14">
        <f t="shared" si="113"/>
        <v>547.93314705300031</v>
      </c>
      <c r="M197" s="14">
        <f t="shared" si="113"/>
        <v>547.93314705300031</v>
      </c>
      <c r="N197" s="187">
        <f t="shared" si="113"/>
        <v>547.93314705300031</v>
      </c>
      <c r="O197" s="14">
        <f t="shared" si="113"/>
        <v>547.93314705300031</v>
      </c>
      <c r="P197" s="14">
        <f t="shared" si="113"/>
        <v>547.93314705300031</v>
      </c>
      <c r="Q197" s="14">
        <f t="shared" si="113"/>
        <v>547.93314705300031</v>
      </c>
      <c r="R197" s="14">
        <f t="shared" si="113"/>
        <v>547.93314705300031</v>
      </c>
      <c r="S197" s="15">
        <f t="shared" si="113"/>
        <v>547.93314705300031</v>
      </c>
      <c r="T197" s="14">
        <f t="shared" si="113"/>
        <v>547.93314705300031</v>
      </c>
      <c r="U197" s="14">
        <f t="shared" si="113"/>
        <v>576.10066030549456</v>
      </c>
      <c r="V197" s="14">
        <f t="shared" si="113"/>
        <v>576.10066030549456</v>
      </c>
      <c r="W197" s="14">
        <f t="shared" si="113"/>
        <v>576.10066030549456</v>
      </c>
      <c r="X197" s="187">
        <f t="shared" si="113"/>
        <v>579.17344852647841</v>
      </c>
      <c r="Y197" s="158">
        <f t="shared" si="113"/>
        <v>579.17344852647841</v>
      </c>
      <c r="Z197" s="158">
        <f t="shared" si="113"/>
        <v>582.54418315239582</v>
      </c>
      <c r="AA197" s="158">
        <f t="shared" si="113"/>
        <v>582.54418315239582</v>
      </c>
      <c r="AB197" s="158">
        <f t="shared" si="113"/>
        <v>582.54418315239582</v>
      </c>
      <c r="AC197" s="158">
        <f t="shared" si="113"/>
        <v>582.54418315239582</v>
      </c>
      <c r="AD197" s="158">
        <f t="shared" si="113"/>
        <v>582.54418315239582</v>
      </c>
      <c r="AE197" s="158">
        <f t="shared" si="113"/>
        <v>582.54418315239582</v>
      </c>
      <c r="AF197" s="158">
        <f t="shared" si="113"/>
        <v>582.54418315239582</v>
      </c>
      <c r="AG197" s="158">
        <f t="shared" si="113"/>
        <v>582.54418315239582</v>
      </c>
      <c r="AH197" s="187">
        <f t="shared" si="113"/>
        <v>582.54418315239582</v>
      </c>
    </row>
    <row r="198" spans="1:34">
      <c r="A198" t="s">
        <v>393</v>
      </c>
      <c r="C198" s="330">
        <f>SUM('Output - Jobs vs Yr (BAU)'!C40:C43)</f>
        <v>221.24850000000001</v>
      </c>
      <c r="D198" s="330">
        <f>SUM('Output - Jobs vs Yr (BAU)'!D40:D43)</f>
        <v>306.29849999999993</v>
      </c>
      <c r="E198" s="330">
        <f>SUM('Output - Jobs vs Yr (BAU)'!E40:E43)</f>
        <v>366.33303777944218</v>
      </c>
      <c r="F198" s="330">
        <f>SUM('Output - Jobs vs Yr (BAU)'!F40:F43)</f>
        <v>317.73670093689606</v>
      </c>
      <c r="G198" s="330">
        <f>SUM('Output - Jobs vs Yr (BAU)'!G40:G43)</f>
        <v>265.73871634335649</v>
      </c>
      <c r="H198" s="286">
        <f>SUM('Output - Jobs vs Yr (BAU)'!H40:H43)</f>
        <v>271.4925971256294</v>
      </c>
      <c r="I198" s="118">
        <f>SUM('Output - Jobs vs Yr (BAU)'!I40:I43)</f>
        <v>277.08408633042239</v>
      </c>
      <c r="J198" s="118">
        <f>SUM('Output - Jobs vs Yr (BAU)'!J40:J43)</f>
        <v>282.71108103218296</v>
      </c>
      <c r="K198" s="118">
        <f>SUM('Output - Jobs vs Yr (BAU)'!K40:K43)</f>
        <v>288.38571944233115</v>
      </c>
      <c r="L198" s="118">
        <f>SUM('Output - Jobs vs Yr (BAU)'!L40:L43)</f>
        <v>288.3858668700002</v>
      </c>
      <c r="M198" s="118">
        <f>SUM('Output - Jobs vs Yr (BAU)'!M40:M43)</f>
        <v>288.3858668700002</v>
      </c>
      <c r="N198" s="177">
        <f>SUM('Output - Jobs vs Yr (BAU)'!N40:N43)</f>
        <v>288.3858668700002</v>
      </c>
      <c r="O198" s="118">
        <f>SUM('Output - Jobs vs Yr (BAU)'!O40:O43)</f>
        <v>288.3858668700002</v>
      </c>
      <c r="P198" s="118">
        <f>SUM('Output - Jobs vs Yr (BAU)'!P40:P43)</f>
        <v>288.3858668700002</v>
      </c>
      <c r="Q198" s="118">
        <f>SUM('Output - Jobs vs Yr (BAU)'!Q40:Q43)</f>
        <v>288.3858668700002</v>
      </c>
      <c r="R198" s="118">
        <f>SUM('Output - Jobs vs Yr (BAU)'!R40:R43)</f>
        <v>288.3858668700002</v>
      </c>
      <c r="S198" s="118">
        <f>SUM('Output - Jobs vs Yr (BAU)'!S40:S43)</f>
        <v>288.3858668700002</v>
      </c>
      <c r="T198" s="118">
        <f>SUM('Output - Jobs vs Yr (BAU)'!T40:T43)</f>
        <v>288.3858668700002</v>
      </c>
      <c r="U198" s="118">
        <f>SUM('Output - Jobs vs Yr (BAU)'!U40:U43)</f>
        <v>303.21087384499714</v>
      </c>
      <c r="V198" s="118">
        <f>SUM('Output - Jobs vs Yr (BAU)'!V40:V43)</f>
        <v>303.21087384499714</v>
      </c>
      <c r="W198" s="118">
        <f>SUM('Output - Jobs vs Yr (BAU)'!W40:W43)</f>
        <v>303.21087384499714</v>
      </c>
      <c r="X198" s="184">
        <f>SUM('Output - Jobs vs Yr (BAU)'!X40:X43)</f>
        <v>304.82813080340969</v>
      </c>
      <c r="Y198" s="271">
        <f>SUM('Output - Jobs vs Yr (BAU)'!Y40:Y43)</f>
        <v>304.82813080340969</v>
      </c>
      <c r="Z198" s="271">
        <f>SUM('Output - Jobs vs Yr (BAU)'!Z40:Z43)</f>
        <v>306.6022016591557</v>
      </c>
      <c r="AA198" s="271">
        <f>SUM('Output - Jobs vs Yr (BAU)'!AA40:AA43)</f>
        <v>306.6022016591557</v>
      </c>
      <c r="AB198" s="271">
        <f>SUM('Output - Jobs vs Yr (BAU)'!AB40:AB43)</f>
        <v>306.6022016591557</v>
      </c>
      <c r="AC198" s="271">
        <f>SUM('Output - Jobs vs Yr (BAU)'!AC40:AC43)</f>
        <v>306.6022016591557</v>
      </c>
      <c r="AD198" s="271">
        <f>SUM('Output - Jobs vs Yr (BAU)'!AD40:AD43)</f>
        <v>306.6022016591557</v>
      </c>
      <c r="AE198" s="271">
        <f>SUM('Output - Jobs vs Yr (BAU)'!AE40:AE43)</f>
        <v>306.6022016591557</v>
      </c>
      <c r="AF198" s="271">
        <f>SUM('Output - Jobs vs Yr (BAU)'!AF40:AF43)</f>
        <v>306.6022016591557</v>
      </c>
      <c r="AG198" s="271">
        <f>SUM('Output - Jobs vs Yr (BAU)'!AG40:AG43)</f>
        <v>306.6022016591557</v>
      </c>
      <c r="AH198" s="184">
        <f>SUM('Output - Jobs vs Yr (BAU)'!AH40:AH43)</f>
        <v>306.6022016591557</v>
      </c>
    </row>
    <row r="199" spans="1:34">
      <c r="A199" t="s">
        <v>392</v>
      </c>
      <c r="C199" s="330">
        <f>SUM('Output - Jobs vs Yr (BAU)'!C58:C61)</f>
        <v>199.12365</v>
      </c>
      <c r="D199" s="330">
        <f>SUM('Output - Jobs vs Yr (BAU)'!D58:D61)</f>
        <v>275.66864999999996</v>
      </c>
      <c r="E199" s="330">
        <f>SUM('Output - Jobs vs Yr (BAU)'!E58:E61)</f>
        <v>329.69973400149797</v>
      </c>
      <c r="F199" s="330">
        <f>SUM('Output - Jobs vs Yr (BAU)'!F58:F61)</f>
        <v>285.96303084320647</v>
      </c>
      <c r="G199" s="330">
        <f>SUM('Output - Jobs vs Yr (BAU)'!G58:G61)</f>
        <v>239.16484470902085</v>
      </c>
      <c r="H199" s="286">
        <f>SUM('Output - Jobs vs Yr (BAU)'!H58:H61)</f>
        <v>244.34333741306648</v>
      </c>
      <c r="I199" s="118">
        <f>SUM('Output - Jobs vs Yr (BAU)'!I58:I61)</f>
        <v>249.37567769738015</v>
      </c>
      <c r="J199" s="118">
        <f>SUM('Output - Jobs vs Yr (BAU)'!J58:J61)</f>
        <v>254.43997292896466</v>
      </c>
      <c r="K199" s="118">
        <f>SUM('Output - Jobs vs Yr (BAU)'!K58:K61)</f>
        <v>259.54714749809807</v>
      </c>
      <c r="L199" s="118">
        <f>SUM('Output - Jobs vs Yr (BAU)'!L58:L61)</f>
        <v>259.54728018300017</v>
      </c>
      <c r="M199" s="118">
        <f>SUM('Output - Jobs vs Yr (BAU)'!M58:M61)</f>
        <v>259.54728018300017</v>
      </c>
      <c r="N199" s="177">
        <f>SUM('Output - Jobs vs Yr (BAU)'!N58:N61)</f>
        <v>259.54728018300017</v>
      </c>
      <c r="O199" s="118">
        <f>SUM('Output - Jobs vs Yr (BAU)'!O58:O61)</f>
        <v>259.54728018300017</v>
      </c>
      <c r="P199" s="118">
        <f>SUM('Output - Jobs vs Yr (BAU)'!P58:P61)</f>
        <v>259.54728018300017</v>
      </c>
      <c r="Q199" s="118">
        <f>SUM('Output - Jobs vs Yr (BAU)'!Q58:Q61)</f>
        <v>259.54728018300017</v>
      </c>
      <c r="R199" s="118">
        <f>SUM('Output - Jobs vs Yr (BAU)'!R58:R61)</f>
        <v>259.54728018300017</v>
      </c>
      <c r="S199" s="118">
        <f>SUM('Output - Jobs vs Yr (BAU)'!S58:S61)</f>
        <v>259.54728018300017</v>
      </c>
      <c r="T199" s="118">
        <f>SUM('Output - Jobs vs Yr (BAU)'!T58:T61)</f>
        <v>259.54728018300017</v>
      </c>
      <c r="U199" s="118">
        <f>SUM('Output - Jobs vs Yr (BAU)'!U58:U61)</f>
        <v>272.88978646049742</v>
      </c>
      <c r="V199" s="118">
        <f>SUM('Output - Jobs vs Yr (BAU)'!V58:V61)</f>
        <v>272.88978646049742</v>
      </c>
      <c r="W199" s="118">
        <f>SUM('Output - Jobs vs Yr (BAU)'!W58:W61)</f>
        <v>272.88978646049742</v>
      </c>
      <c r="X199" s="184">
        <f>SUM('Output - Jobs vs Yr (BAU)'!X58:X61)</f>
        <v>274.34531772306872</v>
      </c>
      <c r="Y199" s="271">
        <f>SUM('Output - Jobs vs Yr (BAU)'!Y58:Y61)</f>
        <v>274.34531772306872</v>
      </c>
      <c r="Z199" s="271">
        <f>SUM('Output - Jobs vs Yr (BAU)'!Z58:Z61)</f>
        <v>275.94198149324012</v>
      </c>
      <c r="AA199" s="271">
        <f>SUM('Output - Jobs vs Yr (BAU)'!AA58:AA61)</f>
        <v>275.94198149324012</v>
      </c>
      <c r="AB199" s="271">
        <f>SUM('Output - Jobs vs Yr (BAU)'!AB58:AB61)</f>
        <v>275.94198149324012</v>
      </c>
      <c r="AC199" s="271">
        <f>SUM('Output - Jobs vs Yr (BAU)'!AC58:AC61)</f>
        <v>275.94198149324012</v>
      </c>
      <c r="AD199" s="271">
        <f>SUM('Output - Jobs vs Yr (BAU)'!AD58:AD61)</f>
        <v>275.94198149324012</v>
      </c>
      <c r="AE199" s="271">
        <f>SUM('Output - Jobs vs Yr (BAU)'!AE58:AE61)</f>
        <v>275.94198149324012</v>
      </c>
      <c r="AF199" s="271">
        <f>SUM('Output - Jobs vs Yr (BAU)'!AF58:AF61)</f>
        <v>275.94198149324012</v>
      </c>
      <c r="AG199" s="271">
        <f>SUM('Output - Jobs vs Yr (BAU)'!AG58:AG61)</f>
        <v>275.94198149324012</v>
      </c>
      <c r="AH199" s="184">
        <f>SUM('Output - Jobs vs Yr (BAU)'!AH58:AH61)</f>
        <v>275.94198149324012</v>
      </c>
    </row>
    <row r="200" spans="1:34">
      <c r="A200" t="s">
        <v>394</v>
      </c>
      <c r="C200" s="331">
        <f>SUM(C201:C202)</f>
        <v>6191.4159999999993</v>
      </c>
      <c r="D200" s="331">
        <f t="shared" ref="D200:AH200" si="114">SUM(D201:D202)</f>
        <v>5951.902</v>
      </c>
      <c r="E200" s="331">
        <f t="shared" si="114"/>
        <v>5287.3016712098397</v>
      </c>
      <c r="F200" s="331">
        <f t="shared" si="114"/>
        <v>4922.8957958772971</v>
      </c>
      <c r="G200" s="331">
        <f t="shared" si="114"/>
        <v>5088.0380683858439</v>
      </c>
      <c r="H200" s="402">
        <f t="shared" si="114"/>
        <v>5065.0545991421113</v>
      </c>
      <c r="I200" s="14">
        <f t="shared" si="114"/>
        <v>5198.9052390349098</v>
      </c>
      <c r="J200" s="14">
        <f t="shared" si="114"/>
        <v>4860.006905769922</v>
      </c>
      <c r="K200" s="14">
        <f t="shared" si="114"/>
        <v>4775.0153583554484</v>
      </c>
      <c r="L200" s="14">
        <f t="shared" si="114"/>
        <v>4882.0873343846561</v>
      </c>
      <c r="M200" s="14">
        <f t="shared" si="114"/>
        <v>4928.5313410081308</v>
      </c>
      <c r="N200" s="187">
        <f t="shared" si="114"/>
        <v>4960.2305161047634</v>
      </c>
      <c r="O200" s="14">
        <f t="shared" si="114"/>
        <v>4973.4719675011947</v>
      </c>
      <c r="P200" s="14">
        <f t="shared" si="114"/>
        <v>4987.1323410377381</v>
      </c>
      <c r="Q200" s="14">
        <f t="shared" si="114"/>
        <v>5016.1918982712805</v>
      </c>
      <c r="R200" s="14">
        <f t="shared" si="114"/>
        <v>5039.1347279637803</v>
      </c>
      <c r="S200" s="15">
        <f t="shared" si="114"/>
        <v>5052.2839659946494</v>
      </c>
      <c r="T200" s="14">
        <f t="shared" si="114"/>
        <v>5054.6688515935693</v>
      </c>
      <c r="U200" s="14">
        <f t="shared" si="114"/>
        <v>5047.343567600079</v>
      </c>
      <c r="V200" s="14">
        <f t="shared" si="114"/>
        <v>5037.8658171266316</v>
      </c>
      <c r="W200" s="14">
        <f t="shared" si="114"/>
        <v>5040.9561691867802</v>
      </c>
      <c r="X200" s="187">
        <f t="shared" si="114"/>
        <v>5042.4183332571829</v>
      </c>
      <c r="Y200" s="158">
        <f t="shared" si="114"/>
        <v>5041.4975421353975</v>
      </c>
      <c r="Z200" s="158">
        <f t="shared" si="114"/>
        <v>5037.3362083526008</v>
      </c>
      <c r="AA200" s="158">
        <f t="shared" si="114"/>
        <v>5034.7698600763142</v>
      </c>
      <c r="AB200" s="158">
        <f t="shared" si="114"/>
        <v>5029.8190716176341</v>
      </c>
      <c r="AC200" s="158">
        <f t="shared" si="114"/>
        <v>5026.6865952710386</v>
      </c>
      <c r="AD200" s="158">
        <f t="shared" si="114"/>
        <v>5022.3986400752219</v>
      </c>
      <c r="AE200" s="158">
        <f t="shared" si="114"/>
        <v>5018.0626443225601</v>
      </c>
      <c r="AF200" s="158">
        <f t="shared" si="114"/>
        <v>5013.5934138841731</v>
      </c>
      <c r="AG200" s="158">
        <f t="shared" si="114"/>
        <v>5010.0600456943303</v>
      </c>
      <c r="AH200" s="187">
        <f t="shared" si="114"/>
        <v>5006.6608773835596</v>
      </c>
    </row>
    <row r="201" spans="1:34">
      <c r="A201" t="s">
        <v>395</v>
      </c>
      <c r="C201" s="330">
        <f>SUM('Output - Jobs vs Yr (BAU)'!C53:C54)</f>
        <v>3258.64</v>
      </c>
      <c r="D201" s="330">
        <f>SUM('Output - Jobs vs Yr (BAU)'!D53:D54)</f>
        <v>3132.5800000000004</v>
      </c>
      <c r="E201" s="330">
        <f>SUM('Output - Jobs vs Yr (BAU)'!E53:E54)</f>
        <v>2782.7903532683363</v>
      </c>
      <c r="F201" s="330">
        <f>SUM('Output - Jobs vs Yr (BAU)'!F53:F54)</f>
        <v>2590.9977873038406</v>
      </c>
      <c r="G201" s="330">
        <f>SUM('Output - Jobs vs Yr (BAU)'!G53:G54)</f>
        <v>2677.9147728346547</v>
      </c>
      <c r="H201" s="286">
        <f>SUM('Output - Jobs vs Yr (BAU)'!H53:H54)</f>
        <v>2665.8182100747958</v>
      </c>
      <c r="I201" s="118">
        <f>SUM('Output - Jobs vs Yr (BAU)'!I53:I54)</f>
        <v>2736.2659152815313</v>
      </c>
      <c r="J201" s="118">
        <f>SUM('Output - Jobs vs Yr (BAU)'!J53:J54)</f>
        <v>2557.898371457854</v>
      </c>
      <c r="K201" s="118">
        <f>SUM('Output - Jobs vs Yr (BAU)'!K53:K54)</f>
        <v>2513.165978081815</v>
      </c>
      <c r="L201" s="118">
        <f>SUM('Output - Jobs vs Yr (BAU)'!L53:L54)</f>
        <v>2569.5196496761346</v>
      </c>
      <c r="M201" s="118">
        <f>SUM('Output - Jobs vs Yr (BAU)'!M53:M54)</f>
        <v>2593.9638636884897</v>
      </c>
      <c r="N201" s="177">
        <f>SUM('Output - Jobs vs Yr (BAU)'!N53:N54)</f>
        <v>2610.6476400551387</v>
      </c>
      <c r="O201" s="118">
        <f>SUM('Output - Jobs vs Yr (BAU)'!O53:O54)</f>
        <v>2617.616825000629</v>
      </c>
      <c r="P201" s="118">
        <f>SUM('Output - Jobs vs Yr (BAU)'!P53:P54)</f>
        <v>2624.80649528302</v>
      </c>
      <c r="Q201" s="118">
        <f>SUM('Output - Jobs vs Yr (BAU)'!Q53:Q54)</f>
        <v>2640.1009990901475</v>
      </c>
      <c r="R201" s="118">
        <f>SUM('Output - Jobs vs Yr (BAU)'!R53:R54)</f>
        <v>2652.176172612516</v>
      </c>
      <c r="S201" s="118">
        <f>SUM('Output - Jobs vs Yr (BAU)'!S53:S54)</f>
        <v>2659.0968242077106</v>
      </c>
      <c r="T201" s="118">
        <f>SUM('Output - Jobs vs Yr (BAU)'!T53:T54)</f>
        <v>2660.3520271545099</v>
      </c>
      <c r="U201" s="118">
        <f>SUM('Output - Jobs vs Yr (BAU)'!U53:U54)</f>
        <v>2656.4966145263575</v>
      </c>
      <c r="V201" s="118">
        <f>SUM('Output - Jobs vs Yr (BAU)'!V53:V54)</f>
        <v>2651.5083248034903</v>
      </c>
      <c r="W201" s="118">
        <f>SUM('Output - Jobs vs Yr (BAU)'!W53:W54)</f>
        <v>2653.1348258877788</v>
      </c>
      <c r="X201" s="184">
        <f>SUM('Output - Jobs vs Yr (BAU)'!X53:X54)</f>
        <v>2653.9043859248332</v>
      </c>
      <c r="Y201" s="271">
        <f>SUM('Output - Jobs vs Yr (BAU)'!Y53:Y54)</f>
        <v>2653.41975901863</v>
      </c>
      <c r="Z201" s="271">
        <f>SUM('Output - Jobs vs Yr (BAU)'!Z53:Z54)</f>
        <v>2651.2295833434737</v>
      </c>
      <c r="AA201" s="271">
        <f>SUM('Output - Jobs vs Yr (BAU)'!AA53:AA54)</f>
        <v>2649.8788737243758</v>
      </c>
      <c r="AB201" s="271">
        <f>SUM('Output - Jobs vs Yr (BAU)'!AB53:AB54)</f>
        <v>2647.2731955882286</v>
      </c>
      <c r="AC201" s="271">
        <f>SUM('Output - Jobs vs Yr (BAU)'!AC53:AC54)</f>
        <v>2645.6245238268625</v>
      </c>
      <c r="AD201" s="271">
        <f>SUM('Output - Jobs vs Yr (BAU)'!AD53:AD54)</f>
        <v>2643.3677053027482</v>
      </c>
      <c r="AE201" s="271">
        <f>SUM('Output - Jobs vs Yr (BAU)'!AE53:AE54)</f>
        <v>2641.0856022750318</v>
      </c>
      <c r="AF201" s="271">
        <f>SUM('Output - Jobs vs Yr (BAU)'!AF53:AF54)</f>
        <v>2638.7333757285119</v>
      </c>
      <c r="AG201" s="271">
        <f>SUM('Output - Jobs vs Yr (BAU)'!AG53:AG54)</f>
        <v>2636.8737082601738</v>
      </c>
      <c r="AH201" s="184">
        <f>SUM('Output - Jobs vs Yr (BAU)'!AH53:AH54)</f>
        <v>2635.0846723071363</v>
      </c>
    </row>
    <row r="202" spans="1:34">
      <c r="A202" t="s">
        <v>396</v>
      </c>
      <c r="C202" s="330">
        <f>SUM('Output - Jobs vs Yr (BAU)'!C71:C72)</f>
        <v>2932.7759999999998</v>
      </c>
      <c r="D202" s="330">
        <f>SUM('Output - Jobs vs Yr (BAU)'!D71:D72)</f>
        <v>2819.3220000000001</v>
      </c>
      <c r="E202" s="330">
        <f>SUM('Output - Jobs vs Yr (BAU)'!E71:E72)</f>
        <v>2504.511317941503</v>
      </c>
      <c r="F202" s="330">
        <f>SUM('Output - Jobs vs Yr (BAU)'!F71:F72)</f>
        <v>2331.8980085734565</v>
      </c>
      <c r="G202" s="330">
        <f>SUM('Output - Jobs vs Yr (BAU)'!G71:G72)</f>
        <v>2410.1232955511891</v>
      </c>
      <c r="H202" s="286">
        <f>SUM('Output - Jobs vs Yr (BAU)'!H71:H72)</f>
        <v>2399.2363890673159</v>
      </c>
      <c r="I202" s="118">
        <f>SUM('Output - Jobs vs Yr (BAU)'!I71:I72)</f>
        <v>2462.6393237533784</v>
      </c>
      <c r="J202" s="118">
        <f>SUM('Output - Jobs vs Yr (BAU)'!J71:J72)</f>
        <v>2302.1085343120685</v>
      </c>
      <c r="K202" s="118">
        <f>SUM('Output - Jobs vs Yr (BAU)'!K71:K72)</f>
        <v>2261.8493802736334</v>
      </c>
      <c r="L202" s="118">
        <f>SUM('Output - Jobs vs Yr (BAU)'!L71:L72)</f>
        <v>2312.5676847085215</v>
      </c>
      <c r="M202" s="118">
        <f>SUM('Output - Jobs vs Yr (BAU)'!M71:M72)</f>
        <v>2334.5674773196411</v>
      </c>
      <c r="N202" s="177">
        <f>SUM('Output - Jobs vs Yr (BAU)'!N71:N72)</f>
        <v>2349.5828760496247</v>
      </c>
      <c r="O202" s="118">
        <f>SUM('Output - Jobs vs Yr (BAU)'!O71:O72)</f>
        <v>2355.8551425005658</v>
      </c>
      <c r="P202" s="118">
        <f>SUM('Output - Jobs vs Yr (BAU)'!P71:P72)</f>
        <v>2362.3258457547181</v>
      </c>
      <c r="Q202" s="118">
        <f>SUM('Output - Jobs vs Yr (BAU)'!Q71:Q72)</f>
        <v>2376.090899181133</v>
      </c>
      <c r="R202" s="118">
        <f>SUM('Output - Jobs vs Yr (BAU)'!R71:R72)</f>
        <v>2386.9585553512643</v>
      </c>
      <c r="S202" s="118">
        <f>SUM('Output - Jobs vs Yr (BAU)'!S71:S72)</f>
        <v>2393.1871417869393</v>
      </c>
      <c r="T202" s="118">
        <f>SUM('Output - Jobs vs Yr (BAU)'!T71:T72)</f>
        <v>2394.316824439059</v>
      </c>
      <c r="U202" s="118">
        <f>SUM('Output - Jobs vs Yr (BAU)'!U71:U72)</f>
        <v>2390.846953073722</v>
      </c>
      <c r="V202" s="118">
        <f>SUM('Output - Jobs vs Yr (BAU)'!V71:V72)</f>
        <v>2386.3574923231413</v>
      </c>
      <c r="W202" s="118">
        <f>SUM('Output - Jobs vs Yr (BAU)'!W71:W72)</f>
        <v>2387.821343299001</v>
      </c>
      <c r="X202" s="184">
        <f>SUM('Output - Jobs vs Yr (BAU)'!X71:X72)</f>
        <v>2388.5139473323502</v>
      </c>
      <c r="Y202" s="271">
        <f>SUM('Output - Jobs vs Yr (BAU)'!Y71:Y72)</f>
        <v>2388.077783116767</v>
      </c>
      <c r="Z202" s="271">
        <f>SUM('Output - Jobs vs Yr (BAU)'!Z71:Z72)</f>
        <v>2386.1066250091267</v>
      </c>
      <c r="AA202" s="271">
        <f>SUM('Output - Jobs vs Yr (BAU)'!AA71:AA72)</f>
        <v>2384.8909863519384</v>
      </c>
      <c r="AB202" s="271">
        <f>SUM('Output - Jobs vs Yr (BAU)'!AB71:AB72)</f>
        <v>2382.5458760294059</v>
      </c>
      <c r="AC202" s="271">
        <f>SUM('Output - Jobs vs Yr (BAU)'!AC71:AC72)</f>
        <v>2381.0620714441761</v>
      </c>
      <c r="AD202" s="271">
        <f>SUM('Output - Jobs vs Yr (BAU)'!AD71:AD72)</f>
        <v>2379.0309347724733</v>
      </c>
      <c r="AE202" s="271">
        <f>SUM('Output - Jobs vs Yr (BAU)'!AE71:AE72)</f>
        <v>2376.9770420475284</v>
      </c>
      <c r="AF202" s="271">
        <f>SUM('Output - Jobs vs Yr (BAU)'!AF71:AF72)</f>
        <v>2374.8600381556607</v>
      </c>
      <c r="AG202" s="271">
        <f>SUM('Output - Jobs vs Yr (BAU)'!AG71:AG72)</f>
        <v>2373.1863374341565</v>
      </c>
      <c r="AH202" s="184">
        <f>SUM('Output - Jobs vs Yr (BAU)'!AH71:AH72)</f>
        <v>2371.5762050764229</v>
      </c>
    </row>
    <row r="203" spans="1:34">
      <c r="A203" s="1" t="s">
        <v>425</v>
      </c>
      <c r="C203" s="331">
        <f>SUM(C191,C194,C197,C200)</f>
        <v>7580.1757799999996</v>
      </c>
      <c r="D203" s="331">
        <f t="shared" ref="D203:AH203" si="115">SUM(D191,D194,D197,D200)</f>
        <v>7856.9107800000002</v>
      </c>
      <c r="E203" s="331">
        <f t="shared" si="115"/>
        <v>7384.0118370172804</v>
      </c>
      <c r="F203" s="331">
        <f t="shared" si="115"/>
        <v>7166.3424927029</v>
      </c>
      <c r="G203" s="331">
        <f t="shared" si="115"/>
        <v>7329.8492350587221</v>
      </c>
      <c r="H203" s="402">
        <f t="shared" si="115"/>
        <v>7337.8904586113076</v>
      </c>
      <c r="I203" s="14">
        <f t="shared" si="115"/>
        <v>7833.8828642022127</v>
      </c>
      <c r="J203" s="14">
        <f t="shared" si="115"/>
        <v>7728.8515279445701</v>
      </c>
      <c r="K203" s="14">
        <f t="shared" si="115"/>
        <v>7655.9059019653778</v>
      </c>
      <c r="L203" s="14">
        <f t="shared" si="115"/>
        <v>7763.0924122891574</v>
      </c>
      <c r="M203" s="132">
        <f t="shared" si="115"/>
        <v>7809.5961887136318</v>
      </c>
      <c r="N203" s="193">
        <f t="shared" si="115"/>
        <v>7841.4647190562637</v>
      </c>
      <c r="O203" s="14">
        <f t="shared" si="115"/>
        <v>7854.4548335696954</v>
      </c>
      <c r="P203" s="14">
        <f t="shared" si="115"/>
        <v>7868.2271911682392</v>
      </c>
      <c r="Q203" s="14">
        <f t="shared" si="115"/>
        <v>7897.2449286417814</v>
      </c>
      <c r="R203" s="14">
        <f t="shared" si="115"/>
        <v>7920.2756252402805</v>
      </c>
      <c r="S203" s="14">
        <f t="shared" si="115"/>
        <v>7933.3952196801501</v>
      </c>
      <c r="T203" s="14">
        <f t="shared" si="115"/>
        <v>7935.7884001850698</v>
      </c>
      <c r="U203" s="14">
        <f t="shared" si="115"/>
        <v>7956.2753721940735</v>
      </c>
      <c r="V203" s="14">
        <f t="shared" si="115"/>
        <v>7946.7434325616268</v>
      </c>
      <c r="W203" s="14">
        <f t="shared" si="115"/>
        <v>7949.8028996657749</v>
      </c>
      <c r="X203" s="187">
        <f t="shared" si="115"/>
        <v>7954.2172091011616</v>
      </c>
      <c r="Y203" s="158">
        <f t="shared" si="115"/>
        <v>7953.4021073793756</v>
      </c>
      <c r="Z203" s="158">
        <f t="shared" si="115"/>
        <v>7952.7833687514967</v>
      </c>
      <c r="AA203" s="158">
        <f t="shared" si="115"/>
        <v>7951.2709687342103</v>
      </c>
      <c r="AB203" s="158">
        <f t="shared" si="115"/>
        <v>7948.5470718175302</v>
      </c>
      <c r="AC203" s="158">
        <f t="shared" si="115"/>
        <v>7947.6601618849345</v>
      </c>
      <c r="AD203" s="158">
        <f t="shared" si="115"/>
        <v>7943.2309066721182</v>
      </c>
      <c r="AE203" s="158">
        <f t="shared" si="115"/>
        <v>7942.7171468664556</v>
      </c>
      <c r="AF203" s="158">
        <f t="shared" si="115"/>
        <v>7940.871703682069</v>
      </c>
      <c r="AG203" s="158">
        <f t="shared" si="115"/>
        <v>7941.3890653822264</v>
      </c>
      <c r="AH203" s="187">
        <f t="shared" si="115"/>
        <v>7944.2102938284561</v>
      </c>
    </row>
    <row r="204" spans="1:34">
      <c r="A204" s="1" t="s">
        <v>448</v>
      </c>
      <c r="C204" s="331"/>
      <c r="D204" s="331">
        <f>D194+D197</f>
        <v>1905.0087800000001</v>
      </c>
      <c r="E204" s="331">
        <f t="shared" ref="E204:AH204" si="116">E194+E197</f>
        <v>2096.7101658074403</v>
      </c>
      <c r="F204" s="331">
        <f t="shared" si="116"/>
        <v>2243.4466968256029</v>
      </c>
      <c r="G204" s="331">
        <f t="shared" si="116"/>
        <v>2241.8111666728778</v>
      </c>
      <c r="H204" s="402">
        <f t="shared" si="116"/>
        <v>2272.8358594691963</v>
      </c>
      <c r="I204" s="14">
        <f t="shared" si="116"/>
        <v>2634.9776251673029</v>
      </c>
      <c r="J204" s="14">
        <f t="shared" si="116"/>
        <v>2868.8446221746481</v>
      </c>
      <c r="K204" s="14">
        <f t="shared" si="116"/>
        <v>2880.8905436099294</v>
      </c>
      <c r="L204" s="14">
        <f t="shared" si="116"/>
        <v>2881.0050779045014</v>
      </c>
      <c r="M204" s="14">
        <f t="shared" si="116"/>
        <v>2881.0648477055011</v>
      </c>
      <c r="N204" s="187">
        <f t="shared" si="116"/>
        <v>2881.2342029515003</v>
      </c>
      <c r="O204" s="14">
        <f t="shared" si="116"/>
        <v>2880.9828660685007</v>
      </c>
      <c r="P204" s="14">
        <f t="shared" si="116"/>
        <v>2881.0948501305011</v>
      </c>
      <c r="Q204" s="14">
        <f t="shared" si="116"/>
        <v>2881.0530303705009</v>
      </c>
      <c r="R204" s="14">
        <f t="shared" si="116"/>
        <v>2881.1408972765003</v>
      </c>
      <c r="S204" s="14">
        <f t="shared" si="116"/>
        <v>2881.1112536855007</v>
      </c>
      <c r="T204" s="14">
        <f t="shared" si="116"/>
        <v>2881.1195485915005</v>
      </c>
      <c r="U204" s="14">
        <f t="shared" si="116"/>
        <v>2908.9318045939945</v>
      </c>
      <c r="V204" s="14">
        <f t="shared" si="116"/>
        <v>2908.8776154349953</v>
      </c>
      <c r="W204" s="14">
        <f t="shared" si="116"/>
        <v>2908.8467304789947</v>
      </c>
      <c r="X204" s="187">
        <f t="shared" si="116"/>
        <v>2911.7988758439792</v>
      </c>
      <c r="Y204" s="158">
        <f t="shared" si="116"/>
        <v>2911.9045652439786</v>
      </c>
      <c r="Z204" s="158">
        <f t="shared" si="116"/>
        <v>2915.4471603988959</v>
      </c>
      <c r="AA204" s="158">
        <f t="shared" si="116"/>
        <v>2916.5011086578961</v>
      </c>
      <c r="AB204" s="158">
        <f t="shared" si="116"/>
        <v>2918.7280001998961</v>
      </c>
      <c r="AC204" s="158">
        <f t="shared" si="116"/>
        <v>2920.9735666138959</v>
      </c>
      <c r="AD204" s="158">
        <f t="shared" si="116"/>
        <v>2920.8322665968963</v>
      </c>
      <c r="AE204" s="158">
        <f t="shared" si="116"/>
        <v>2924.6545025438954</v>
      </c>
      <c r="AF204" s="158">
        <f t="shared" si="116"/>
        <v>2927.2782897978964</v>
      </c>
      <c r="AG204" s="158">
        <f t="shared" si="116"/>
        <v>2931.3290196878961</v>
      </c>
      <c r="AH204" s="187">
        <f t="shared" si="116"/>
        <v>2937.5494164448965</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453</v>
      </c>
      <c r="C206" s="331"/>
      <c r="D206" s="331">
        <f>D194</f>
        <v>1323.0416300000002</v>
      </c>
      <c r="E206" s="331">
        <f>D206+E194</f>
        <v>2723.7190240265004</v>
      </c>
      <c r="F206" s="331">
        <f>E206+F194</f>
        <v>4363.4659890720013</v>
      </c>
      <c r="G206" s="331">
        <f>F206+G194</f>
        <v>6100.3735946925017</v>
      </c>
      <c r="H206" s="402">
        <f t="shared" ref="H206:X206" si="117">G206+H194</f>
        <v>7857.3735196230018</v>
      </c>
      <c r="I206" s="14">
        <f t="shared" si="117"/>
        <v>9965.8913807625031</v>
      </c>
      <c r="J206" s="14">
        <f t="shared" si="117"/>
        <v>12297.584948976004</v>
      </c>
      <c r="K206" s="14">
        <f t="shared" si="117"/>
        <v>14630.542625645503</v>
      </c>
      <c r="L206" s="14">
        <f t="shared" si="117"/>
        <v>16963.614556497003</v>
      </c>
      <c r="M206" s="14">
        <f t="shared" si="117"/>
        <v>19296.746257149505</v>
      </c>
      <c r="N206" s="187">
        <f t="shared" si="117"/>
        <v>21630.047313048006</v>
      </c>
      <c r="O206" s="14">
        <f t="shared" si="117"/>
        <v>23963.097032063506</v>
      </c>
      <c r="P206" s="14">
        <f t="shared" si="117"/>
        <v>26296.258735141007</v>
      </c>
      <c r="Q206" s="14">
        <f t="shared" si="117"/>
        <v>28629.378618458508</v>
      </c>
      <c r="R206" s="14">
        <f t="shared" si="117"/>
        <v>30962.586368682008</v>
      </c>
      <c r="S206" s="14">
        <f t="shared" si="117"/>
        <v>33295.764475314507</v>
      </c>
      <c r="T206" s="14">
        <f t="shared" si="117"/>
        <v>35628.950876853007</v>
      </c>
      <c r="U206" s="14">
        <f t="shared" si="117"/>
        <v>37961.782021141509</v>
      </c>
      <c r="V206" s="14">
        <f t="shared" si="117"/>
        <v>40294.558976271008</v>
      </c>
      <c r="W206" s="14">
        <f t="shared" si="117"/>
        <v>42627.305046444511</v>
      </c>
      <c r="X206" s="187">
        <f t="shared" si="117"/>
        <v>44959.930473762011</v>
      </c>
      <c r="Y206" s="158">
        <f t="shared" ref="Y206:AH206" si="118">X206+Y194</f>
        <v>47292.661590479511</v>
      </c>
      <c r="Z206" s="158">
        <f t="shared" si="118"/>
        <v>49625.564567726011</v>
      </c>
      <c r="AA206" s="158">
        <f t="shared" si="118"/>
        <v>51959.521493231514</v>
      </c>
      <c r="AB206" s="158">
        <f t="shared" si="118"/>
        <v>54295.705310279016</v>
      </c>
      <c r="AC206" s="158">
        <f t="shared" si="118"/>
        <v>56634.134693740518</v>
      </c>
      <c r="AD206" s="158">
        <f t="shared" si="118"/>
        <v>58972.42277718502</v>
      </c>
      <c r="AE206" s="158">
        <f t="shared" si="118"/>
        <v>61314.533096576517</v>
      </c>
      <c r="AF206" s="158">
        <f t="shared" si="118"/>
        <v>63659.267203222014</v>
      </c>
      <c r="AG206" s="158">
        <f t="shared" si="118"/>
        <v>66008.052039757516</v>
      </c>
      <c r="AH206" s="187">
        <f t="shared" si="118"/>
        <v>68363.057273050013</v>
      </c>
    </row>
    <row r="207" spans="1:34">
      <c r="A207" s="1" t="s">
        <v>456</v>
      </c>
      <c r="C207" s="331"/>
      <c r="D207" s="331">
        <f>D200</f>
        <v>5951.902</v>
      </c>
      <c r="E207" s="331">
        <f>D207+E200</f>
        <v>11239.20367120984</v>
      </c>
      <c r="F207" s="331">
        <f>E207+F200</f>
        <v>16162.099467087137</v>
      </c>
      <c r="G207" s="331">
        <f t="shared" ref="G207:X207" si="119">F207+G200</f>
        <v>21250.137535472983</v>
      </c>
      <c r="H207" s="402">
        <f t="shared" si="119"/>
        <v>26315.192134615092</v>
      </c>
      <c r="I207" s="14">
        <f t="shared" si="119"/>
        <v>31514.097373650002</v>
      </c>
      <c r="J207" s="14">
        <f t="shared" si="119"/>
        <v>36374.104279419924</v>
      </c>
      <c r="K207" s="14">
        <f t="shared" si="119"/>
        <v>41149.119637775373</v>
      </c>
      <c r="L207" s="14">
        <f t="shared" si="119"/>
        <v>46031.206972160027</v>
      </c>
      <c r="M207" s="14">
        <f t="shared" si="119"/>
        <v>50959.738313168156</v>
      </c>
      <c r="N207" s="187">
        <f t="shared" si="119"/>
        <v>55919.968829272919</v>
      </c>
      <c r="O207" s="14">
        <f t="shared" si="119"/>
        <v>60893.440796774114</v>
      </c>
      <c r="P207" s="14">
        <f t="shared" si="119"/>
        <v>65880.573137811851</v>
      </c>
      <c r="Q207" s="14">
        <f t="shared" si="119"/>
        <v>70896.765036083132</v>
      </c>
      <c r="R207" s="14">
        <f t="shared" si="119"/>
        <v>75935.899764046917</v>
      </c>
      <c r="S207" s="14">
        <f t="shared" si="119"/>
        <v>80988.183730041565</v>
      </c>
      <c r="T207" s="14">
        <f t="shared" si="119"/>
        <v>86042.852581635132</v>
      </c>
      <c r="U207" s="14">
        <f t="shared" si="119"/>
        <v>91090.196149235213</v>
      </c>
      <c r="V207" s="14">
        <f t="shared" si="119"/>
        <v>96128.061966361842</v>
      </c>
      <c r="W207" s="14">
        <f t="shared" si="119"/>
        <v>101169.01813554863</v>
      </c>
      <c r="X207" s="187">
        <f t="shared" si="119"/>
        <v>106211.43646880581</v>
      </c>
      <c r="Y207" s="158">
        <f t="shared" ref="Y207:AH207" si="120">X207+Y200</f>
        <v>111252.93401094122</v>
      </c>
      <c r="Z207" s="158">
        <f t="shared" si="120"/>
        <v>116290.27021929382</v>
      </c>
      <c r="AA207" s="158">
        <f t="shared" si="120"/>
        <v>121325.04007937013</v>
      </c>
      <c r="AB207" s="158">
        <f t="shared" si="120"/>
        <v>126354.85915098776</v>
      </c>
      <c r="AC207" s="158">
        <f t="shared" si="120"/>
        <v>131381.54574625881</v>
      </c>
      <c r="AD207" s="158">
        <f t="shared" si="120"/>
        <v>136403.94438633404</v>
      </c>
      <c r="AE207" s="158">
        <f t="shared" si="120"/>
        <v>141422.00703065659</v>
      </c>
      <c r="AF207" s="158">
        <f t="shared" si="120"/>
        <v>146435.60044454076</v>
      </c>
      <c r="AG207" s="158">
        <f t="shared" si="120"/>
        <v>151445.66049023508</v>
      </c>
      <c r="AH207" s="187">
        <f t="shared" si="120"/>
        <v>156452.32136761863</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412</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409</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41">
        <f>SUM(C214:C215)</f>
        <v>968.38736000000006</v>
      </c>
      <c r="D213" s="341">
        <f t="shared" ref="D213:AH213" si="124">SUM(D214:D215)</f>
        <v>1323.042392592733</v>
      </c>
      <c r="E213" s="341">
        <f t="shared" si="124"/>
        <v>1400.6771240265002</v>
      </c>
      <c r="F213" s="341">
        <f t="shared" si="124"/>
        <v>1639.7466950455005</v>
      </c>
      <c r="G213" s="341">
        <f t="shared" si="124"/>
        <v>1736.9073356205004</v>
      </c>
      <c r="H213" s="405">
        <f t="shared" si="124"/>
        <v>1756.9996549305001</v>
      </c>
      <c r="I213" s="15">
        <f t="shared" si="124"/>
        <v>2108.6770743553625</v>
      </c>
      <c r="J213" s="15">
        <f t="shared" si="124"/>
        <v>2331.8137148435208</v>
      </c>
      <c r="K213" s="15">
        <f t="shared" si="124"/>
        <v>2333.1114226735963</v>
      </c>
      <c r="L213" s="15">
        <f t="shared" si="124"/>
        <v>2333.2630534946961</v>
      </c>
      <c r="M213" s="15">
        <f t="shared" si="124"/>
        <v>2487.3432362880026</v>
      </c>
      <c r="N213" s="190">
        <f t="shared" si="124"/>
        <v>2658.1902689573544</v>
      </c>
      <c r="O213" s="15">
        <f t="shared" si="124"/>
        <v>2712.2563466214906</v>
      </c>
      <c r="P213" s="15">
        <f t="shared" si="124"/>
        <v>2767.661652346299</v>
      </c>
      <c r="Q213" s="15">
        <f t="shared" si="124"/>
        <v>2830.442338225098</v>
      </c>
      <c r="R213" s="15">
        <f t="shared" si="124"/>
        <v>2892.0851907471033</v>
      </c>
      <c r="S213" s="15">
        <f t="shared" si="124"/>
        <v>2950.860109701488</v>
      </c>
      <c r="T213" s="15">
        <f t="shared" si="124"/>
        <v>3006.1828881367919</v>
      </c>
      <c r="U213" s="15">
        <f t="shared" si="124"/>
        <v>3067.2429998934149</v>
      </c>
      <c r="V213" s="15">
        <f t="shared" si="124"/>
        <v>3119.4201981856977</v>
      </c>
      <c r="W213" s="15">
        <f t="shared" si="124"/>
        <v>3178.2137086505481</v>
      </c>
      <c r="X213" s="190">
        <f t="shared" si="124"/>
        <v>3238.3768451509595</v>
      </c>
      <c r="Y213" s="130">
        <f t="shared" si="124"/>
        <v>3248.6144440578364</v>
      </c>
      <c r="Z213" s="130">
        <f t="shared" si="124"/>
        <v>3258.551907799927</v>
      </c>
      <c r="AA213" s="130">
        <f t="shared" si="124"/>
        <v>3268.4125944714715</v>
      </c>
      <c r="AB213" s="130">
        <f t="shared" si="124"/>
        <v>3277.5412509536163</v>
      </c>
      <c r="AC213" s="130">
        <f t="shared" si="124"/>
        <v>3287.5520730106887</v>
      </c>
      <c r="AD213" s="130">
        <f t="shared" si="124"/>
        <v>3296.3187442835251</v>
      </c>
      <c r="AE213" s="130">
        <f t="shared" si="124"/>
        <v>3306.2949788292071</v>
      </c>
      <c r="AF213" s="130">
        <f t="shared" si="124"/>
        <v>3315.8701464512669</v>
      </c>
      <c r="AG213" s="130">
        <f t="shared" si="124"/>
        <v>3326.364059999094</v>
      </c>
      <c r="AH213" s="190">
        <f t="shared" si="124"/>
        <v>3337.3713152546825</v>
      </c>
    </row>
    <row r="214" spans="1:34">
      <c r="A214" t="s">
        <v>398</v>
      </c>
      <c r="C214" s="331">
        <f>C115</f>
        <v>509.67770000000002</v>
      </c>
      <c r="D214" s="331">
        <f t="shared" ref="D214:AH214" si="125">D115</f>
        <v>696.3382478684465</v>
      </c>
      <c r="E214" s="331">
        <f t="shared" si="125"/>
        <v>737.19862843500016</v>
      </c>
      <c r="F214" s="331">
        <f t="shared" si="125"/>
        <v>863.02471844500019</v>
      </c>
      <c r="G214" s="331">
        <f t="shared" si="125"/>
        <v>914.16189769500022</v>
      </c>
      <c r="H214" s="402">
        <f t="shared" si="125"/>
        <v>924.73680259500009</v>
      </c>
      <c r="I214" s="14">
        <f t="shared" si="125"/>
        <v>1109.8301913978862</v>
      </c>
      <c r="J214" s="14">
        <f t="shared" si="125"/>
        <v>1227.270526570881</v>
      </c>
      <c r="K214" s="14">
        <f t="shared" si="125"/>
        <v>1227.9535311687464</v>
      </c>
      <c r="L214" s="14">
        <f t="shared" si="125"/>
        <v>1228.0333415196935</v>
      </c>
      <c r="M214" s="14">
        <f t="shared" si="125"/>
        <v>1309.1281779202595</v>
      </c>
      <c r="N214" s="182">
        <f t="shared" si="125"/>
        <v>1399.0476718695963</v>
      </c>
      <c r="O214" s="14">
        <f t="shared" si="125"/>
        <v>1427.503505511934</v>
      </c>
      <c r="P214" s="14">
        <f t="shared" si="125"/>
        <v>1456.6641961098721</v>
      </c>
      <c r="Q214" s="14">
        <f t="shared" si="125"/>
        <v>1489.7066661854105</v>
      </c>
      <c r="R214" s="14">
        <f t="shared" si="125"/>
        <v>1522.1502765301809</v>
      </c>
      <c r="S214" s="14">
        <f t="shared" si="125"/>
        <v>1553.0844479804848</v>
      </c>
      <c r="T214" s="14">
        <f t="shared" si="125"/>
        <v>1582.2017031578685</v>
      </c>
      <c r="U214" s="14">
        <f t="shared" si="125"/>
        <v>1614.3386078011572</v>
      </c>
      <c r="V214" s="14">
        <f t="shared" si="125"/>
        <v>1641.8002942906385</v>
      </c>
      <c r="W214" s="14">
        <f t="shared" si="125"/>
        <v>1672.7442507475828</v>
      </c>
      <c r="X214" s="187">
        <f t="shared" si="125"/>
        <v>1704.4090630961318</v>
      </c>
      <c r="Y214" s="158">
        <f t="shared" si="125"/>
        <v>1709.7972736706211</v>
      </c>
      <c r="Z214" s="158">
        <f t="shared" si="125"/>
        <v>1715.0275183502067</v>
      </c>
      <c r="AA214" s="158">
        <f t="shared" si="125"/>
        <v>1720.2173540383842</v>
      </c>
      <c r="AB214" s="158">
        <f t="shared" si="125"/>
        <v>1725.0219106347747</v>
      </c>
      <c r="AC214" s="158">
        <f t="shared" si="125"/>
        <v>1730.2907649562198</v>
      </c>
      <c r="AD214" s="158">
        <f t="shared" si="125"/>
        <v>1734.9048029994481</v>
      </c>
      <c r="AE214" s="158">
        <f t="shared" si="125"/>
        <v>1740.1554533656633</v>
      </c>
      <c r="AF214" s="158">
        <f t="shared" si="125"/>
        <v>1745.1950158528086</v>
      </c>
      <c r="AG214" s="158">
        <f t="shared" si="125"/>
        <v>1750.7181288828529</v>
      </c>
      <c r="AH214" s="187">
        <f t="shared" si="125"/>
        <v>1756.5114218113722</v>
      </c>
    </row>
    <row r="215" spans="1:34">
      <c r="A215" t="s">
        <v>399</v>
      </c>
      <c r="C215" s="331">
        <f>C142</f>
        <v>458.70966000000004</v>
      </c>
      <c r="D215" s="331">
        <f t="shared" ref="D215:AH215" si="126">D142</f>
        <v>626.70414472428661</v>
      </c>
      <c r="E215" s="331">
        <f t="shared" si="126"/>
        <v>663.47849559150006</v>
      </c>
      <c r="F215" s="331">
        <f t="shared" si="126"/>
        <v>776.72197660050017</v>
      </c>
      <c r="G215" s="331">
        <f t="shared" si="126"/>
        <v>822.74543792550014</v>
      </c>
      <c r="H215" s="402">
        <f t="shared" si="126"/>
        <v>832.26285233550016</v>
      </c>
      <c r="I215" s="14">
        <f t="shared" si="126"/>
        <v>998.84688295747605</v>
      </c>
      <c r="J215" s="14">
        <f t="shared" si="126"/>
        <v>1104.54318827264</v>
      </c>
      <c r="K215" s="14">
        <f t="shared" si="126"/>
        <v>1105.1578915048497</v>
      </c>
      <c r="L215" s="14">
        <f t="shared" si="126"/>
        <v>1105.2297119750026</v>
      </c>
      <c r="M215" s="14">
        <f t="shared" si="126"/>
        <v>1178.215058367743</v>
      </c>
      <c r="N215" s="182">
        <f t="shared" si="126"/>
        <v>1259.1425970877581</v>
      </c>
      <c r="O215" s="14">
        <f t="shared" si="126"/>
        <v>1284.7528411095568</v>
      </c>
      <c r="P215" s="14">
        <f t="shared" si="126"/>
        <v>1310.9974562364266</v>
      </c>
      <c r="Q215" s="14">
        <f t="shared" si="126"/>
        <v>1340.7356720396874</v>
      </c>
      <c r="R215" s="14">
        <f t="shared" si="126"/>
        <v>1369.9349142169226</v>
      </c>
      <c r="S215" s="14">
        <f t="shared" si="126"/>
        <v>1397.7756617210034</v>
      </c>
      <c r="T215" s="14">
        <f t="shared" si="126"/>
        <v>1423.9811849789237</v>
      </c>
      <c r="U215" s="14">
        <f t="shared" si="126"/>
        <v>1452.9043920922577</v>
      </c>
      <c r="V215" s="14">
        <f t="shared" si="126"/>
        <v>1477.6199038950595</v>
      </c>
      <c r="W215" s="14">
        <f t="shared" si="126"/>
        <v>1505.4694579029654</v>
      </c>
      <c r="X215" s="187">
        <f t="shared" si="126"/>
        <v>1533.9677820548279</v>
      </c>
      <c r="Y215" s="158">
        <f t="shared" si="126"/>
        <v>1538.8171703872154</v>
      </c>
      <c r="Z215" s="158">
        <f t="shared" si="126"/>
        <v>1543.5243894497203</v>
      </c>
      <c r="AA215" s="158">
        <f t="shared" si="126"/>
        <v>1548.1952404330873</v>
      </c>
      <c r="AB215" s="158">
        <f t="shared" si="126"/>
        <v>1552.5193403188414</v>
      </c>
      <c r="AC215" s="158">
        <f t="shared" si="126"/>
        <v>1557.2613080544688</v>
      </c>
      <c r="AD215" s="158">
        <f t="shared" si="126"/>
        <v>1561.4139412840773</v>
      </c>
      <c r="AE215" s="158">
        <f t="shared" si="126"/>
        <v>1566.1395254635438</v>
      </c>
      <c r="AF215" s="158">
        <f t="shared" si="126"/>
        <v>1570.6751305984585</v>
      </c>
      <c r="AG215" s="158">
        <f t="shared" si="126"/>
        <v>1575.6459311162414</v>
      </c>
      <c r="AH215" s="187">
        <f t="shared" si="126"/>
        <v>1580.8598934433103</v>
      </c>
    </row>
    <row r="216" spans="1:34">
      <c r="A216" t="s">
        <v>400</v>
      </c>
      <c r="C216" s="331">
        <f>SUM(C217:C218)</f>
        <v>420.37215000000003</v>
      </c>
      <c r="D216" s="331">
        <f t="shared" ref="D216:AH216" si="127">SUM(D217:D218)</f>
        <v>440.83519198212838</v>
      </c>
      <c r="E216" s="331">
        <f t="shared" si="127"/>
        <v>420.58076519210942</v>
      </c>
      <c r="F216" s="331">
        <f t="shared" si="127"/>
        <v>415.18095740483841</v>
      </c>
      <c r="G216" s="331">
        <f t="shared" si="127"/>
        <v>437.78881444615683</v>
      </c>
      <c r="H216" s="402">
        <f t="shared" si="127"/>
        <v>515.83593453869594</v>
      </c>
      <c r="I216" s="14">
        <f t="shared" si="127"/>
        <v>546.310361329226</v>
      </c>
      <c r="J216" s="14">
        <f t="shared" si="127"/>
        <v>533.15015875535209</v>
      </c>
      <c r="K216" s="14">
        <f t="shared" si="127"/>
        <v>528.63977027581063</v>
      </c>
      <c r="L216" s="14">
        <f t="shared" si="127"/>
        <v>538.63600937868932</v>
      </c>
      <c r="M216" s="14">
        <f t="shared" si="127"/>
        <v>543.85878009464818</v>
      </c>
      <c r="N216" s="190">
        <f t="shared" si="127"/>
        <v>547.93314705300031</v>
      </c>
      <c r="O216" s="14">
        <f t="shared" si="127"/>
        <v>551.23701430718393</v>
      </c>
      <c r="P216" s="14">
        <f t="shared" si="127"/>
        <v>554.59948417855219</v>
      </c>
      <c r="Q216" s="14">
        <f t="shared" si="127"/>
        <v>559.2066961477849</v>
      </c>
      <c r="R216" s="14">
        <f t="shared" si="127"/>
        <v>563.34382356895367</v>
      </c>
      <c r="S216" s="15">
        <f t="shared" si="127"/>
        <v>566.69366427053558</v>
      </c>
      <c r="T216" s="14">
        <f t="shared" si="127"/>
        <v>569.17438554633054</v>
      </c>
      <c r="U216" s="14">
        <f t="shared" si="127"/>
        <v>572.5340710368057</v>
      </c>
      <c r="V216" s="14">
        <f t="shared" si="127"/>
        <v>574.04148785605867</v>
      </c>
      <c r="W216" s="14">
        <f t="shared" si="127"/>
        <v>576.58302005498285</v>
      </c>
      <c r="X216" s="187">
        <f t="shared" si="127"/>
        <v>579.17344852647841</v>
      </c>
      <c r="Y216" s="158">
        <f t="shared" si="127"/>
        <v>579.59568920917718</v>
      </c>
      <c r="Z216" s="158">
        <f t="shared" si="127"/>
        <v>579.95740832557203</v>
      </c>
      <c r="AA216" s="158">
        <f t="shared" si="127"/>
        <v>580.29339845211643</v>
      </c>
      <c r="AB216" s="158">
        <f t="shared" si="127"/>
        <v>580.49382934330333</v>
      </c>
      <c r="AC216" s="158">
        <f t="shared" si="127"/>
        <v>580.84622865171809</v>
      </c>
      <c r="AD216" s="158">
        <f t="shared" si="127"/>
        <v>580.97316366119776</v>
      </c>
      <c r="AE216" s="158">
        <f t="shared" si="127"/>
        <v>581.30963201185011</v>
      </c>
      <c r="AF216" s="158">
        <f t="shared" si="127"/>
        <v>581.5699679141062</v>
      </c>
      <c r="AG216" s="158">
        <f t="shared" si="127"/>
        <v>581.98508371775029</v>
      </c>
      <c r="AH216" s="187">
        <f t="shared" si="127"/>
        <v>582.54418315239582</v>
      </c>
    </row>
    <row r="217" spans="1:34">
      <c r="A217" t="s">
        <v>401</v>
      </c>
      <c r="C217" s="331">
        <f>C114</f>
        <v>221.24850000000001</v>
      </c>
      <c r="D217" s="331">
        <f t="shared" ref="D217:AH217" si="128">D114</f>
        <v>232.01852209585704</v>
      </c>
      <c r="E217" s="331">
        <f t="shared" si="128"/>
        <v>221.35829746953127</v>
      </c>
      <c r="F217" s="331">
        <f t="shared" si="128"/>
        <v>218.51629337096759</v>
      </c>
      <c r="G217" s="331">
        <f t="shared" si="128"/>
        <v>230.41516549797728</v>
      </c>
      <c r="H217" s="402">
        <f t="shared" si="128"/>
        <v>271.4925971256294</v>
      </c>
      <c r="I217" s="14">
        <f t="shared" si="128"/>
        <v>287.53176912064527</v>
      </c>
      <c r="J217" s="14">
        <f t="shared" si="128"/>
        <v>280.60534671334318</v>
      </c>
      <c r="K217" s="14">
        <f t="shared" si="128"/>
        <v>278.23145803990036</v>
      </c>
      <c r="L217" s="14">
        <f t="shared" si="128"/>
        <v>283.4926365150996</v>
      </c>
      <c r="M217" s="14">
        <f t="shared" si="128"/>
        <v>286.24146320770956</v>
      </c>
      <c r="N217" s="187">
        <f t="shared" si="128"/>
        <v>288.3858668700002</v>
      </c>
      <c r="O217" s="14">
        <f t="shared" si="128"/>
        <v>290.12474437220203</v>
      </c>
      <c r="P217" s="14">
        <f t="shared" si="128"/>
        <v>291.89446535713273</v>
      </c>
      <c r="Q217" s="14">
        <f t="shared" si="128"/>
        <v>294.31931376199202</v>
      </c>
      <c r="R217" s="14">
        <f t="shared" si="128"/>
        <v>296.49674924681773</v>
      </c>
      <c r="S217" s="14">
        <f t="shared" si="128"/>
        <v>298.25982330028188</v>
      </c>
      <c r="T217" s="14">
        <f t="shared" si="128"/>
        <v>299.56546607701608</v>
      </c>
      <c r="U217" s="14">
        <f t="shared" si="128"/>
        <v>301.33372159831879</v>
      </c>
      <c r="V217" s="14">
        <f t="shared" si="128"/>
        <v>302.12709887160986</v>
      </c>
      <c r="W217" s="14">
        <f t="shared" si="128"/>
        <v>303.46474739735936</v>
      </c>
      <c r="X217" s="187">
        <f t="shared" si="128"/>
        <v>304.82813080340969</v>
      </c>
      <c r="Y217" s="158">
        <f t="shared" si="128"/>
        <v>305.05036274167219</v>
      </c>
      <c r="Z217" s="158">
        <f t="shared" si="128"/>
        <v>305.24074122398531</v>
      </c>
      <c r="AA217" s="158">
        <f t="shared" si="128"/>
        <v>305.41757813269282</v>
      </c>
      <c r="AB217" s="158">
        <f t="shared" si="128"/>
        <v>305.52306807542283</v>
      </c>
      <c r="AC217" s="158">
        <f t="shared" si="128"/>
        <v>305.70854139564113</v>
      </c>
      <c r="AD217" s="158">
        <f t="shared" si="128"/>
        <v>305.77534929536728</v>
      </c>
      <c r="AE217" s="158">
        <f t="shared" si="128"/>
        <v>305.95243790097373</v>
      </c>
      <c r="AF217" s="158">
        <f t="shared" si="128"/>
        <v>306.08945679689799</v>
      </c>
      <c r="AG217" s="158">
        <f t="shared" si="128"/>
        <v>306.30793879881594</v>
      </c>
      <c r="AH217" s="187">
        <f t="shared" si="128"/>
        <v>306.6022016591557</v>
      </c>
    </row>
    <row r="218" spans="1:34">
      <c r="A218" t="s">
        <v>402</v>
      </c>
      <c r="C218" s="331">
        <f>C141</f>
        <v>199.12365</v>
      </c>
      <c r="D218" s="331">
        <f t="shared" ref="D218:AH218" si="129">D141</f>
        <v>208.81666988627134</v>
      </c>
      <c r="E218" s="331">
        <f t="shared" si="129"/>
        <v>199.22246772257813</v>
      </c>
      <c r="F218" s="331">
        <f t="shared" si="129"/>
        <v>196.66466403387082</v>
      </c>
      <c r="G218" s="331">
        <f t="shared" si="129"/>
        <v>207.37364894817955</v>
      </c>
      <c r="H218" s="402">
        <f t="shared" si="129"/>
        <v>244.34333741306648</v>
      </c>
      <c r="I218" s="14">
        <f t="shared" si="129"/>
        <v>258.77859220858073</v>
      </c>
      <c r="J218" s="14">
        <f t="shared" si="129"/>
        <v>252.54481204200886</v>
      </c>
      <c r="K218" s="14">
        <f t="shared" si="129"/>
        <v>250.40831223591033</v>
      </c>
      <c r="L218" s="14">
        <f t="shared" si="129"/>
        <v>255.14337286358966</v>
      </c>
      <c r="M218" s="14">
        <f t="shared" si="129"/>
        <v>257.61731688693862</v>
      </c>
      <c r="N218" s="187">
        <f t="shared" si="129"/>
        <v>259.54728018300017</v>
      </c>
      <c r="O218" s="14">
        <f t="shared" si="129"/>
        <v>261.11226993498184</v>
      </c>
      <c r="P218" s="14">
        <f t="shared" si="129"/>
        <v>262.70501882141946</v>
      </c>
      <c r="Q218" s="14">
        <f t="shared" si="129"/>
        <v>264.88738238579282</v>
      </c>
      <c r="R218" s="14">
        <f t="shared" si="129"/>
        <v>266.84707432213594</v>
      </c>
      <c r="S218" s="14">
        <f t="shared" si="129"/>
        <v>268.4338409702537</v>
      </c>
      <c r="T218" s="14">
        <f t="shared" si="129"/>
        <v>269.60891946931446</v>
      </c>
      <c r="U218" s="14">
        <f t="shared" si="129"/>
        <v>271.20034943848691</v>
      </c>
      <c r="V218" s="14">
        <f t="shared" si="129"/>
        <v>271.91438898444886</v>
      </c>
      <c r="W218" s="14">
        <f t="shared" si="129"/>
        <v>273.11827265762344</v>
      </c>
      <c r="X218" s="187">
        <f t="shared" si="129"/>
        <v>274.34531772306872</v>
      </c>
      <c r="Y218" s="158">
        <f t="shared" si="129"/>
        <v>274.54532646750499</v>
      </c>
      <c r="Z218" s="158">
        <f t="shared" si="129"/>
        <v>274.71666710158678</v>
      </c>
      <c r="AA218" s="158">
        <f t="shared" si="129"/>
        <v>274.87582031942355</v>
      </c>
      <c r="AB218" s="158">
        <f t="shared" si="129"/>
        <v>274.97076126788056</v>
      </c>
      <c r="AC218" s="158">
        <f t="shared" si="129"/>
        <v>275.13768725607702</v>
      </c>
      <c r="AD218" s="158">
        <f t="shared" si="129"/>
        <v>275.19781436583054</v>
      </c>
      <c r="AE218" s="158">
        <f t="shared" si="129"/>
        <v>275.35719411087638</v>
      </c>
      <c r="AF218" s="158">
        <f t="shared" si="129"/>
        <v>275.48051111720821</v>
      </c>
      <c r="AG218" s="158">
        <f t="shared" si="129"/>
        <v>275.67714491893435</v>
      </c>
      <c r="AH218" s="187">
        <f t="shared" si="129"/>
        <v>275.94198149324012</v>
      </c>
    </row>
    <row r="219" spans="1:34" s="1" customFormat="1">
      <c r="A219" s="1" t="s">
        <v>394</v>
      </c>
      <c r="B219" s="13"/>
      <c r="C219" s="341">
        <f>SUM(C220:C221)</f>
        <v>6193.6940999999997</v>
      </c>
      <c r="D219" s="341">
        <f t="shared" ref="D219:AH219" si="130">SUM(D220:D221)</f>
        <v>6057.885157603183</v>
      </c>
      <c r="E219" s="341">
        <f t="shared" si="130"/>
        <v>5489.2371093749825</v>
      </c>
      <c r="F219" s="341">
        <f t="shared" si="130"/>
        <v>5061.0801970858247</v>
      </c>
      <c r="G219" s="341">
        <f t="shared" si="130"/>
        <v>5137.1928492304069</v>
      </c>
      <c r="H219" s="405">
        <f t="shared" si="130"/>
        <v>5064.782899142112</v>
      </c>
      <c r="I219" s="15">
        <f t="shared" si="130"/>
        <v>5183.7918961553887</v>
      </c>
      <c r="J219" s="15">
        <f t="shared" si="130"/>
        <v>4862.1946038956339</v>
      </c>
      <c r="K219" s="15">
        <f t="shared" si="130"/>
        <v>4788.1911133863641</v>
      </c>
      <c r="L219" s="15">
        <f t="shared" si="130"/>
        <v>4887.7078080341907</v>
      </c>
      <c r="M219" s="15">
        <f t="shared" si="130"/>
        <v>4830.4624540341911</v>
      </c>
      <c r="N219" s="190">
        <f t="shared" si="130"/>
        <v>4748.5320986122451</v>
      </c>
      <c r="O219" s="15">
        <f t="shared" si="130"/>
        <v>4723.9959081307679</v>
      </c>
      <c r="P219" s="15">
        <f t="shared" si="130"/>
        <v>4699.2017052668371</v>
      </c>
      <c r="Q219" s="15">
        <f t="shared" si="130"/>
        <v>4684.0274955250043</v>
      </c>
      <c r="R219" s="15">
        <f t="shared" si="130"/>
        <v>4663.8947153071676</v>
      </c>
      <c r="S219" s="15">
        <f t="shared" si="130"/>
        <v>4636.3312495027958</v>
      </c>
      <c r="T219" s="15">
        <f t="shared" si="130"/>
        <v>4600.8988023201719</v>
      </c>
      <c r="U219" s="15">
        <f t="shared" si="130"/>
        <v>4571.8210926779166</v>
      </c>
      <c r="V219" s="15">
        <f t="shared" si="130"/>
        <v>4527.2354635688625</v>
      </c>
      <c r="W219" s="15">
        <f t="shared" si="130"/>
        <v>4490.1939457813596</v>
      </c>
      <c r="X219" s="190">
        <f t="shared" si="130"/>
        <v>4452.7965160512813</v>
      </c>
      <c r="Y219" s="130">
        <f t="shared" si="130"/>
        <v>4444.7977691570668</v>
      </c>
      <c r="Z219" s="130">
        <f t="shared" si="130"/>
        <v>4436.312813289298</v>
      </c>
      <c r="AA219" s="130">
        <f t="shared" si="130"/>
        <v>4427.5932609879546</v>
      </c>
      <c r="AB219" s="130">
        <f t="shared" si="130"/>
        <v>4417.821258633925</v>
      </c>
      <c r="AC219" s="130">
        <f t="shared" si="130"/>
        <v>4409.1974558516667</v>
      </c>
      <c r="AD219" s="130">
        <f t="shared" si="130"/>
        <v>4398.8440257528509</v>
      </c>
      <c r="AE219" s="130">
        <f t="shared" si="130"/>
        <v>4390.070962273754</v>
      </c>
      <c r="AF219" s="130">
        <f t="shared" si="130"/>
        <v>4380.7045143130881</v>
      </c>
      <c r="AG219" s="130">
        <f t="shared" si="130"/>
        <v>4372.4893185473848</v>
      </c>
      <c r="AH219" s="190">
        <f t="shared" si="130"/>
        <v>4365.5272839374056</v>
      </c>
    </row>
    <row r="220" spans="1:34">
      <c r="A220" t="s">
        <v>403</v>
      </c>
      <c r="C220" s="331">
        <f>SUM(C116:C117)</f>
        <v>3259.8389999999999</v>
      </c>
      <c r="D220" s="331">
        <f t="shared" ref="D220:AH220" si="131">SUM(D116:D117)</f>
        <v>3188.3606092648333</v>
      </c>
      <c r="E220" s="331">
        <f t="shared" si="131"/>
        <v>2889.072162828938</v>
      </c>
      <c r="F220" s="331">
        <f t="shared" si="131"/>
        <v>2663.726419518855</v>
      </c>
      <c r="G220" s="331">
        <f t="shared" si="131"/>
        <v>2703.7857101212667</v>
      </c>
      <c r="H220" s="402">
        <f t="shared" si="131"/>
        <v>2665.6752100747958</v>
      </c>
      <c r="I220" s="14">
        <f t="shared" si="131"/>
        <v>2728.3115242923095</v>
      </c>
      <c r="J220" s="14">
        <f t="shared" si="131"/>
        <v>2559.0497915240176</v>
      </c>
      <c r="K220" s="14">
        <f t="shared" si="131"/>
        <v>2520.1005859928232</v>
      </c>
      <c r="L220" s="14">
        <f t="shared" si="131"/>
        <v>2572.4777937022059</v>
      </c>
      <c r="M220" s="14">
        <f t="shared" si="131"/>
        <v>2542.3486600179954</v>
      </c>
      <c r="N220" s="187">
        <f t="shared" si="131"/>
        <v>2499.2274203222341</v>
      </c>
      <c r="O220" s="14">
        <f t="shared" si="131"/>
        <v>2486.3136358582992</v>
      </c>
      <c r="P220" s="14">
        <f t="shared" si="131"/>
        <v>2473.2640554035984</v>
      </c>
      <c r="Q220" s="14">
        <f t="shared" si="131"/>
        <v>2465.2776292236863</v>
      </c>
      <c r="R220" s="14">
        <f t="shared" si="131"/>
        <v>2454.6814291090354</v>
      </c>
      <c r="S220" s="14">
        <f t="shared" si="131"/>
        <v>2440.1743418435767</v>
      </c>
      <c r="T220" s="14">
        <f t="shared" si="131"/>
        <v>2421.5256854316694</v>
      </c>
      <c r="U220" s="14">
        <f t="shared" si="131"/>
        <v>2406.2216277252192</v>
      </c>
      <c r="V220" s="14">
        <f t="shared" si="131"/>
        <v>2382.7555071415063</v>
      </c>
      <c r="W220" s="14">
        <f t="shared" si="131"/>
        <v>2363.2599714638736</v>
      </c>
      <c r="X220" s="187">
        <f t="shared" si="131"/>
        <v>2343.5771137112006</v>
      </c>
      <c r="Y220" s="158">
        <f t="shared" si="131"/>
        <v>2339.3672469247722</v>
      </c>
      <c r="Z220" s="158">
        <f t="shared" si="131"/>
        <v>2334.9014806785776</v>
      </c>
      <c r="AA220" s="158">
        <f t="shared" si="131"/>
        <v>2330.3122426252389</v>
      </c>
      <c r="AB220" s="158">
        <f t="shared" si="131"/>
        <v>2325.1690834915398</v>
      </c>
      <c r="AC220" s="158">
        <f t="shared" si="131"/>
        <v>2320.6302399219298</v>
      </c>
      <c r="AD220" s="158">
        <f t="shared" si="131"/>
        <v>2315.1810661857112</v>
      </c>
      <c r="AE220" s="158">
        <f t="shared" si="131"/>
        <v>2310.5636643546072</v>
      </c>
      <c r="AF220" s="158">
        <f t="shared" si="131"/>
        <v>2305.6339549016252</v>
      </c>
      <c r="AG220" s="158">
        <f t="shared" si="131"/>
        <v>2301.3101676565179</v>
      </c>
      <c r="AH220" s="187">
        <f t="shared" si="131"/>
        <v>2297.6459389144238</v>
      </c>
    </row>
    <row r="221" spans="1:34">
      <c r="A221" t="s">
        <v>404</v>
      </c>
      <c r="C221" s="331">
        <f>SUM(C143:C144)</f>
        <v>2933.8550999999998</v>
      </c>
      <c r="D221" s="331">
        <f t="shared" ref="D221:AH221" si="132">SUM(D143:D144)</f>
        <v>2869.5245483383501</v>
      </c>
      <c r="E221" s="331">
        <f t="shared" si="132"/>
        <v>2600.1649465460441</v>
      </c>
      <c r="F221" s="331">
        <f t="shared" si="132"/>
        <v>2397.3537775669697</v>
      </c>
      <c r="G221" s="331">
        <f t="shared" si="132"/>
        <v>2433.4071391091397</v>
      </c>
      <c r="H221" s="402">
        <f t="shared" si="132"/>
        <v>2399.1076890673162</v>
      </c>
      <c r="I221" s="14">
        <f t="shared" si="132"/>
        <v>2455.4803718630792</v>
      </c>
      <c r="J221" s="14">
        <f t="shared" si="132"/>
        <v>2303.1448123716159</v>
      </c>
      <c r="K221" s="14">
        <f t="shared" si="132"/>
        <v>2268.0905273935409</v>
      </c>
      <c r="L221" s="14">
        <f t="shared" si="132"/>
        <v>2315.2300143319853</v>
      </c>
      <c r="M221" s="14">
        <f t="shared" si="132"/>
        <v>2288.1137940161957</v>
      </c>
      <c r="N221" s="187">
        <f t="shared" si="132"/>
        <v>2249.304678290011</v>
      </c>
      <c r="O221" s="14">
        <f t="shared" si="132"/>
        <v>2237.6822722724692</v>
      </c>
      <c r="P221" s="14">
        <f t="shared" si="132"/>
        <v>2225.9376498632387</v>
      </c>
      <c r="Q221" s="14">
        <f t="shared" si="132"/>
        <v>2218.749866301318</v>
      </c>
      <c r="R221" s="14">
        <f t="shared" si="132"/>
        <v>2209.2132861981322</v>
      </c>
      <c r="S221" s="14">
        <f t="shared" si="132"/>
        <v>2196.1569076592191</v>
      </c>
      <c r="T221" s="14">
        <f t="shared" si="132"/>
        <v>2179.3731168885024</v>
      </c>
      <c r="U221" s="14">
        <f t="shared" si="132"/>
        <v>2165.5994649526974</v>
      </c>
      <c r="V221" s="14">
        <f t="shared" si="132"/>
        <v>2144.4799564273558</v>
      </c>
      <c r="W221" s="14">
        <f t="shared" si="132"/>
        <v>2126.933974317486</v>
      </c>
      <c r="X221" s="187">
        <f t="shared" si="132"/>
        <v>2109.2194023400807</v>
      </c>
      <c r="Y221" s="158">
        <f t="shared" si="132"/>
        <v>2105.4305222322951</v>
      </c>
      <c r="Z221" s="158">
        <f t="shared" si="132"/>
        <v>2101.4113326107199</v>
      </c>
      <c r="AA221" s="158">
        <f t="shared" si="132"/>
        <v>2097.2810183627153</v>
      </c>
      <c r="AB221" s="158">
        <f t="shared" si="132"/>
        <v>2092.6521751423857</v>
      </c>
      <c r="AC221" s="158">
        <f t="shared" si="132"/>
        <v>2088.5672159297369</v>
      </c>
      <c r="AD221" s="158">
        <f t="shared" si="132"/>
        <v>2083.6629595671402</v>
      </c>
      <c r="AE221" s="158">
        <f t="shared" si="132"/>
        <v>2079.5072979191464</v>
      </c>
      <c r="AF221" s="158">
        <f t="shared" si="132"/>
        <v>2075.0705594114629</v>
      </c>
      <c r="AG221" s="158">
        <f t="shared" si="132"/>
        <v>2071.1791508908664</v>
      </c>
      <c r="AH221" s="187">
        <f t="shared" si="132"/>
        <v>2067.8813450229818</v>
      </c>
    </row>
    <row r="222" spans="1:34">
      <c r="A222" s="1" t="s">
        <v>426</v>
      </c>
      <c r="C222" s="331">
        <f>SUM(C210,C213,C216,C219)</f>
        <v>7582.4536099999996</v>
      </c>
      <c r="D222" s="331">
        <f t="shared" ref="D222:AH222" si="133">SUM(D210,D213,D216,D219)</f>
        <v>7821.7627421780444</v>
      </c>
      <c r="E222" s="331">
        <f t="shared" si="133"/>
        <v>7310.4949985935928</v>
      </c>
      <c r="F222" s="331">
        <f t="shared" si="133"/>
        <v>7116.0078495361631</v>
      </c>
      <c r="G222" s="331">
        <f t="shared" si="133"/>
        <v>7311.8889992970635</v>
      </c>
      <c r="H222" s="402">
        <f t="shared" si="133"/>
        <v>7337.6184886113078</v>
      </c>
      <c r="I222" s="14">
        <f t="shared" si="133"/>
        <v>7838.7793318399772</v>
      </c>
      <c r="J222" s="14">
        <f t="shared" si="133"/>
        <v>7727.1584774945068</v>
      </c>
      <c r="K222" s="14">
        <f t="shared" si="133"/>
        <v>7649.9423063357708</v>
      </c>
      <c r="L222" s="14">
        <f t="shared" si="133"/>
        <v>7759.6068709075762</v>
      </c>
      <c r="M222" s="14">
        <f t="shared" si="133"/>
        <v>7861.6644704168421</v>
      </c>
      <c r="N222" s="187">
        <f t="shared" si="133"/>
        <v>7954.6555146226001</v>
      </c>
      <c r="O222" s="14">
        <f t="shared" si="133"/>
        <v>7987.4892690594424</v>
      </c>
      <c r="P222" s="14">
        <f t="shared" si="133"/>
        <v>8021.4628417916883</v>
      </c>
      <c r="Q222" s="14">
        <f t="shared" si="133"/>
        <v>8073.6765298978871</v>
      </c>
      <c r="R222" s="14">
        <f t="shared" si="133"/>
        <v>8119.3237296232246</v>
      </c>
      <c r="S222" s="14">
        <f t="shared" si="133"/>
        <v>8153.8850234748188</v>
      </c>
      <c r="T222" s="14">
        <f t="shared" si="133"/>
        <v>8176.2560760032939</v>
      </c>
      <c r="U222" s="14">
        <f t="shared" si="133"/>
        <v>8211.5981636081378</v>
      </c>
      <c r="V222" s="14">
        <f t="shared" si="133"/>
        <v>8220.6971496106198</v>
      </c>
      <c r="W222" s="14">
        <f t="shared" si="133"/>
        <v>8244.9906744868895</v>
      </c>
      <c r="X222" s="187">
        <f t="shared" si="133"/>
        <v>8270.3468097287187</v>
      </c>
      <c r="Y222" s="158">
        <f t="shared" si="133"/>
        <v>8273.0079024240804</v>
      </c>
      <c r="Z222" s="158">
        <f t="shared" si="133"/>
        <v>8274.822129414797</v>
      </c>
      <c r="AA222" s="158">
        <f t="shared" si="133"/>
        <v>8276.2992539115421</v>
      </c>
      <c r="AB222" s="158">
        <f t="shared" si="133"/>
        <v>8275.8563389308438</v>
      </c>
      <c r="AC222" s="158">
        <f t="shared" si="133"/>
        <v>8277.5957575140746</v>
      </c>
      <c r="AD222" s="158">
        <f t="shared" si="133"/>
        <v>8276.1359336975729</v>
      </c>
      <c r="AE222" s="158">
        <f t="shared" si="133"/>
        <v>8277.6755731148114</v>
      </c>
      <c r="AF222" s="158">
        <f t="shared" si="133"/>
        <v>8278.1446286784612</v>
      </c>
      <c r="AG222" s="158">
        <f t="shared" si="133"/>
        <v>8280.8384622642297</v>
      </c>
      <c r="AH222" s="187">
        <f t="shared" si="133"/>
        <v>8285.4427823444839</v>
      </c>
    </row>
    <row r="223" spans="1:34" s="1" customFormat="1">
      <c r="A223" s="1" t="s">
        <v>444</v>
      </c>
      <c r="B223" s="13"/>
      <c r="C223" s="328" t="s">
        <v>0</v>
      </c>
      <c r="D223" s="341">
        <f>D210+D213</f>
        <v>1323.042392592733</v>
      </c>
      <c r="E223" s="341">
        <f t="shared" ref="E223:AH223" si="134">E210+E213</f>
        <v>1400.6771240265002</v>
      </c>
      <c r="F223" s="341">
        <f t="shared" si="134"/>
        <v>1639.7466950455005</v>
      </c>
      <c r="G223" s="341">
        <f t="shared" si="134"/>
        <v>1736.9073356205004</v>
      </c>
      <c r="H223" s="405">
        <f>H210+H213</f>
        <v>1756.9996549305001</v>
      </c>
      <c r="I223" s="15">
        <f t="shared" si="134"/>
        <v>2108.6770743553625</v>
      </c>
      <c r="J223" s="15">
        <f t="shared" si="134"/>
        <v>2331.8137148435208</v>
      </c>
      <c r="K223" s="15">
        <f t="shared" si="134"/>
        <v>2333.1114226735963</v>
      </c>
      <c r="L223" s="15">
        <f t="shared" si="134"/>
        <v>2333.2630534946961</v>
      </c>
      <c r="M223" s="15">
        <f t="shared" si="134"/>
        <v>2487.3432362880026</v>
      </c>
      <c r="N223" s="190">
        <f t="shared" si="134"/>
        <v>2658.1902689573544</v>
      </c>
      <c r="O223" s="15">
        <f t="shared" si="134"/>
        <v>2712.2563466214906</v>
      </c>
      <c r="P223" s="15">
        <f t="shared" si="134"/>
        <v>2767.661652346299</v>
      </c>
      <c r="Q223" s="15">
        <f t="shared" si="134"/>
        <v>2830.442338225098</v>
      </c>
      <c r="R223" s="15">
        <f t="shared" si="134"/>
        <v>2892.0851907471033</v>
      </c>
      <c r="S223" s="15">
        <f t="shared" si="134"/>
        <v>2950.860109701488</v>
      </c>
      <c r="T223" s="15">
        <f t="shared" si="134"/>
        <v>3006.1828881367919</v>
      </c>
      <c r="U223" s="15">
        <f t="shared" si="134"/>
        <v>3067.2429998934149</v>
      </c>
      <c r="V223" s="15">
        <f t="shared" si="134"/>
        <v>3119.4201981856977</v>
      </c>
      <c r="W223" s="15">
        <f t="shared" si="134"/>
        <v>3178.2137086505481</v>
      </c>
      <c r="X223" s="190">
        <f t="shared" si="134"/>
        <v>3238.3768451509595</v>
      </c>
      <c r="Y223" s="130">
        <f t="shared" si="134"/>
        <v>3248.6144440578364</v>
      </c>
      <c r="Z223" s="130">
        <f t="shared" si="134"/>
        <v>3258.551907799927</v>
      </c>
      <c r="AA223" s="130">
        <f t="shared" si="134"/>
        <v>3268.4125944714715</v>
      </c>
      <c r="AB223" s="130">
        <f t="shared" si="134"/>
        <v>3277.5412509536163</v>
      </c>
      <c r="AC223" s="130">
        <f t="shared" si="134"/>
        <v>3287.5520730106887</v>
      </c>
      <c r="AD223" s="130">
        <f t="shared" si="134"/>
        <v>3296.3187442835251</v>
      </c>
      <c r="AE223" s="130">
        <f t="shared" si="134"/>
        <v>3306.2949788292071</v>
      </c>
      <c r="AF223" s="130">
        <f t="shared" si="134"/>
        <v>3315.8701464512669</v>
      </c>
      <c r="AG223" s="130">
        <f t="shared" si="134"/>
        <v>3326.364059999094</v>
      </c>
      <c r="AH223" s="190">
        <f t="shared" si="134"/>
        <v>3337.3713152546825</v>
      </c>
    </row>
    <row r="224" spans="1:34">
      <c r="A224" t="s">
        <v>447</v>
      </c>
      <c r="D224" s="331">
        <f>D210+D213+D216</f>
        <v>1763.8775845748614</v>
      </c>
      <c r="E224" s="331">
        <f t="shared" ref="E224:AH224" si="135">E210+E213+E216</f>
        <v>1821.2578892186098</v>
      </c>
      <c r="F224" s="331">
        <f t="shared" si="135"/>
        <v>2054.9276524503389</v>
      </c>
      <c r="G224" s="331">
        <f t="shared" si="135"/>
        <v>2174.6961500666571</v>
      </c>
      <c r="H224" s="402">
        <f t="shared" si="135"/>
        <v>2272.8355894691958</v>
      </c>
      <c r="I224" s="14">
        <f t="shared" si="135"/>
        <v>2654.9874356845885</v>
      </c>
      <c r="J224" s="14">
        <f t="shared" si="135"/>
        <v>2864.9638735988729</v>
      </c>
      <c r="K224" s="14">
        <f t="shared" si="135"/>
        <v>2861.7511929494067</v>
      </c>
      <c r="L224" s="14">
        <f t="shared" si="135"/>
        <v>2871.8990628733854</v>
      </c>
      <c r="M224" s="14">
        <f t="shared" si="135"/>
        <v>3031.202016382651</v>
      </c>
      <c r="N224" s="187">
        <f t="shared" si="135"/>
        <v>3206.123416010355</v>
      </c>
      <c r="O224" s="14">
        <f t="shared" si="135"/>
        <v>3263.4933609286745</v>
      </c>
      <c r="P224" s="14">
        <f t="shared" si="135"/>
        <v>3322.2611365248513</v>
      </c>
      <c r="Q224" s="14">
        <f t="shared" si="135"/>
        <v>3389.6490343728829</v>
      </c>
      <c r="R224" s="14">
        <f t="shared" si="135"/>
        <v>3455.429014316057</v>
      </c>
      <c r="S224" s="14">
        <f t="shared" si="135"/>
        <v>3517.5537739720235</v>
      </c>
      <c r="T224" s="14">
        <f t="shared" si="135"/>
        <v>3575.3572736831225</v>
      </c>
      <c r="U224" s="14">
        <f t="shared" si="135"/>
        <v>3639.7770709302204</v>
      </c>
      <c r="V224" s="14">
        <f t="shared" si="135"/>
        <v>3693.4616860417564</v>
      </c>
      <c r="W224" s="14">
        <f t="shared" si="135"/>
        <v>3754.7967287055308</v>
      </c>
      <c r="X224" s="187">
        <f t="shared" si="135"/>
        <v>3817.5502936774378</v>
      </c>
      <c r="Y224" s="158">
        <f t="shared" si="135"/>
        <v>3828.2101332670136</v>
      </c>
      <c r="Z224" s="158">
        <f t="shared" si="135"/>
        <v>3838.509316125499</v>
      </c>
      <c r="AA224" s="158">
        <f t="shared" si="135"/>
        <v>3848.7059929235879</v>
      </c>
      <c r="AB224" s="158">
        <f t="shared" si="135"/>
        <v>3858.0350802969197</v>
      </c>
      <c r="AC224" s="158">
        <f t="shared" si="135"/>
        <v>3868.398301662407</v>
      </c>
      <c r="AD224" s="158">
        <f t="shared" si="135"/>
        <v>3877.2919079447229</v>
      </c>
      <c r="AE224" s="158">
        <f t="shared" si="135"/>
        <v>3887.6046108410574</v>
      </c>
      <c r="AF224" s="158">
        <f t="shared" si="135"/>
        <v>3897.4401143653731</v>
      </c>
      <c r="AG224" s="158">
        <f t="shared" si="135"/>
        <v>3908.3491437168441</v>
      </c>
      <c r="AH224" s="187">
        <f t="shared" si="135"/>
        <v>3919.9154984070783</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454</v>
      </c>
      <c r="D226" s="331">
        <f>D210+D213</f>
        <v>1323.042392592733</v>
      </c>
      <c r="E226" s="331">
        <f>D226+E210+E213</f>
        <v>2723.7195166192332</v>
      </c>
      <c r="F226" s="331">
        <f>E226+F210+F213</f>
        <v>4363.4662116647341</v>
      </c>
      <c r="G226" s="331">
        <f>F226+G210+G213</f>
        <v>6100.373547285235</v>
      </c>
      <c r="H226" s="402">
        <f t="shared" ref="H226:X226" si="136">G226+H210+H213</f>
        <v>7857.3732022157346</v>
      </c>
      <c r="I226" s="14">
        <f t="shared" si="136"/>
        <v>9966.0502765710971</v>
      </c>
      <c r="J226" s="14">
        <f t="shared" si="136"/>
        <v>12297.863991414619</v>
      </c>
      <c r="K226" s="14">
        <f t="shared" si="136"/>
        <v>14630.975414088214</v>
      </c>
      <c r="L226" s="14">
        <f t="shared" si="136"/>
        <v>16964.238467582909</v>
      </c>
      <c r="M226" s="14">
        <f t="shared" si="136"/>
        <v>19451.58170387091</v>
      </c>
      <c r="N226" s="187">
        <f t="shared" si="136"/>
        <v>22109.771972828265</v>
      </c>
      <c r="O226" s="14">
        <f t="shared" si="136"/>
        <v>24822.028319449753</v>
      </c>
      <c r="P226" s="14">
        <f t="shared" si="136"/>
        <v>27589.689971796051</v>
      </c>
      <c r="Q226" s="14">
        <f t="shared" si="136"/>
        <v>30420.132310021148</v>
      </c>
      <c r="R226" s="14">
        <f t="shared" si="136"/>
        <v>33312.217500768253</v>
      </c>
      <c r="S226" s="14">
        <f t="shared" si="136"/>
        <v>36263.077610469743</v>
      </c>
      <c r="T226" s="14">
        <f t="shared" si="136"/>
        <v>39269.260498606534</v>
      </c>
      <c r="U226" s="14">
        <f t="shared" si="136"/>
        <v>42336.503498499951</v>
      </c>
      <c r="V226" s="14">
        <f t="shared" si="136"/>
        <v>45455.923696685648</v>
      </c>
      <c r="W226" s="14">
        <f t="shared" si="136"/>
        <v>48634.137405336194</v>
      </c>
      <c r="X226" s="187">
        <f t="shared" si="136"/>
        <v>51872.514250487155</v>
      </c>
      <c r="Y226" s="158">
        <f t="shared" ref="Y226:AH226" si="137">X226+Y210+Y213</f>
        <v>55121.12869454499</v>
      </c>
      <c r="Z226" s="158">
        <f t="shared" si="137"/>
        <v>58379.680602344917</v>
      </c>
      <c r="AA226" s="158">
        <f t="shared" si="137"/>
        <v>61648.093196816386</v>
      </c>
      <c r="AB226" s="158">
        <f t="shared" si="137"/>
        <v>64925.634447770004</v>
      </c>
      <c r="AC226" s="158">
        <f t="shared" si="137"/>
        <v>68213.186520780699</v>
      </c>
      <c r="AD226" s="158">
        <f t="shared" si="137"/>
        <v>71509.505265064217</v>
      </c>
      <c r="AE226" s="158">
        <f t="shared" si="137"/>
        <v>74815.80024389342</v>
      </c>
      <c r="AF226" s="158">
        <f t="shared" si="137"/>
        <v>78131.670390344691</v>
      </c>
      <c r="AG226" s="158">
        <f t="shared" si="137"/>
        <v>81458.034450343781</v>
      </c>
      <c r="AH226" s="187">
        <f t="shared" si="137"/>
        <v>84795.405765598465</v>
      </c>
    </row>
    <row r="227" spans="1:34">
      <c r="A227" s="1" t="s">
        <v>455</v>
      </c>
      <c r="D227" s="331">
        <f>D219</f>
        <v>6057.885157603183</v>
      </c>
      <c r="E227" s="331">
        <f>D227+E219</f>
        <v>11547.122266978165</v>
      </c>
      <c r="F227" s="331">
        <f>E227+F219</f>
        <v>16608.20246406399</v>
      </c>
      <c r="G227" s="331">
        <f t="shared" ref="G227:X227" si="138">F227+G219</f>
        <v>21745.395313294397</v>
      </c>
      <c r="H227" s="402">
        <f t="shared" si="138"/>
        <v>26810.178212436509</v>
      </c>
      <c r="I227" s="14">
        <f t="shared" si="138"/>
        <v>31993.970108591897</v>
      </c>
      <c r="J227" s="14">
        <f t="shared" si="138"/>
        <v>36856.164712487531</v>
      </c>
      <c r="K227" s="14">
        <f t="shared" si="138"/>
        <v>41644.355825873892</v>
      </c>
      <c r="L227" s="14">
        <f t="shared" si="138"/>
        <v>46532.063633908081</v>
      </c>
      <c r="M227" s="14">
        <f t="shared" si="138"/>
        <v>51362.526087942271</v>
      </c>
      <c r="N227" s="187">
        <f t="shared" si="138"/>
        <v>56111.058186554517</v>
      </c>
      <c r="O227" s="14">
        <f t="shared" si="138"/>
        <v>60835.054094685285</v>
      </c>
      <c r="P227" s="14">
        <f t="shared" si="138"/>
        <v>65534.255799952123</v>
      </c>
      <c r="Q227" s="14">
        <f t="shared" si="138"/>
        <v>70218.283295477129</v>
      </c>
      <c r="R227" s="14">
        <f t="shared" si="138"/>
        <v>74882.178010784293</v>
      </c>
      <c r="S227" s="14">
        <f t="shared" si="138"/>
        <v>79518.509260287086</v>
      </c>
      <c r="T227" s="14">
        <f t="shared" si="138"/>
        <v>84119.408062607254</v>
      </c>
      <c r="U227" s="14">
        <f t="shared" si="138"/>
        <v>88691.229155285168</v>
      </c>
      <c r="V227" s="14">
        <f t="shared" si="138"/>
        <v>93218.464618854036</v>
      </c>
      <c r="W227" s="14">
        <f t="shared" si="138"/>
        <v>97708.658564635392</v>
      </c>
      <c r="X227" s="187">
        <f t="shared" si="138"/>
        <v>102161.45508068668</v>
      </c>
      <c r="Y227" s="158">
        <f t="shared" ref="Y227:AH227" si="139">X227+Y219</f>
        <v>106606.25284984375</v>
      </c>
      <c r="Z227" s="158">
        <f t="shared" si="139"/>
        <v>111042.56566313305</v>
      </c>
      <c r="AA227" s="158">
        <f t="shared" si="139"/>
        <v>115470.158924121</v>
      </c>
      <c r="AB227" s="158">
        <f t="shared" si="139"/>
        <v>119887.98018275492</v>
      </c>
      <c r="AC227" s="158">
        <f t="shared" si="139"/>
        <v>124297.17763860659</v>
      </c>
      <c r="AD227" s="158">
        <f t="shared" si="139"/>
        <v>128696.02166435945</v>
      </c>
      <c r="AE227" s="158">
        <f t="shared" si="139"/>
        <v>133086.09262663321</v>
      </c>
      <c r="AF227" s="158">
        <f t="shared" si="139"/>
        <v>137466.79714094629</v>
      </c>
      <c r="AG227" s="158">
        <f t="shared" si="139"/>
        <v>141839.28645949368</v>
      </c>
      <c r="AH227" s="187">
        <f t="shared" si="139"/>
        <v>146204.81374343109</v>
      </c>
    </row>
    <row r="228" spans="1:34">
      <c r="A228" s="1" t="s">
        <v>457</v>
      </c>
      <c r="D228" s="331">
        <f t="shared" ref="D228:AH228" si="140">D227-D207</f>
        <v>105.98315760318292</v>
      </c>
      <c r="E228" s="331">
        <f t="shared" si="140"/>
        <v>307.91859576832576</v>
      </c>
      <c r="F228" s="331">
        <f t="shared" si="140"/>
        <v>446.10299697685332</v>
      </c>
      <c r="G228" s="331">
        <f t="shared" si="140"/>
        <v>495.25777782141449</v>
      </c>
      <c r="H228" s="402">
        <f>H227-H207</f>
        <v>494.98607782141698</v>
      </c>
      <c r="I228" s="14">
        <f t="shared" si="140"/>
        <v>479.87273494189503</v>
      </c>
      <c r="J228" s="14">
        <f t="shared" si="140"/>
        <v>482.06043306760694</v>
      </c>
      <c r="K228" s="14">
        <f t="shared" si="140"/>
        <v>495.23618809851905</v>
      </c>
      <c r="L228" s="14">
        <f t="shared" si="140"/>
        <v>500.85666174805374</v>
      </c>
      <c r="M228" s="14">
        <f t="shared" si="140"/>
        <v>402.78777477411495</v>
      </c>
      <c r="N228" s="187">
        <f t="shared" si="140"/>
        <v>191.0893572815985</v>
      </c>
      <c r="O228" s="14">
        <f t="shared" si="140"/>
        <v>-58.386702088828315</v>
      </c>
      <c r="P228" s="14">
        <f t="shared" si="140"/>
        <v>-346.31733785972756</v>
      </c>
      <c r="Q228" s="14">
        <f t="shared" si="140"/>
        <v>-678.48174060600286</v>
      </c>
      <c r="R228" s="14">
        <f t="shared" si="140"/>
        <v>-1053.7217532626237</v>
      </c>
      <c r="S228" s="14">
        <f t="shared" si="140"/>
        <v>-1469.6744697544782</v>
      </c>
      <c r="T228" s="14">
        <f t="shared" si="140"/>
        <v>-1923.4445190278784</v>
      </c>
      <c r="U228" s="14">
        <f t="shared" si="140"/>
        <v>-2398.9669939500454</v>
      </c>
      <c r="V228" s="14">
        <f t="shared" si="140"/>
        <v>-2909.5973475078063</v>
      </c>
      <c r="W228" s="14">
        <f t="shared" si="140"/>
        <v>-3460.3595709132351</v>
      </c>
      <c r="X228" s="187">
        <f t="shared" si="140"/>
        <v>-4049.9813881191367</v>
      </c>
      <c r="Y228" s="158">
        <f t="shared" si="140"/>
        <v>-4646.6811610974692</v>
      </c>
      <c r="Z228" s="158">
        <f t="shared" si="140"/>
        <v>-5247.7045561607665</v>
      </c>
      <c r="AA228" s="158">
        <f t="shared" si="140"/>
        <v>-5854.8811552491243</v>
      </c>
      <c r="AB228" s="158">
        <f t="shared" si="140"/>
        <v>-6466.8789682328352</v>
      </c>
      <c r="AC228" s="158">
        <f t="shared" si="140"/>
        <v>-7084.3681076522189</v>
      </c>
      <c r="AD228" s="158">
        <f t="shared" si="140"/>
        <v>-7707.9227219745953</v>
      </c>
      <c r="AE228" s="158">
        <f t="shared" si="140"/>
        <v>-8335.9144040233805</v>
      </c>
      <c r="AF228" s="158">
        <f t="shared" si="140"/>
        <v>-8968.8033035944682</v>
      </c>
      <c r="AG228" s="158">
        <f t="shared" si="140"/>
        <v>-9606.3740307413973</v>
      </c>
      <c r="AH228" s="187">
        <f t="shared" si="140"/>
        <v>-10247.507624187536</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331">
        <f t="shared" ref="C234:AH234" si="145">C213-C194</f>
        <v>-2.7000000000043656E-4</v>
      </c>
      <c r="D234" s="331">
        <f t="shared" si="145"/>
        <v>7.6259273282630602E-4</v>
      </c>
      <c r="E234" s="331">
        <f t="shared" si="145"/>
        <v>-2.7000000000043656E-4</v>
      </c>
      <c r="F234" s="331">
        <f t="shared" si="145"/>
        <v>-2.7000000000043656E-4</v>
      </c>
      <c r="G234" s="331">
        <f t="shared" si="145"/>
        <v>-2.7000000000043656E-4</v>
      </c>
      <c r="H234" s="402">
        <f>H213-H194</f>
        <v>-2.7000000000043656E-4</v>
      </c>
      <c r="I234" s="14">
        <f t="shared" si="145"/>
        <v>0.15921321586210979</v>
      </c>
      <c r="J234" s="14">
        <f t="shared" si="145"/>
        <v>0.12014663002037196</v>
      </c>
      <c r="K234" s="14">
        <f t="shared" si="145"/>
        <v>0.15374600409631967</v>
      </c>
      <c r="L234" s="14">
        <f t="shared" si="145"/>
        <v>0.19112264319528549</v>
      </c>
      <c r="M234" s="14">
        <f t="shared" si="145"/>
        <v>154.21153563550206</v>
      </c>
      <c r="N234" s="187">
        <f t="shared" si="145"/>
        <v>324.88921305885424</v>
      </c>
      <c r="O234" s="14">
        <f t="shared" si="145"/>
        <v>379.20662760599043</v>
      </c>
      <c r="P234" s="14">
        <f t="shared" si="145"/>
        <v>434.49994926879845</v>
      </c>
      <c r="Q234" s="14">
        <f t="shared" si="145"/>
        <v>497.3224549075976</v>
      </c>
      <c r="R234" s="14">
        <f t="shared" si="145"/>
        <v>558.87744052360313</v>
      </c>
      <c r="S234" s="14">
        <f t="shared" si="145"/>
        <v>617.6820030689878</v>
      </c>
      <c r="T234" s="14">
        <f t="shared" si="145"/>
        <v>672.99648659829154</v>
      </c>
      <c r="U234" s="14">
        <f t="shared" si="145"/>
        <v>734.41185560491522</v>
      </c>
      <c r="V234" s="14">
        <f t="shared" si="145"/>
        <v>786.64324305619721</v>
      </c>
      <c r="W234" s="14">
        <f t="shared" si="145"/>
        <v>845.46763847704824</v>
      </c>
      <c r="X234" s="187">
        <f t="shared" si="145"/>
        <v>905.75141783345862</v>
      </c>
      <c r="Y234" s="158">
        <f t="shared" si="145"/>
        <v>915.88332734033611</v>
      </c>
      <c r="Z234" s="158">
        <f t="shared" si="145"/>
        <v>925.64893055342691</v>
      </c>
      <c r="AA234" s="158">
        <f t="shared" si="145"/>
        <v>934.4556689659712</v>
      </c>
      <c r="AB234" s="158">
        <f t="shared" si="145"/>
        <v>941.35743390611606</v>
      </c>
      <c r="AC234" s="158">
        <f t="shared" si="145"/>
        <v>949.12268954918864</v>
      </c>
      <c r="AD234" s="158">
        <f t="shared" si="145"/>
        <v>958.03066083902468</v>
      </c>
      <c r="AE234" s="158">
        <f t="shared" si="145"/>
        <v>964.18465943770752</v>
      </c>
      <c r="AF234" s="158">
        <f t="shared" si="145"/>
        <v>971.13603980576636</v>
      </c>
      <c r="AG234" s="158">
        <f t="shared" si="145"/>
        <v>977.57922346359373</v>
      </c>
      <c r="AH234" s="187">
        <f t="shared" si="145"/>
        <v>982.36608196218185</v>
      </c>
    </row>
    <row r="235" spans="1:34">
      <c r="A235" t="s">
        <v>418</v>
      </c>
      <c r="C235" s="331">
        <f t="shared" ref="C235:AH235" si="146">C214-C195</f>
        <v>0</v>
      </c>
      <c r="D235" s="331">
        <f t="shared" si="146"/>
        <v>5.4786844646059762E-4</v>
      </c>
      <c r="E235" s="331">
        <f t="shared" si="146"/>
        <v>0</v>
      </c>
      <c r="F235" s="331">
        <f t="shared" si="146"/>
        <v>0</v>
      </c>
      <c r="G235" s="331">
        <f t="shared" si="146"/>
        <v>0</v>
      </c>
      <c r="H235" s="402">
        <f t="shared" si="146"/>
        <v>0</v>
      </c>
      <c r="I235" s="14">
        <f t="shared" si="146"/>
        <v>8.3948692885996934E-2</v>
      </c>
      <c r="J235" s="14">
        <f t="shared" si="146"/>
        <v>6.3385405880808321E-2</v>
      </c>
      <c r="K235" s="14">
        <f t="shared" si="146"/>
        <v>8.106976374642727E-2</v>
      </c>
      <c r="L235" s="14">
        <f t="shared" si="146"/>
        <v>0.1007463346932127</v>
      </c>
      <c r="M235" s="14">
        <f t="shared" si="146"/>
        <v>81.164124945259346</v>
      </c>
      <c r="N235" s="187">
        <f t="shared" si="146"/>
        <v>170.99448455459628</v>
      </c>
      <c r="O235" s="14">
        <f t="shared" si="146"/>
        <v>199.58260076693387</v>
      </c>
      <c r="P235" s="14">
        <f t="shared" si="146"/>
        <v>228.684352384872</v>
      </c>
      <c r="Q235" s="14">
        <f t="shared" si="146"/>
        <v>261.7488328604104</v>
      </c>
      <c r="R235" s="14">
        <f t="shared" si="146"/>
        <v>294.14619746518088</v>
      </c>
      <c r="S235" s="14">
        <f t="shared" si="146"/>
        <v>325.09597080548474</v>
      </c>
      <c r="T235" s="14">
        <f t="shared" si="146"/>
        <v>354.20886024286824</v>
      </c>
      <c r="U235" s="14">
        <f t="shared" si="146"/>
        <v>386.53274238615722</v>
      </c>
      <c r="V235" s="14">
        <f t="shared" si="146"/>
        <v>414.02294948563826</v>
      </c>
      <c r="W235" s="14">
        <f t="shared" si="146"/>
        <v>444.98316118258276</v>
      </c>
      <c r="X235" s="187">
        <f t="shared" si="146"/>
        <v>476.71146977113153</v>
      </c>
      <c r="Y235" s="158">
        <f t="shared" si="146"/>
        <v>482.04405434562091</v>
      </c>
      <c r="Z235" s="158">
        <f t="shared" si="146"/>
        <v>487.18384611520673</v>
      </c>
      <c r="AA235" s="158">
        <f t="shared" si="146"/>
        <v>491.81897219338407</v>
      </c>
      <c r="AB235" s="158">
        <f t="shared" si="146"/>
        <v>495.45148060977476</v>
      </c>
      <c r="AC235" s="158">
        <f t="shared" si="146"/>
        <v>499.53845787121963</v>
      </c>
      <c r="AD235" s="158">
        <f t="shared" si="146"/>
        <v>504.2268643444479</v>
      </c>
      <c r="AE235" s="158">
        <f t="shared" si="146"/>
        <v>507.46581158066328</v>
      </c>
      <c r="AF235" s="158">
        <f t="shared" si="146"/>
        <v>511.12443340780828</v>
      </c>
      <c r="AG235" s="158">
        <f t="shared" si="146"/>
        <v>514.5155833378526</v>
      </c>
      <c r="AH235" s="187">
        <f t="shared" si="146"/>
        <v>517.034983236372</v>
      </c>
    </row>
    <row r="236" spans="1:34">
      <c r="A236" t="s">
        <v>419</v>
      </c>
      <c r="C236" s="331">
        <f t="shared" ref="C236:AH236" si="147">C215-C196</f>
        <v>-2.7000000000043656E-4</v>
      </c>
      <c r="D236" s="331">
        <f t="shared" si="147"/>
        <v>2.1472428647939523E-4</v>
      </c>
      <c r="E236" s="331">
        <f t="shared" si="147"/>
        <v>-2.7000000000043656E-4</v>
      </c>
      <c r="F236" s="331">
        <f t="shared" si="147"/>
        <v>-2.7000000000043656E-4</v>
      </c>
      <c r="G236" s="331">
        <f t="shared" si="147"/>
        <v>-2.7000000000043656E-4</v>
      </c>
      <c r="H236" s="402">
        <f>H215-H196</f>
        <v>-2.7000000000043656E-4</v>
      </c>
      <c r="I236" s="14">
        <f t="shared" si="147"/>
        <v>7.5264522975885484E-2</v>
      </c>
      <c r="J236" s="14">
        <f t="shared" si="147"/>
        <v>5.6761224139791011E-2</v>
      </c>
      <c r="K236" s="14">
        <f t="shared" si="147"/>
        <v>7.2676240349892396E-2</v>
      </c>
      <c r="L236" s="14">
        <f t="shared" si="147"/>
        <v>9.0376308502300162E-2</v>
      </c>
      <c r="M236" s="14">
        <f t="shared" si="147"/>
        <v>73.047410690242714</v>
      </c>
      <c r="N236" s="187">
        <f t="shared" si="147"/>
        <v>153.89472850425796</v>
      </c>
      <c r="O236" s="14">
        <f t="shared" si="147"/>
        <v>179.6240268390568</v>
      </c>
      <c r="P236" s="14">
        <f t="shared" si="147"/>
        <v>205.81559688392645</v>
      </c>
      <c r="Q236" s="14">
        <f t="shared" si="147"/>
        <v>235.5736220471872</v>
      </c>
      <c r="R236" s="14">
        <f t="shared" si="147"/>
        <v>264.73124305842248</v>
      </c>
      <c r="S236" s="14">
        <f t="shared" si="147"/>
        <v>292.58603226350328</v>
      </c>
      <c r="T236" s="14">
        <f t="shared" si="147"/>
        <v>318.78762635542353</v>
      </c>
      <c r="U236" s="14">
        <f t="shared" si="147"/>
        <v>347.87911321875777</v>
      </c>
      <c r="V236" s="14">
        <f t="shared" si="147"/>
        <v>372.6202935705594</v>
      </c>
      <c r="W236" s="14">
        <f t="shared" si="147"/>
        <v>400.48447729446525</v>
      </c>
      <c r="X236" s="187">
        <f t="shared" si="147"/>
        <v>429.03994806232754</v>
      </c>
      <c r="Y236" s="158">
        <f t="shared" si="147"/>
        <v>433.8392729947152</v>
      </c>
      <c r="Z236" s="158">
        <f t="shared" si="147"/>
        <v>438.46508443822017</v>
      </c>
      <c r="AA236" s="158">
        <f t="shared" si="147"/>
        <v>442.63669677258736</v>
      </c>
      <c r="AB236" s="158">
        <f t="shared" si="147"/>
        <v>445.90595329634129</v>
      </c>
      <c r="AC236" s="158">
        <f t="shared" si="147"/>
        <v>449.58423167796877</v>
      </c>
      <c r="AD236" s="158">
        <f t="shared" si="147"/>
        <v>453.803796494577</v>
      </c>
      <c r="AE236" s="158">
        <f t="shared" si="147"/>
        <v>456.71884785704401</v>
      </c>
      <c r="AF236" s="158">
        <f t="shared" si="147"/>
        <v>460.0116063979583</v>
      </c>
      <c r="AG236" s="158">
        <f t="shared" si="147"/>
        <v>463.06364012574113</v>
      </c>
      <c r="AH236" s="187">
        <f t="shared" si="147"/>
        <v>465.33109872581008</v>
      </c>
    </row>
    <row r="237" spans="1:34">
      <c r="A237" t="s">
        <v>420</v>
      </c>
      <c r="C237" s="331">
        <f t="shared" ref="C237:AH237" si="148">C216-C197</f>
        <v>0</v>
      </c>
      <c r="D237" s="331">
        <f t="shared" si="148"/>
        <v>-141.13195801787157</v>
      </c>
      <c r="E237" s="331">
        <f t="shared" si="148"/>
        <v>-275.45200658883073</v>
      </c>
      <c r="F237" s="331">
        <f t="shared" si="148"/>
        <v>-188.51877437526412</v>
      </c>
      <c r="G237" s="331">
        <f t="shared" si="148"/>
        <v>-67.114746606220478</v>
      </c>
      <c r="H237" s="402">
        <f t="shared" si="148"/>
        <v>0</v>
      </c>
      <c r="I237" s="14">
        <f t="shared" si="148"/>
        <v>19.850597301423477</v>
      </c>
      <c r="J237" s="14">
        <f t="shared" si="148"/>
        <v>-4.0008952057955867</v>
      </c>
      <c r="K237" s="14">
        <f t="shared" si="148"/>
        <v>-19.293096664618588</v>
      </c>
      <c r="L237" s="14">
        <f t="shared" si="148"/>
        <v>-9.2971376743109886</v>
      </c>
      <c r="M237" s="14">
        <f t="shared" si="148"/>
        <v>-4.0743669583521296</v>
      </c>
      <c r="N237" s="187">
        <f t="shared" si="148"/>
        <v>0</v>
      </c>
      <c r="O237" s="14">
        <f t="shared" si="148"/>
        <v>3.3038672541836149</v>
      </c>
      <c r="P237" s="14">
        <f t="shared" si="148"/>
        <v>6.6663371255518769</v>
      </c>
      <c r="Q237" s="14">
        <f t="shared" si="148"/>
        <v>11.273549094784585</v>
      </c>
      <c r="R237" s="14">
        <f t="shared" si="148"/>
        <v>15.410676515953355</v>
      </c>
      <c r="S237" s="14">
        <f t="shared" si="148"/>
        <v>18.760517217535266</v>
      </c>
      <c r="T237" s="14">
        <f t="shared" si="148"/>
        <v>21.241238493330229</v>
      </c>
      <c r="U237" s="14">
        <f t="shared" si="148"/>
        <v>-3.5665892686888583</v>
      </c>
      <c r="V237" s="14">
        <f t="shared" si="148"/>
        <v>-2.0591724494358914</v>
      </c>
      <c r="W237" s="14">
        <f t="shared" si="148"/>
        <v>0.48235974948829607</v>
      </c>
      <c r="X237" s="187">
        <f t="shared" si="148"/>
        <v>0</v>
      </c>
      <c r="Y237" s="158">
        <f t="shared" si="148"/>
        <v>0.4222406826987708</v>
      </c>
      <c r="Z237" s="158">
        <f t="shared" si="148"/>
        <v>-2.5867748268237847</v>
      </c>
      <c r="AA237" s="158">
        <f t="shared" si="148"/>
        <v>-2.2507847002793824</v>
      </c>
      <c r="AB237" s="158">
        <f t="shared" si="148"/>
        <v>-2.0503538090924849</v>
      </c>
      <c r="AC237" s="158">
        <f t="shared" si="148"/>
        <v>-1.6979545006777244</v>
      </c>
      <c r="AD237" s="158">
        <f t="shared" si="148"/>
        <v>-1.5710194911980579</v>
      </c>
      <c r="AE237" s="158">
        <f t="shared" si="148"/>
        <v>-1.2345511405457046</v>
      </c>
      <c r="AF237" s="158">
        <f t="shared" si="148"/>
        <v>-0.97421523828961654</v>
      </c>
      <c r="AG237" s="158">
        <f t="shared" si="148"/>
        <v>-0.5590994346455318</v>
      </c>
      <c r="AH237" s="187">
        <f t="shared" si="148"/>
        <v>0</v>
      </c>
    </row>
    <row r="238" spans="1:34">
      <c r="A238" t="s">
        <v>421</v>
      </c>
      <c r="C238" s="331">
        <f t="shared" ref="C238:AH238" si="149">C217-C198</f>
        <v>0</v>
      </c>
      <c r="D238" s="331">
        <f t="shared" si="149"/>
        <v>-74.279977904142896</v>
      </c>
      <c r="E238" s="331">
        <f t="shared" si="149"/>
        <v>-144.97474030991091</v>
      </c>
      <c r="F238" s="331">
        <f t="shared" si="149"/>
        <v>-99.220407565928468</v>
      </c>
      <c r="G238" s="331">
        <f t="shared" si="149"/>
        <v>-35.323550845379202</v>
      </c>
      <c r="H238" s="402">
        <f t="shared" si="149"/>
        <v>0</v>
      </c>
      <c r="I238" s="14">
        <f t="shared" si="149"/>
        <v>10.447682790222871</v>
      </c>
      <c r="J238" s="14">
        <f t="shared" si="149"/>
        <v>-2.1057343188397795</v>
      </c>
      <c r="K238" s="14">
        <f t="shared" si="149"/>
        <v>-10.154261402430791</v>
      </c>
      <c r="L238" s="14">
        <f t="shared" si="149"/>
        <v>-4.8932303549005951</v>
      </c>
      <c r="M238" s="14">
        <f t="shared" si="149"/>
        <v>-2.1444036622906424</v>
      </c>
      <c r="N238" s="187">
        <f t="shared" si="149"/>
        <v>0</v>
      </c>
      <c r="O238" s="14">
        <f t="shared" si="149"/>
        <v>1.7388775022018308</v>
      </c>
      <c r="P238" s="14">
        <f t="shared" si="149"/>
        <v>3.5085984871325309</v>
      </c>
      <c r="Q238" s="14">
        <f t="shared" si="149"/>
        <v>5.9334468919918208</v>
      </c>
      <c r="R238" s="14">
        <f t="shared" si="149"/>
        <v>8.1108823768175284</v>
      </c>
      <c r="S238" s="14">
        <f t="shared" si="149"/>
        <v>9.8739564302816802</v>
      </c>
      <c r="T238" s="14">
        <f t="shared" si="149"/>
        <v>11.179599207015883</v>
      </c>
      <c r="U238" s="14">
        <f t="shared" si="149"/>
        <v>-1.8771522466783495</v>
      </c>
      <c r="V238" s="14">
        <f t="shared" si="149"/>
        <v>-1.0837749733872784</v>
      </c>
      <c r="W238" s="14">
        <f t="shared" si="149"/>
        <v>0.2538735523622222</v>
      </c>
      <c r="X238" s="187">
        <f t="shared" si="149"/>
        <v>0</v>
      </c>
      <c r="Y238" s="158">
        <f t="shared" si="149"/>
        <v>0.22223193826249599</v>
      </c>
      <c r="Z238" s="158">
        <f t="shared" si="149"/>
        <v>-1.3614604351703861</v>
      </c>
      <c r="AA238" s="158">
        <f t="shared" si="149"/>
        <v>-1.1846235264628717</v>
      </c>
      <c r="AB238" s="158">
        <f t="shared" si="149"/>
        <v>-1.0791335837328688</v>
      </c>
      <c r="AC238" s="158">
        <f t="shared" si="149"/>
        <v>-0.89366026351456185</v>
      </c>
      <c r="AD238" s="158">
        <f t="shared" si="149"/>
        <v>-0.82685236378841864</v>
      </c>
      <c r="AE238" s="158">
        <f t="shared" si="149"/>
        <v>-0.64976375818196175</v>
      </c>
      <c r="AF238" s="158">
        <f t="shared" si="149"/>
        <v>-0.51274486225770488</v>
      </c>
      <c r="AG238" s="158">
        <f t="shared" si="149"/>
        <v>-0.29426286033975657</v>
      </c>
      <c r="AH238" s="187">
        <f t="shared" si="149"/>
        <v>0</v>
      </c>
    </row>
    <row r="239" spans="1:34">
      <c r="A239" t="s">
        <v>422</v>
      </c>
      <c r="C239" s="331">
        <f t="shared" ref="C239:AH239" si="150">C218-C199</f>
        <v>0</v>
      </c>
      <c r="D239" s="331">
        <f t="shared" si="150"/>
        <v>-66.851980113728615</v>
      </c>
      <c r="E239" s="331">
        <f t="shared" si="150"/>
        <v>-130.47726627891984</v>
      </c>
      <c r="F239" s="331">
        <f t="shared" si="150"/>
        <v>-89.298366809335647</v>
      </c>
      <c r="G239" s="331">
        <f t="shared" si="150"/>
        <v>-31.791195760841305</v>
      </c>
      <c r="H239" s="402">
        <f t="shared" si="150"/>
        <v>0</v>
      </c>
      <c r="I239" s="14">
        <f t="shared" si="150"/>
        <v>9.4029145112005779</v>
      </c>
      <c r="J239" s="14">
        <f t="shared" si="150"/>
        <v>-1.8951608869558072</v>
      </c>
      <c r="K239" s="14">
        <f t="shared" si="150"/>
        <v>-9.1388352621877402</v>
      </c>
      <c r="L239" s="14">
        <f t="shared" si="150"/>
        <v>-4.4039073194105072</v>
      </c>
      <c r="M239" s="14">
        <f t="shared" si="150"/>
        <v>-1.929963296061544</v>
      </c>
      <c r="N239" s="187">
        <f t="shared" si="150"/>
        <v>0</v>
      </c>
      <c r="O239" s="14">
        <f t="shared" si="150"/>
        <v>1.5649897519816705</v>
      </c>
      <c r="P239" s="14">
        <f t="shared" si="150"/>
        <v>3.1577386384192891</v>
      </c>
      <c r="Q239" s="14">
        <f t="shared" si="150"/>
        <v>5.3401022027926501</v>
      </c>
      <c r="R239" s="14">
        <f t="shared" si="150"/>
        <v>7.2997941391357699</v>
      </c>
      <c r="S239" s="14">
        <f t="shared" si="150"/>
        <v>8.8865607872535293</v>
      </c>
      <c r="T239" s="14">
        <f t="shared" si="150"/>
        <v>10.061639286314289</v>
      </c>
      <c r="U239" s="14">
        <f t="shared" si="150"/>
        <v>-1.6894370220105088</v>
      </c>
      <c r="V239" s="14">
        <f t="shared" si="150"/>
        <v>-0.9753974760485562</v>
      </c>
      <c r="W239" s="14">
        <f t="shared" si="150"/>
        <v>0.22848619712601703</v>
      </c>
      <c r="X239" s="187">
        <f t="shared" si="150"/>
        <v>0</v>
      </c>
      <c r="Y239" s="158">
        <f t="shared" si="150"/>
        <v>0.20000874443627481</v>
      </c>
      <c r="Z239" s="158">
        <f t="shared" si="150"/>
        <v>-1.2253143916533418</v>
      </c>
      <c r="AA239" s="158">
        <f t="shared" si="150"/>
        <v>-1.0661611738165675</v>
      </c>
      <c r="AB239" s="158">
        <f t="shared" si="150"/>
        <v>-0.97122022535955921</v>
      </c>
      <c r="AC239" s="158">
        <f t="shared" si="150"/>
        <v>-0.80429423716310566</v>
      </c>
      <c r="AD239" s="158">
        <f t="shared" si="150"/>
        <v>-0.74416712740958246</v>
      </c>
      <c r="AE239" s="158">
        <f t="shared" si="150"/>
        <v>-0.58478738236374284</v>
      </c>
      <c r="AF239" s="158">
        <f t="shared" si="150"/>
        <v>-0.46147037603191166</v>
      </c>
      <c r="AG239" s="158">
        <f t="shared" si="150"/>
        <v>-0.26483657430577523</v>
      </c>
      <c r="AH239" s="187">
        <f t="shared" si="150"/>
        <v>0</v>
      </c>
    </row>
    <row r="240" spans="1:34">
      <c r="A240" t="s">
        <v>394</v>
      </c>
      <c r="C240" s="331">
        <f>C219-C200</f>
        <v>2.2781000000004497</v>
      </c>
      <c r="D240" s="331">
        <f t="shared" ref="D240:AH240" si="151">D219-D200+D249+D252</f>
        <v>105.98315760318292</v>
      </c>
      <c r="E240" s="331">
        <f t="shared" si="151"/>
        <v>201.93543816514284</v>
      </c>
      <c r="F240" s="331">
        <f t="shared" si="151"/>
        <v>138.18440120852756</v>
      </c>
      <c r="G240" s="331">
        <f t="shared" si="151"/>
        <v>49.154780844562993</v>
      </c>
      <c r="H240" s="402">
        <f t="shared" si="151"/>
        <v>-0.2716999999993277</v>
      </c>
      <c r="I240" s="14">
        <f t="shared" si="151"/>
        <v>-15.113342879521042</v>
      </c>
      <c r="J240" s="14">
        <f t="shared" si="151"/>
        <v>2.1876981257119041</v>
      </c>
      <c r="K240" s="14">
        <f t="shared" si="151"/>
        <v>13.175755030915752</v>
      </c>
      <c r="L240" s="14">
        <f t="shared" si="151"/>
        <v>5.6204736495346879</v>
      </c>
      <c r="M240" s="14">
        <f t="shared" si="151"/>
        <v>-98.068886973939698</v>
      </c>
      <c r="N240" s="187">
        <f t="shared" si="151"/>
        <v>-211.69841749251827</v>
      </c>
      <c r="O240" s="14">
        <f t="shared" si="151"/>
        <v>-249.47605937042681</v>
      </c>
      <c r="P240" s="14">
        <f t="shared" si="151"/>
        <v>-287.93063577090106</v>
      </c>
      <c r="Q240" s="14">
        <f t="shared" si="151"/>
        <v>-332.16440274627621</v>
      </c>
      <c r="R240" s="14">
        <f t="shared" si="151"/>
        <v>-375.24001265661263</v>
      </c>
      <c r="S240" s="14">
        <f t="shared" si="151"/>
        <v>-415.95271649185361</v>
      </c>
      <c r="T240" s="14">
        <f t="shared" si="151"/>
        <v>-453.77004927339749</v>
      </c>
      <c r="U240" s="14">
        <f t="shared" si="151"/>
        <v>-475.52247492216247</v>
      </c>
      <c r="V240" s="14">
        <f t="shared" si="151"/>
        <v>-510.63035355776901</v>
      </c>
      <c r="W240" s="14">
        <f t="shared" si="151"/>
        <v>-550.76222340542063</v>
      </c>
      <c r="X240" s="187">
        <f t="shared" si="151"/>
        <v>-589.62181720590161</v>
      </c>
      <c r="Y240" s="158">
        <f t="shared" si="151"/>
        <v>-596.69977297833066</v>
      </c>
      <c r="Z240" s="158">
        <f t="shared" si="151"/>
        <v>-601.02339506330281</v>
      </c>
      <c r="AA240" s="158">
        <f t="shared" si="151"/>
        <v>-607.17659908835958</v>
      </c>
      <c r="AB240" s="158">
        <f t="shared" si="151"/>
        <v>-611.99781298370908</v>
      </c>
      <c r="AC240" s="158">
        <f t="shared" si="151"/>
        <v>-617.4891394193719</v>
      </c>
      <c r="AD240" s="158">
        <f t="shared" si="151"/>
        <v>-623.55461432237098</v>
      </c>
      <c r="AE240" s="158">
        <f t="shared" si="151"/>
        <v>-627.99168204880607</v>
      </c>
      <c r="AF240" s="158">
        <f t="shared" si="151"/>
        <v>-632.88889957108495</v>
      </c>
      <c r="AG240" s="158">
        <f t="shared" si="151"/>
        <v>-637.5707271469455</v>
      </c>
      <c r="AH240" s="187">
        <f t="shared" si="151"/>
        <v>-641.13359344615401</v>
      </c>
    </row>
    <row r="241" spans="1:34">
      <c r="A241" t="s">
        <v>423</v>
      </c>
      <c r="C241" s="331">
        <f>C220-C201</f>
        <v>1.1990000000000691</v>
      </c>
      <c r="D241" s="331">
        <f t="shared" ref="D241:AH241" si="152">D220-D201+D250+D253</f>
        <v>55.780609264832947</v>
      </c>
      <c r="E241" s="331">
        <f t="shared" si="152"/>
        <v>106.28180956060169</v>
      </c>
      <c r="F241" s="331">
        <f t="shared" si="152"/>
        <v>72.728632215014386</v>
      </c>
      <c r="G241" s="331">
        <f t="shared" si="152"/>
        <v>25.870937286611934</v>
      </c>
      <c r="H241" s="402">
        <f t="shared" si="152"/>
        <v>-0.1430000000000291</v>
      </c>
      <c r="I241" s="14">
        <f t="shared" si="152"/>
        <v>-7.9543909892217926</v>
      </c>
      <c r="J241" s="14">
        <f t="shared" si="152"/>
        <v>1.1514200661636096</v>
      </c>
      <c r="K241" s="14">
        <f t="shared" si="152"/>
        <v>6.9346079110082428</v>
      </c>
      <c r="L241" s="14">
        <f t="shared" si="152"/>
        <v>2.9581440260712952</v>
      </c>
      <c r="M241" s="14">
        <f t="shared" si="152"/>
        <v>-51.615203670494338</v>
      </c>
      <c r="N241" s="187">
        <f t="shared" si="152"/>
        <v>-111.42021973290457</v>
      </c>
      <c r="O241" s="14">
        <f t="shared" si="152"/>
        <v>-131.30318914232976</v>
      </c>
      <c r="P241" s="14">
        <f t="shared" si="152"/>
        <v>-151.54243987942164</v>
      </c>
      <c r="Q241" s="14">
        <f t="shared" si="152"/>
        <v>-174.82336986646123</v>
      </c>
      <c r="R241" s="14">
        <f t="shared" si="152"/>
        <v>-197.49474350348055</v>
      </c>
      <c r="S241" s="14">
        <f t="shared" si="152"/>
        <v>-218.92248236413388</v>
      </c>
      <c r="T241" s="14">
        <f t="shared" si="152"/>
        <v>-238.82634172284043</v>
      </c>
      <c r="U241" s="14">
        <f t="shared" si="152"/>
        <v>-250.27498680113831</v>
      </c>
      <c r="V241" s="14">
        <f t="shared" si="152"/>
        <v>-268.75281766198395</v>
      </c>
      <c r="W241" s="14">
        <f t="shared" si="152"/>
        <v>-289.87485442390516</v>
      </c>
      <c r="X241" s="187">
        <f t="shared" si="152"/>
        <v>-310.32727221363257</v>
      </c>
      <c r="Y241" s="158">
        <f t="shared" si="152"/>
        <v>-314.05251209385779</v>
      </c>
      <c r="Z241" s="158">
        <f t="shared" si="152"/>
        <v>-316.32810266489605</v>
      </c>
      <c r="AA241" s="158">
        <f t="shared" si="152"/>
        <v>-319.56663109913688</v>
      </c>
      <c r="AB241" s="158">
        <f t="shared" si="152"/>
        <v>-322.10411209668882</v>
      </c>
      <c r="AC241" s="158">
        <f t="shared" si="152"/>
        <v>-324.99428390493267</v>
      </c>
      <c r="AD241" s="158">
        <f t="shared" si="152"/>
        <v>-328.18663911703698</v>
      </c>
      <c r="AE241" s="158">
        <f t="shared" si="152"/>
        <v>-330.52193792042453</v>
      </c>
      <c r="AF241" s="158">
        <f t="shared" si="152"/>
        <v>-333.09942082688667</v>
      </c>
      <c r="AG241" s="158">
        <f t="shared" si="152"/>
        <v>-335.56354060365584</v>
      </c>
      <c r="AH241" s="187">
        <f t="shared" si="152"/>
        <v>-337.43873339271249</v>
      </c>
    </row>
    <row r="242" spans="1:34">
      <c r="A242" t="s">
        <v>424</v>
      </c>
      <c r="C242" s="331">
        <f>C221-C202</f>
        <v>1.0790999999999258</v>
      </c>
      <c r="D242" s="331">
        <f t="shared" ref="D242:AH242" si="153">D221-D202+D251+D254</f>
        <v>50.20254833834997</v>
      </c>
      <c r="E242" s="331">
        <f t="shared" si="153"/>
        <v>95.653628604541154</v>
      </c>
      <c r="F242" s="331">
        <f t="shared" si="153"/>
        <v>65.455768993513175</v>
      </c>
      <c r="G242" s="331">
        <f t="shared" si="153"/>
        <v>23.283843557950604</v>
      </c>
      <c r="H242" s="402">
        <f t="shared" si="153"/>
        <v>-0.12869999999975335</v>
      </c>
      <c r="I242" s="14">
        <f t="shared" si="153"/>
        <v>-7.1589518902992495</v>
      </c>
      <c r="J242" s="14">
        <f t="shared" si="153"/>
        <v>1.0362780595473851</v>
      </c>
      <c r="K242" s="14">
        <f t="shared" si="153"/>
        <v>6.2411471199075095</v>
      </c>
      <c r="L242" s="14">
        <f t="shared" si="153"/>
        <v>2.6623296234638474</v>
      </c>
      <c r="M242" s="14">
        <f t="shared" si="153"/>
        <v>-46.453683303445359</v>
      </c>
      <c r="N242" s="187">
        <f t="shared" si="153"/>
        <v>-100.2781977596137</v>
      </c>
      <c r="O242" s="14">
        <f t="shared" si="153"/>
        <v>-118.1728702280966</v>
      </c>
      <c r="P242" s="14">
        <f t="shared" si="153"/>
        <v>-136.38819589147943</v>
      </c>
      <c r="Q242" s="14">
        <f t="shared" si="153"/>
        <v>-157.34103287981497</v>
      </c>
      <c r="R242" s="14">
        <f t="shared" si="153"/>
        <v>-177.74526915313209</v>
      </c>
      <c r="S242" s="14">
        <f t="shared" si="153"/>
        <v>-197.03023412772018</v>
      </c>
      <c r="T242" s="14">
        <f t="shared" si="153"/>
        <v>-214.94370755055661</v>
      </c>
      <c r="U242" s="14">
        <f t="shared" si="153"/>
        <v>-225.24748812102462</v>
      </c>
      <c r="V242" s="14">
        <f t="shared" si="153"/>
        <v>-241.87753589578551</v>
      </c>
      <c r="W242" s="14">
        <f t="shared" si="153"/>
        <v>-260.88736898151501</v>
      </c>
      <c r="X242" s="187">
        <f t="shared" si="153"/>
        <v>-279.29454499226949</v>
      </c>
      <c r="Y242" s="158">
        <f t="shared" si="153"/>
        <v>-282.64726088447196</v>
      </c>
      <c r="Z242" s="158">
        <f t="shared" si="153"/>
        <v>-284.69529239840676</v>
      </c>
      <c r="AA242" s="158">
        <f t="shared" si="153"/>
        <v>-287.60996798922315</v>
      </c>
      <c r="AB242" s="158">
        <f t="shared" si="153"/>
        <v>-289.89370088702026</v>
      </c>
      <c r="AC242" s="158">
        <f t="shared" si="153"/>
        <v>-292.49485551443922</v>
      </c>
      <c r="AD242" s="158">
        <f t="shared" si="153"/>
        <v>-295.3679752053331</v>
      </c>
      <c r="AE242" s="158">
        <f t="shared" si="153"/>
        <v>-297.46974412838199</v>
      </c>
      <c r="AF242" s="158">
        <f t="shared" si="153"/>
        <v>-299.78947874419782</v>
      </c>
      <c r="AG242" s="158">
        <f t="shared" si="153"/>
        <v>-302.00718654329012</v>
      </c>
      <c r="AH242" s="187">
        <f t="shared" si="153"/>
        <v>-303.69486005344106</v>
      </c>
    </row>
    <row r="243" spans="1:34" s="1" customFormat="1">
      <c r="A243" s="1" t="s">
        <v>405</v>
      </c>
      <c r="B243" s="13"/>
      <c r="C243" s="341">
        <f>C222-C203</f>
        <v>2.2778299999999945</v>
      </c>
      <c r="D243" s="341">
        <f t="shared" ref="D243:AH243" si="154">D222-D203+D249+D252</f>
        <v>-35.148037821955768</v>
      </c>
      <c r="E243" s="341">
        <f t="shared" si="154"/>
        <v>-73.516838423687659</v>
      </c>
      <c r="F243" s="341">
        <f t="shared" si="154"/>
        <v>-50.334643166736896</v>
      </c>
      <c r="G243" s="341">
        <f t="shared" si="154"/>
        <v>-17.960235761658623</v>
      </c>
      <c r="H243" s="405">
        <f t="shared" si="154"/>
        <v>-0.27196999999978289</v>
      </c>
      <c r="I243" s="15">
        <f t="shared" si="154"/>
        <v>4.8964676377645446</v>
      </c>
      <c r="J243" s="15">
        <f t="shared" si="154"/>
        <v>-1.6930504500633106</v>
      </c>
      <c r="K243" s="15">
        <f t="shared" si="154"/>
        <v>-5.9635956296069708</v>
      </c>
      <c r="L243" s="15">
        <f t="shared" si="154"/>
        <v>-3.4855413815812426</v>
      </c>
      <c r="M243" s="15">
        <f t="shared" si="154"/>
        <v>52.068281703210232</v>
      </c>
      <c r="N243" s="190">
        <f t="shared" si="154"/>
        <v>113.19079556633642</v>
      </c>
      <c r="O243" s="15">
        <f t="shared" si="154"/>
        <v>133.03443548974701</v>
      </c>
      <c r="P243" s="15">
        <f t="shared" si="154"/>
        <v>153.23565062344915</v>
      </c>
      <c r="Q243" s="15">
        <f t="shared" si="154"/>
        <v>176.43160125610575</v>
      </c>
      <c r="R243" s="15">
        <f t="shared" si="154"/>
        <v>199.04810438294408</v>
      </c>
      <c r="S243" s="15">
        <f t="shared" si="154"/>
        <v>220.48980379466866</v>
      </c>
      <c r="T243" s="15">
        <f t="shared" si="154"/>
        <v>240.46767581822405</v>
      </c>
      <c r="U243" s="15">
        <f t="shared" si="154"/>
        <v>255.32279141406434</v>
      </c>
      <c r="V243" s="15">
        <f t="shared" si="154"/>
        <v>273.95371704899298</v>
      </c>
      <c r="W243" s="15">
        <f t="shared" si="154"/>
        <v>295.18777482111454</v>
      </c>
      <c r="X243" s="190">
        <f t="shared" si="154"/>
        <v>316.12960062755701</v>
      </c>
      <c r="Y243" s="130">
        <f t="shared" si="154"/>
        <v>319.60579504470479</v>
      </c>
      <c r="Z243" s="130">
        <f t="shared" si="154"/>
        <v>322.03876066330031</v>
      </c>
      <c r="AA243" s="130">
        <f t="shared" si="154"/>
        <v>325.02828517733178</v>
      </c>
      <c r="AB243" s="130">
        <f t="shared" si="154"/>
        <v>327.30926711331358</v>
      </c>
      <c r="AC243" s="130">
        <f t="shared" si="154"/>
        <v>329.93559562914015</v>
      </c>
      <c r="AD243" s="130">
        <f t="shared" si="154"/>
        <v>332.90502702545473</v>
      </c>
      <c r="AE243" s="130">
        <f t="shared" si="154"/>
        <v>334.95842624835586</v>
      </c>
      <c r="AF243" s="130">
        <f t="shared" si="154"/>
        <v>337.27292499639225</v>
      </c>
      <c r="AG243" s="130">
        <f t="shared" si="154"/>
        <v>339.44939688200338</v>
      </c>
      <c r="AH243" s="190">
        <f t="shared" si="154"/>
        <v>341.23248851602784</v>
      </c>
    </row>
    <row r="244" spans="1:34">
      <c r="A244" t="s">
        <v>445</v>
      </c>
      <c r="C244" s="331"/>
      <c r="D244" s="331">
        <f>D231+D234</f>
        <v>7.6259273282630602E-4</v>
      </c>
      <c r="E244" s="331">
        <f t="shared" ref="E244:N244" si="155">E231+E234</f>
        <v>-2.7000000000043656E-4</v>
      </c>
      <c r="F244" s="331">
        <f t="shared" si="155"/>
        <v>-2.7000000000043656E-4</v>
      </c>
      <c r="G244" s="331">
        <f t="shared" si="155"/>
        <v>-2.7000000000043656E-4</v>
      </c>
      <c r="H244" s="402">
        <f t="shared" si="155"/>
        <v>-2.7000000000043656E-4</v>
      </c>
      <c r="I244" s="14">
        <f t="shared" si="155"/>
        <v>0.15921321586210979</v>
      </c>
      <c r="J244" s="14">
        <f t="shared" si="155"/>
        <v>0.12014663002037196</v>
      </c>
      <c r="K244" s="14">
        <f t="shared" si="155"/>
        <v>0.15374600409631967</v>
      </c>
      <c r="L244" s="14">
        <f t="shared" si="155"/>
        <v>0.19112264319528549</v>
      </c>
      <c r="M244" s="14">
        <f t="shared" si="155"/>
        <v>154.21153563550206</v>
      </c>
      <c r="N244" s="187">
        <f t="shared" si="155"/>
        <v>324.88921305885424</v>
      </c>
      <c r="O244" s="14">
        <f>O231+O234</f>
        <v>379.20662760599043</v>
      </c>
      <c r="P244" s="14">
        <f t="shared" ref="P244:AH244" si="156">P231+P234</f>
        <v>434.49994926879845</v>
      </c>
      <c r="Q244" s="14">
        <f t="shared" si="156"/>
        <v>497.3224549075976</v>
      </c>
      <c r="R244" s="14">
        <f t="shared" si="156"/>
        <v>558.87744052360313</v>
      </c>
      <c r="S244" s="14">
        <f t="shared" si="156"/>
        <v>617.6820030689878</v>
      </c>
      <c r="T244" s="14">
        <f t="shared" si="156"/>
        <v>672.99648659829154</v>
      </c>
      <c r="U244" s="14">
        <f t="shared" si="156"/>
        <v>734.41185560491522</v>
      </c>
      <c r="V244" s="14">
        <f t="shared" si="156"/>
        <v>786.64324305619721</v>
      </c>
      <c r="W244" s="14">
        <f t="shared" si="156"/>
        <v>845.46763847704824</v>
      </c>
      <c r="X244" s="187">
        <f t="shared" si="156"/>
        <v>905.75141783345862</v>
      </c>
      <c r="Y244" s="158">
        <f t="shared" si="156"/>
        <v>915.88332734033611</v>
      </c>
      <c r="Z244" s="158">
        <f t="shared" si="156"/>
        <v>925.64893055342691</v>
      </c>
      <c r="AA244" s="158">
        <f t="shared" si="156"/>
        <v>934.4556689659712</v>
      </c>
      <c r="AB244" s="158">
        <f t="shared" si="156"/>
        <v>941.35743390611606</v>
      </c>
      <c r="AC244" s="158">
        <f t="shared" si="156"/>
        <v>949.12268954918864</v>
      </c>
      <c r="AD244" s="158">
        <f t="shared" si="156"/>
        <v>958.03066083902468</v>
      </c>
      <c r="AE244" s="158">
        <f t="shared" si="156"/>
        <v>964.18465943770752</v>
      </c>
      <c r="AF244" s="158">
        <f t="shared" si="156"/>
        <v>971.13603980576636</v>
      </c>
      <c r="AG244" s="158">
        <f t="shared" si="156"/>
        <v>977.57922346359373</v>
      </c>
      <c r="AH244" s="187">
        <f t="shared" si="156"/>
        <v>982.36608196218185</v>
      </c>
    </row>
    <row r="245" spans="1:34">
      <c r="A245" t="s">
        <v>446</v>
      </c>
      <c r="D245" s="331">
        <f>D231+D234+D237</f>
        <v>-141.13119542513874</v>
      </c>
      <c r="E245" s="331">
        <f t="shared" ref="E245:N245" si="157">E231+E234+E237</f>
        <v>-275.45227658883073</v>
      </c>
      <c r="F245" s="331">
        <f t="shared" si="157"/>
        <v>-188.51904437526412</v>
      </c>
      <c r="G245" s="331">
        <f t="shared" si="157"/>
        <v>-67.115016606220479</v>
      </c>
      <c r="H245" s="402">
        <f t="shared" si="157"/>
        <v>-2.7000000000043656E-4</v>
      </c>
      <c r="I245" s="14">
        <f t="shared" si="157"/>
        <v>20.009810517285587</v>
      </c>
      <c r="J245" s="14">
        <f t="shared" si="157"/>
        <v>-3.8807485757752147</v>
      </c>
      <c r="K245" s="14">
        <f t="shared" si="157"/>
        <v>-19.139350660522268</v>
      </c>
      <c r="L245" s="14">
        <f t="shared" si="157"/>
        <v>-9.1060150311157031</v>
      </c>
      <c r="M245" s="14">
        <f t="shared" si="157"/>
        <v>150.13716867714993</v>
      </c>
      <c r="N245" s="187">
        <f t="shared" si="157"/>
        <v>324.88921305885424</v>
      </c>
      <c r="O245" s="14">
        <f>O231+O234+O237</f>
        <v>382.51049486017405</v>
      </c>
      <c r="P245" s="14">
        <f t="shared" ref="P245:AH245" si="158">P231+P234+P237</f>
        <v>441.16628639435032</v>
      </c>
      <c r="Q245" s="14">
        <f t="shared" si="158"/>
        <v>508.59600400238219</v>
      </c>
      <c r="R245" s="14">
        <f t="shared" si="158"/>
        <v>574.28811703955648</v>
      </c>
      <c r="S245" s="14">
        <f t="shared" si="158"/>
        <v>636.44252028652306</v>
      </c>
      <c r="T245" s="14">
        <f t="shared" si="158"/>
        <v>694.23772509162177</v>
      </c>
      <c r="U245" s="14">
        <f t="shared" si="158"/>
        <v>730.84526633622636</v>
      </c>
      <c r="V245" s="14">
        <f t="shared" si="158"/>
        <v>784.58407060676132</v>
      </c>
      <c r="W245" s="14">
        <f t="shared" si="158"/>
        <v>845.94999822653654</v>
      </c>
      <c r="X245" s="187">
        <f t="shared" si="158"/>
        <v>905.75141783345862</v>
      </c>
      <c r="Y245" s="158">
        <f t="shared" si="158"/>
        <v>916.30556802303488</v>
      </c>
      <c r="Z245" s="158">
        <f t="shared" si="158"/>
        <v>923.06215572660312</v>
      </c>
      <c r="AA245" s="158">
        <f t="shared" si="158"/>
        <v>932.20488426569182</v>
      </c>
      <c r="AB245" s="158">
        <f t="shared" si="158"/>
        <v>939.30708009702357</v>
      </c>
      <c r="AC245" s="158">
        <f t="shared" si="158"/>
        <v>947.42473504851091</v>
      </c>
      <c r="AD245" s="158">
        <f t="shared" si="158"/>
        <v>956.45964134782662</v>
      </c>
      <c r="AE245" s="158">
        <f t="shared" si="158"/>
        <v>962.95010829716182</v>
      </c>
      <c r="AF245" s="158">
        <f t="shared" si="158"/>
        <v>970.16182456747674</v>
      </c>
      <c r="AG245" s="158">
        <f t="shared" si="158"/>
        <v>977.0201240289482</v>
      </c>
      <c r="AH245" s="187">
        <f t="shared" si="158"/>
        <v>982.36608196218185</v>
      </c>
    </row>
    <row r="246" spans="1:34" s="1" customFormat="1">
      <c r="A246" s="1" t="s">
        <v>449</v>
      </c>
      <c r="B246" s="13"/>
      <c r="C246" s="328"/>
      <c r="D246" s="341">
        <f>D243</f>
        <v>-35.148037821955768</v>
      </c>
      <c r="E246" s="341">
        <f>D246+E243</f>
        <v>-108.66487624564343</v>
      </c>
      <c r="F246" s="341">
        <f>E246+F243</f>
        <v>-158.99951941238032</v>
      </c>
      <c r="G246" s="341">
        <f>F246+G243</f>
        <v>-176.95975517403895</v>
      </c>
      <c r="H246" s="405"/>
      <c r="I246" s="15">
        <f t="shared" ref="I246:X246" si="159">H246+I243</f>
        <v>4.8964676377645446</v>
      </c>
      <c r="J246" s="15">
        <f t="shared" si="159"/>
        <v>3.2034171877012341</v>
      </c>
      <c r="K246" s="15">
        <f t="shared" si="159"/>
        <v>-2.7601784419057367</v>
      </c>
      <c r="L246" s="15">
        <f t="shared" si="159"/>
        <v>-6.2457198234869793</v>
      </c>
      <c r="M246" s="15">
        <f t="shared" si="159"/>
        <v>45.822561879723253</v>
      </c>
      <c r="N246" s="190">
        <f t="shared" si="159"/>
        <v>159.01335744605967</v>
      </c>
      <c r="O246" s="15">
        <f t="shared" si="159"/>
        <v>292.04779293580668</v>
      </c>
      <c r="P246" s="15">
        <f t="shared" si="159"/>
        <v>445.28344355925583</v>
      </c>
      <c r="Q246" s="15">
        <f t="shared" si="159"/>
        <v>621.71504481536158</v>
      </c>
      <c r="R246" s="15">
        <f t="shared" si="159"/>
        <v>820.76314919830565</v>
      </c>
      <c r="S246" s="15">
        <f t="shared" si="159"/>
        <v>1041.2529529929743</v>
      </c>
      <c r="T246" s="15">
        <f t="shared" si="159"/>
        <v>1281.7206288111984</v>
      </c>
      <c r="U246" s="15">
        <f t="shared" si="159"/>
        <v>1537.0434202252627</v>
      </c>
      <c r="V246" s="15">
        <f t="shared" si="159"/>
        <v>1810.9971372742557</v>
      </c>
      <c r="W246" s="15">
        <f t="shared" si="159"/>
        <v>2106.1849120953702</v>
      </c>
      <c r="X246" s="190">
        <f t="shared" si="159"/>
        <v>2422.3145127229272</v>
      </c>
      <c r="Y246" s="130">
        <f t="shared" ref="Y246:AH246" si="160">X246+Y243</f>
        <v>2741.920307767632</v>
      </c>
      <c r="Z246" s="130">
        <f t="shared" si="160"/>
        <v>3063.9590684309323</v>
      </c>
      <c r="AA246" s="130">
        <f t="shared" si="160"/>
        <v>3388.9873536082641</v>
      </c>
      <c r="AB246" s="130">
        <f t="shared" si="160"/>
        <v>3716.2966207215777</v>
      </c>
      <c r="AC246" s="130">
        <f t="shared" si="160"/>
        <v>4046.2322163507179</v>
      </c>
      <c r="AD246" s="130">
        <f t="shared" si="160"/>
        <v>4379.1372433761726</v>
      </c>
      <c r="AE246" s="130">
        <f t="shared" si="160"/>
        <v>4714.0956696245285</v>
      </c>
      <c r="AF246" s="130">
        <f t="shared" si="160"/>
        <v>5051.3685946209207</v>
      </c>
      <c r="AG246" s="130">
        <f t="shared" si="160"/>
        <v>5390.8179915029241</v>
      </c>
      <c r="AH246" s="190">
        <f t="shared" si="160"/>
        <v>5732.0504800189519</v>
      </c>
    </row>
    <row r="247" spans="1:34">
      <c r="A247" t="s">
        <v>458</v>
      </c>
      <c r="D247" s="343" t="b">
        <f t="shared" ref="D247:AH247" si="161">IF(D185-D246&lt;1,TRUE,FALSE)</f>
        <v>1</v>
      </c>
      <c r="E247" s="343" t="b">
        <f t="shared" si="161"/>
        <v>1</v>
      </c>
      <c r="F247" s="343" t="b">
        <f t="shared" si="161"/>
        <v>1</v>
      </c>
      <c r="G247" s="343" t="b">
        <f t="shared" si="161"/>
        <v>1</v>
      </c>
      <c r="H247" s="408"/>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90" t="b">
        <f t="shared" si="161"/>
        <v>1</v>
      </c>
      <c r="Z247" s="290" t="b">
        <f t="shared" si="161"/>
        <v>1</v>
      </c>
      <c r="AA247" s="290" t="b">
        <f t="shared" si="161"/>
        <v>1</v>
      </c>
      <c r="AB247" s="290" t="b">
        <f t="shared" si="161"/>
        <v>1</v>
      </c>
      <c r="AC247" s="290" t="b">
        <f t="shared" si="161"/>
        <v>1</v>
      </c>
      <c r="AD247" s="290" t="b">
        <f t="shared" si="161"/>
        <v>1</v>
      </c>
      <c r="AE247" s="290" t="b">
        <f t="shared" si="161"/>
        <v>1</v>
      </c>
      <c r="AF247" s="290" t="b">
        <f t="shared" si="161"/>
        <v>1</v>
      </c>
      <c r="AG247" s="290" t="b">
        <f t="shared" si="161"/>
        <v>1</v>
      </c>
      <c r="AH247" s="194" t="b">
        <f t="shared" si="161"/>
        <v>1</v>
      </c>
    </row>
    <row r="248" spans="1:34">
      <c r="A248" t="s">
        <v>439</v>
      </c>
    </row>
    <row r="249" spans="1:34" s="1" customFormat="1">
      <c r="A249" s="1" t="s">
        <v>440</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5" activePane="bottomRight" state="frozen"/>
      <selection pane="topRight" activeCell="C1" sqref="C1"/>
      <selection pane="bottomLeft" activeCell="A3" sqref="A3"/>
      <selection pane="bottomRight" activeCell="AF25" sqref="AF25"/>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34153</v>
      </c>
      <c r="D4" s="329">
        <f>EIA_electricity_aeo2014!F58 * 1000</f>
        <v>34702.999999999993</v>
      </c>
      <c r="E4" s="329">
        <f>EIA_electricity_aeo2014!G58 * 1000</f>
        <v>32111.104969083128</v>
      </c>
      <c r="F4" s="329">
        <f>EIA_electricity_aeo2014!H58 * 1000</f>
        <v>30771.785592158452</v>
      </c>
      <c r="G4" s="329">
        <f>EIA_electricity_aeo2014!I58 * 1000</f>
        <v>31525.426509061304</v>
      </c>
      <c r="H4" s="21">
        <f>EIA_electricity_aeo2014!J58 * 1000</f>
        <v>31515.876955215459</v>
      </c>
      <c r="I4" s="21">
        <f>EIA_electricity_aeo2014!K58 * 1000</f>
        <v>33282.373189923637</v>
      </c>
      <c r="J4" s="21">
        <f>EIA_electricity_aeo2014!L58 * 1000</f>
        <v>32388.06363536854</v>
      </c>
      <c r="K4" s="21">
        <f>EIA_electricity_aeo2014!M58 * 1000</f>
        <v>32022.806648416561</v>
      </c>
      <c r="L4" s="21">
        <f>EIA_electricity_aeo2014!N58 * 1000</f>
        <v>32535.880997399494</v>
      </c>
      <c r="M4" s="21">
        <f>EIA_electricity_aeo2014!O58 * 1000</f>
        <v>32758.533003142154</v>
      </c>
      <c r="N4" s="388">
        <f>EIA_electricity_aeo2014!P58 * 1000</f>
        <v>32910.952790323783</v>
      </c>
      <c r="O4" s="21">
        <f>EIA_electricity_aeo2014!Q58 * 1000</f>
        <v>32973.648287255186</v>
      </c>
      <c r="P4" s="21">
        <f>EIA_electricity_aeo2014!R58 * 1000</f>
        <v>33039.322936143457</v>
      </c>
      <c r="Q4" s="21">
        <f>EIA_electricity_aeo2014!S58 * 1000</f>
        <v>33178.315281635085</v>
      </c>
      <c r="R4" s="21">
        <f>EIA_electricity_aeo2014!T58 * 1000</f>
        <v>33288.404103458801</v>
      </c>
      <c r="S4" s="21">
        <f>EIA_electricity_aeo2014!U58 * 1000</f>
        <v>33351.271072820338</v>
      </c>
      <c r="T4" s="21">
        <f>EIA_electricity_aeo2014!V58 * 1000</f>
        <v>33362.688645363785</v>
      </c>
      <c r="U4" s="21">
        <f>EIA_electricity_aeo2014!W58 * 1000</f>
        <v>33425.329987518911</v>
      </c>
      <c r="V4" s="21">
        <f>EIA_electricity_aeo2014!X58 * 1000</f>
        <v>33379.764994362224</v>
      </c>
      <c r="W4" s="21">
        <f>EIA_electricity_aeo2014!Y58 * 1000</f>
        <v>33394.455516560723</v>
      </c>
      <c r="X4" s="388">
        <f>EIA_electricity_aeo2014!Z58 * 1000</f>
        <v>33411.850634079754</v>
      </c>
      <c r="Y4" s="21">
        <f>EIA_electricity_aeo2014!AA58 * 1000</f>
        <v>33407.753513067997</v>
      </c>
      <c r="Z4" s="21">
        <f>EIA_electricity_aeo2014!AB58 * 1000</f>
        <v>33400.177877838105</v>
      </c>
      <c r="AA4" s="21">
        <f>EIA_electricity_aeo2014!AC58 * 1000</f>
        <v>33391.13462236237</v>
      </c>
      <c r="AB4" s="21">
        <f>EIA_electricity_aeo2014!AD58 * 1000</f>
        <v>33374.313017364366</v>
      </c>
      <c r="AC4" s="21">
        <f>EIA_electricity_aeo2014!AE58 * 1000</f>
        <v>33366.249651962295</v>
      </c>
      <c r="AD4" s="21">
        <f>EIA_electricity_aeo2014!AF58 * 1000</f>
        <v>33345.259311331494</v>
      </c>
      <c r="AE4" s="21">
        <f>EIA_electricity_aeo2014!AG58 * 1000</f>
        <v>33336.320609688417</v>
      </c>
      <c r="AF4" s="21">
        <f>EIA_electricity_aeo2014!AH58 * 1000</f>
        <v>33323.034764128242</v>
      </c>
      <c r="AG4" s="21">
        <f>EIA_electricity_aeo2014!AI58 * 1000</f>
        <v>33318.632525097179</v>
      </c>
      <c r="AH4" s="21">
        <f>EIA_electricity_aeo2014!AJ58 * 1000</f>
        <v>33322.473819756982</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1474.99</v>
      </c>
      <c r="D7" s="330">
        <f>EIA_RE_aeo2014!F73*1000-D15</f>
        <v>2041.9899999999998</v>
      </c>
      <c r="E7" s="330">
        <f>EIA_RE_aeo2014!G73*1000-E15</f>
        <v>2442.2202518629479</v>
      </c>
      <c r="F7" s="330">
        <f>EIA_RE_aeo2014!H73*1000-F15</f>
        <v>2118.2446729126405</v>
      </c>
      <c r="G7" s="330">
        <f>EIA_RE_aeo2014!I73*1000-G15</f>
        <v>1771.5914422890435</v>
      </c>
      <c r="H7" s="174">
        <f>EIA_RE_aeo2014!J73*1000-H15</f>
        <v>1809.950647504196</v>
      </c>
      <c r="I7" s="174">
        <f>EIA_RE_aeo2014!K73*1000-I15</f>
        <v>1847.2272422028161</v>
      </c>
      <c r="J7" s="174">
        <f>EIA_RE_aeo2014!L73*1000-J15</f>
        <v>1884.7405402145532</v>
      </c>
      <c r="K7" s="174">
        <f>EIA_RE_aeo2014!M73*1000-K15</f>
        <v>1922.5714629488743</v>
      </c>
      <c r="L7" s="174">
        <f>EIA_RE_aeo2014!N73*1000-L15</f>
        <v>1922.5724458000013</v>
      </c>
      <c r="M7" s="174">
        <f>EIA_RE_aeo2014!O73*1000-M15</f>
        <v>1922.5724458000013</v>
      </c>
      <c r="N7" s="184">
        <f>EIA_RE_aeo2014!P73*1000-N15</f>
        <v>1922.5724458000013</v>
      </c>
      <c r="O7" s="174">
        <f>EIA_RE_aeo2014!Q73*1000-O15</f>
        <v>1922.5724458000013</v>
      </c>
      <c r="P7" s="174">
        <f>EIA_RE_aeo2014!R73*1000-P15</f>
        <v>1922.5724458000013</v>
      </c>
      <c r="Q7" s="174">
        <f>EIA_RE_aeo2014!S73*1000-Q15</f>
        <v>1922.5724458000013</v>
      </c>
      <c r="R7" s="174">
        <f>EIA_RE_aeo2014!T73*1000-R15</f>
        <v>1922.5724458000013</v>
      </c>
      <c r="S7" s="83">
        <f>EIA_RE_aeo2014!U73*1000-S15</f>
        <v>1922.5724458000013</v>
      </c>
      <c r="T7" s="83">
        <f>EIA_RE_aeo2014!V73*1000-T15</f>
        <v>1922.5724458000013</v>
      </c>
      <c r="U7" s="83">
        <f>EIA_RE_aeo2014!W73*1000-U15</f>
        <v>2021.4058256333144</v>
      </c>
      <c r="V7" s="83">
        <f>EIA_RE_aeo2014!X73*1000-V15</f>
        <v>2021.4058256333144</v>
      </c>
      <c r="W7" s="83">
        <f>EIA_RE_aeo2014!Y73*1000-W15</f>
        <v>2021.4058256333144</v>
      </c>
      <c r="X7" s="184">
        <f>EIA_RE_aeo2014!Z73*1000-X15</f>
        <v>2032.187538689398</v>
      </c>
      <c r="Y7" s="174">
        <f>EIA_RE_aeo2014!AA73*1000-Y15</f>
        <v>2032.187538689398</v>
      </c>
      <c r="Z7" s="174">
        <f>EIA_RE_aeo2014!AB73*1000-Z15</f>
        <v>2044.0146777277046</v>
      </c>
      <c r="AA7" s="174">
        <f>EIA_RE_aeo2014!AC73*1000-AA15</f>
        <v>2044.0146777277046</v>
      </c>
      <c r="AB7" s="174">
        <f>EIA_RE_aeo2014!AD73*1000-AB15</f>
        <v>2044.0146777277046</v>
      </c>
      <c r="AC7" s="174">
        <f>EIA_RE_aeo2014!AE73*1000-AC15</f>
        <v>2044.0146777277046</v>
      </c>
      <c r="AD7" s="174">
        <f>EIA_RE_aeo2014!AF73*1000-AD15</f>
        <v>2044.0146777277046</v>
      </c>
      <c r="AE7" s="174">
        <f>EIA_RE_aeo2014!AG73*1000-AE15</f>
        <v>2044.0146777277046</v>
      </c>
      <c r="AF7" s="174">
        <f>EIA_RE_aeo2014!AH73*1000-AF15</f>
        <v>2044.0146777277046</v>
      </c>
      <c r="AG7" s="174">
        <f>EIA_RE_aeo2014!AI73*1000-AG15</f>
        <v>2044.0146777277046</v>
      </c>
      <c r="AH7" s="174">
        <f>EIA_RE_aeo2014!AJ73*1000-AH15</f>
        <v>2044.0146777277046</v>
      </c>
    </row>
    <row r="8" spans="1:34">
      <c r="A8" s="9" t="s">
        <v>59</v>
      </c>
      <c r="B8" s="34">
        <v>0</v>
      </c>
      <c r="C8" s="330">
        <f>EIA_electricity_aeo2014!E52*1000</f>
        <v>0</v>
      </c>
      <c r="D8" s="330">
        <f>EIA_electricity_aeo2014!F52*1000</f>
        <v>0</v>
      </c>
      <c r="E8" s="330">
        <f>EIA_electricity_aeo2014!G52*1000</f>
        <v>0</v>
      </c>
      <c r="F8" s="330">
        <f>EIA_electricity_aeo2014!H52*1000</f>
        <v>0</v>
      </c>
      <c r="G8" s="330">
        <f>EIA_electricity_aeo2014!I52*1000</f>
        <v>0</v>
      </c>
      <c r="H8" s="3">
        <f>EIA_electricity_aeo2014!J52*1000</f>
        <v>0</v>
      </c>
      <c r="I8" s="3">
        <f>EIA_electricity_aeo2014!K52*1000</f>
        <v>0</v>
      </c>
      <c r="J8" s="3">
        <f>EIA_electricity_aeo2014!L52*1000</f>
        <v>0</v>
      </c>
      <c r="K8" s="3">
        <f>EIA_electricity_aeo2014!M52*1000</f>
        <v>0</v>
      </c>
      <c r="L8" s="3">
        <f>EIA_electricity_aeo2014!N52*1000</f>
        <v>0</v>
      </c>
      <c r="M8" s="3">
        <f>EIA_electricity_aeo2014!O52*1000</f>
        <v>0</v>
      </c>
      <c r="N8" s="388">
        <f>EIA_electricity_aeo2014!P52*1000</f>
        <v>0</v>
      </c>
      <c r="O8" s="3">
        <f>EIA_electricity_aeo2014!Q52*1000</f>
        <v>0</v>
      </c>
      <c r="P8" s="3">
        <f>EIA_electricity_aeo2014!R52*1000</f>
        <v>0</v>
      </c>
      <c r="Q8" s="3">
        <f>EIA_electricity_aeo2014!S52*1000</f>
        <v>0</v>
      </c>
      <c r="R8" s="3">
        <f>EIA_electricity_aeo2014!T52*1000</f>
        <v>0</v>
      </c>
      <c r="S8" s="3">
        <f>EIA_electricity_aeo2014!U52*1000</f>
        <v>0</v>
      </c>
      <c r="T8" s="3">
        <f>EIA_electricity_aeo2014!V52*1000</f>
        <v>0</v>
      </c>
      <c r="U8" s="3">
        <f>EIA_electricity_aeo2014!W52*1000</f>
        <v>0</v>
      </c>
      <c r="V8" s="3">
        <f>EIA_electricity_aeo2014!X52*1000</f>
        <v>0</v>
      </c>
      <c r="W8" s="3">
        <f>EIA_electricity_aeo2014!Y52*1000</f>
        <v>0</v>
      </c>
      <c r="X8" s="184">
        <f>EIA_electricity_aeo2014!Z52*1000</f>
        <v>0</v>
      </c>
      <c r="Y8" s="174">
        <f>EIA_electricity_aeo2014!AA52*1000</f>
        <v>0</v>
      </c>
      <c r="Z8" s="174">
        <f>EIA_electricity_aeo2014!AB52*1000</f>
        <v>0</v>
      </c>
      <c r="AA8" s="174">
        <f>EIA_electricity_aeo2014!AC52*1000</f>
        <v>0</v>
      </c>
      <c r="AB8" s="174">
        <f>EIA_electricity_aeo2014!AD52*1000</f>
        <v>0</v>
      </c>
      <c r="AC8" s="174">
        <f>EIA_electricity_aeo2014!AE52*1000</f>
        <v>0</v>
      </c>
      <c r="AD8" s="174">
        <f>EIA_electricity_aeo2014!AF52*1000</f>
        <v>0</v>
      </c>
      <c r="AE8" s="174">
        <f>EIA_electricity_aeo2014!AG52*1000</f>
        <v>0</v>
      </c>
      <c r="AF8" s="174">
        <f>EIA_electricity_aeo2014!AH52*1000</f>
        <v>0</v>
      </c>
      <c r="AG8" s="174">
        <f>EIA_electricity_aeo2014!AI52*1000</f>
        <v>0</v>
      </c>
      <c r="AH8" s="174">
        <f>EIA_electricity_aeo2014!AJ52*1000</f>
        <v>0</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0</v>
      </c>
      <c r="D10" s="330">
        <f>EIA_RE_aeo2014!F76*1000</f>
        <v>0</v>
      </c>
      <c r="E10" s="330">
        <f>EIA_RE_aeo2014!G76*1000</f>
        <v>2.3493810000000002</v>
      </c>
      <c r="F10" s="330">
        <f>EIA_RE_aeo2014!H76*1000</f>
        <v>2.603402</v>
      </c>
      <c r="G10" s="330">
        <f>EIA_RE_aeo2014!I76*1000</f>
        <v>2.7478670000000003</v>
      </c>
      <c r="H10" s="83">
        <f>EIA_RE_aeo2014!J76*1000</f>
        <v>3.1163970000000005</v>
      </c>
      <c r="I10" s="174">
        <f>EIA_RE_aeo2014!K76*1000</f>
        <v>3.158188</v>
      </c>
      <c r="J10" s="174">
        <f>EIA_RE_aeo2014!L76*1000</f>
        <v>3.3551140000000004</v>
      </c>
      <c r="K10" s="174">
        <f>EIA_RE_aeo2014!M76*1000</f>
        <v>3.449058</v>
      </c>
      <c r="L10" s="174">
        <f>EIA_RE_aeo2014!N76*1000</f>
        <v>3.6791960000000001</v>
      </c>
      <c r="M10" s="174">
        <f>EIA_RE_aeo2014!O76*1000</f>
        <v>3.8289949999999999</v>
      </c>
      <c r="N10" s="184">
        <f>EIA_RE_aeo2014!P76*1000</f>
        <v>4.0644689999999999</v>
      </c>
      <c r="O10" s="174">
        <f>EIA_RE_aeo2014!Q76*1000</f>
        <v>4.2179120000000001</v>
      </c>
      <c r="P10" s="174">
        <f>EIA_RE_aeo2014!R76*1000</f>
        <v>4.4261699999999999</v>
      </c>
      <c r="Q10" s="174">
        <f>EIA_RE_aeo2014!S76*1000</f>
        <v>4.5467300000000002</v>
      </c>
      <c r="R10" s="174">
        <f>EIA_RE_aeo2014!T76*1000</f>
        <v>4.800624</v>
      </c>
      <c r="S10" s="83">
        <f>EIA_RE_aeo2014!U76*1000</f>
        <v>4.9260550000000007</v>
      </c>
      <c r="T10" s="83">
        <f>EIA_RE_aeo2014!V76*1000</f>
        <v>5.046189</v>
      </c>
      <c r="U10" s="83">
        <f>EIA_RE_aeo2014!W76*1000</f>
        <v>5.1651989999999994</v>
      </c>
      <c r="V10" s="83">
        <f>EIA_RE_aeo2014!X76*1000</f>
        <v>5.2601979999999999</v>
      </c>
      <c r="W10" s="83">
        <f>EIA_RE_aeo2014!Y76*1000</f>
        <v>5.3672339999999998</v>
      </c>
      <c r="X10" s="184">
        <f>EIA_RE_aeo2014!Z76*1000</f>
        <v>5.4976099999999999</v>
      </c>
      <c r="Y10" s="174">
        <f>EIA_RE_aeo2014!AA76*1000</f>
        <v>5.5981299999999994</v>
      </c>
      <c r="Z10" s="174">
        <f>EIA_RE_aeo2014!AB76*1000</f>
        <v>5.6935210000000005</v>
      </c>
      <c r="AA10" s="174">
        <f>EIA_RE_aeo2014!AC76*1000</f>
        <v>5.8199019999999999</v>
      </c>
      <c r="AB10" s="174">
        <f>EIA_RE_aeo2014!AD76*1000</f>
        <v>5.9512400000000003</v>
      </c>
      <c r="AC10" s="174">
        <f>EIA_RE_aeo2014!AE76*1000</f>
        <v>6.0712260000000011</v>
      </c>
      <c r="AD10" s="174">
        <f>EIA_RE_aeo2014!AF76*1000</f>
        <v>6.197883</v>
      </c>
      <c r="AE10" s="174">
        <f>EIA_RE_aeo2014!AG76*1000</f>
        <v>6.3079359999999998</v>
      </c>
      <c r="AF10" s="174">
        <f>EIA_RE_aeo2014!AH76*1000</f>
        <v>6.4216420000000012</v>
      </c>
      <c r="AG10" s="174">
        <f>EIA_RE_aeo2014!AI76*1000</f>
        <v>6.5493519999999998</v>
      </c>
      <c r="AH10" s="174">
        <f>EIA_RE_aeo2014!AJ76*1000</f>
        <v>6.6573149999999996</v>
      </c>
    </row>
    <row r="11" spans="1:34" s="20" customFormat="1">
      <c r="A11" s="9" t="s">
        <v>50</v>
      </c>
      <c r="B11" s="35">
        <v>1</v>
      </c>
      <c r="C11" s="330">
        <f>EIA_RE_aeo2014!E74*1000</f>
        <v>0</v>
      </c>
      <c r="D11" s="330">
        <f>EIA_RE_aeo2014!F74*1000</f>
        <v>0</v>
      </c>
      <c r="E11" s="330">
        <f>EIA_RE_aeo2014!G74*1000</f>
        <v>1.0000000000000001E-7</v>
      </c>
      <c r="F11" s="330">
        <f>EIA_RE_aeo2014!H74*1000</f>
        <v>1.0000000000000001E-7</v>
      </c>
      <c r="G11" s="330">
        <f>EIA_RE_aeo2014!I74*1000</f>
        <v>1.0000000000000001E-7</v>
      </c>
      <c r="H11" s="83">
        <f>EIA_RE_aeo2014!J74*1000</f>
        <v>1.0000000000000001E-7</v>
      </c>
      <c r="I11" s="83">
        <f>EIA_RE_aeo2014!K74*1000</f>
        <v>1.0000000000000001E-7</v>
      </c>
      <c r="J11" s="83">
        <f>EIA_RE_aeo2014!L74*1000</f>
        <v>1.0000000000000001E-7</v>
      </c>
      <c r="K11" s="83">
        <f>EIA_RE_aeo2014!M74*1000</f>
        <v>1.0000000000000001E-7</v>
      </c>
      <c r="L11" s="83">
        <f>EIA_RE_aeo2014!N74*1000</f>
        <v>1.0000000000000001E-7</v>
      </c>
      <c r="M11" s="83">
        <f>EIA_RE_aeo2014!O74*1000</f>
        <v>1.0000000000000001E-7</v>
      </c>
      <c r="N11" s="388">
        <f>EIA_RE_aeo2014!P74*1000</f>
        <v>1.0000000000000001E-7</v>
      </c>
      <c r="O11" s="83">
        <f>EIA_RE_aeo2014!Q74*1000</f>
        <v>1.0000000000000001E-7</v>
      </c>
      <c r="P11" s="83">
        <f>EIA_RE_aeo2014!R74*1000</f>
        <v>1.0000000000000001E-7</v>
      </c>
      <c r="Q11" s="83">
        <f>EIA_RE_aeo2014!S74*1000</f>
        <v>1.0000000000000001E-7</v>
      </c>
      <c r="R11" s="83">
        <f>EIA_RE_aeo2014!T74*1000</f>
        <v>1.0000000000000001E-7</v>
      </c>
      <c r="S11" s="83">
        <f>EIA_RE_aeo2014!U74*1000</f>
        <v>1.0000000000000001E-7</v>
      </c>
      <c r="T11" s="83">
        <f>EIA_RE_aeo2014!V74*1000</f>
        <v>1.0000000000000001E-7</v>
      </c>
      <c r="U11" s="83">
        <f>EIA_RE_aeo2014!W74*1000</f>
        <v>1.0000000000000001E-7</v>
      </c>
      <c r="V11" s="83">
        <f>EIA_RE_aeo2014!X74*1000</f>
        <v>1.0000000000000001E-7</v>
      </c>
      <c r="W11" s="83">
        <f>EIA_RE_aeo2014!Y74*1000</f>
        <v>1.0000000000000001E-7</v>
      </c>
      <c r="X11" s="184">
        <f>EIA_RE_aeo2014!Z74*1000</f>
        <v>1.0000000000000001E-7</v>
      </c>
      <c r="Y11" s="174">
        <f>EIA_RE_aeo2014!AA74*1000</f>
        <v>1.0000000000000001E-7</v>
      </c>
      <c r="Z11" s="174">
        <f>EIA_RE_aeo2014!AB74*1000</f>
        <v>1.0000000000000001E-7</v>
      </c>
      <c r="AA11" s="174">
        <f>EIA_RE_aeo2014!AC74*1000</f>
        <v>1.0000000000000001E-7</v>
      </c>
      <c r="AB11" s="174">
        <f>EIA_RE_aeo2014!AD74*1000</f>
        <v>1.0000000000000001E-7</v>
      </c>
      <c r="AC11" s="174">
        <f>EIA_RE_aeo2014!AE74*1000</f>
        <v>1.0000000000000001E-7</v>
      </c>
      <c r="AD11" s="174">
        <f>EIA_RE_aeo2014!AF74*1000</f>
        <v>1.0000000000000001E-7</v>
      </c>
      <c r="AE11" s="174">
        <f>EIA_RE_aeo2014!AG74*1000</f>
        <v>1.0000000000000001E-7</v>
      </c>
      <c r="AF11" s="174">
        <f>EIA_RE_aeo2014!AH74*1000</f>
        <v>1.0000000000000001E-7</v>
      </c>
      <c r="AG11" s="174">
        <f>EIA_RE_aeo2014!AI74*1000</f>
        <v>1.0000000000000001E-7</v>
      </c>
      <c r="AH11" s="174">
        <f>EIA_RE_aeo2014!AJ74*1000</f>
        <v>1.0000000000000001E-7</v>
      </c>
    </row>
    <row r="12" spans="1:34" s="20" customFormat="1">
      <c r="A12" s="9" t="s">
        <v>51</v>
      </c>
      <c r="B12" s="35">
        <v>1</v>
      </c>
      <c r="C12" s="330">
        <f>EIA_RE_aeo2014!E75*1000</f>
        <v>0.1</v>
      </c>
      <c r="D12" s="330">
        <f>EIA_RE_aeo2014!F75*1000</f>
        <v>0.1</v>
      </c>
      <c r="E12" s="330">
        <f>EIA_RE_aeo2014!G75*1000</f>
        <v>0.1</v>
      </c>
      <c r="F12" s="330">
        <f>EIA_RE_aeo2014!H75*1000</f>
        <v>0.1</v>
      </c>
      <c r="G12" s="330">
        <f>EIA_RE_aeo2014!I75*1000</f>
        <v>0.1</v>
      </c>
      <c r="H12" s="83">
        <f>EIA_RE_aeo2014!J75*1000</f>
        <v>0.1</v>
      </c>
      <c r="I12" s="174">
        <f>EIA_RE_aeo2014!K75*1000</f>
        <v>0.1</v>
      </c>
      <c r="J12" s="174">
        <f>EIA_RE_aeo2014!L75*1000</f>
        <v>0.1</v>
      </c>
      <c r="K12" s="174">
        <f>EIA_RE_aeo2014!M75*1000</f>
        <v>0.1</v>
      </c>
      <c r="L12" s="174">
        <f>EIA_RE_aeo2014!N75*1000</f>
        <v>0.1</v>
      </c>
      <c r="M12" s="174">
        <f>EIA_RE_aeo2014!O75*1000</f>
        <v>0.1</v>
      </c>
      <c r="N12" s="184">
        <f>EIA_RE_aeo2014!P75*1000</f>
        <v>0.1</v>
      </c>
      <c r="O12" s="174">
        <f>EIA_RE_aeo2014!Q75*1000</f>
        <v>0.1</v>
      </c>
      <c r="P12" s="174">
        <f>EIA_RE_aeo2014!R75*1000</f>
        <v>0.1</v>
      </c>
      <c r="Q12" s="174">
        <f>EIA_RE_aeo2014!S75*1000</f>
        <v>0.1</v>
      </c>
      <c r="R12" s="174">
        <f>EIA_RE_aeo2014!T75*1000</f>
        <v>0.1</v>
      </c>
      <c r="S12" s="83">
        <f>EIA_RE_aeo2014!U75*1000</f>
        <v>0.1</v>
      </c>
      <c r="T12" s="83">
        <f>EIA_RE_aeo2014!V75*1000</f>
        <v>0.1</v>
      </c>
      <c r="U12" s="83">
        <f>EIA_RE_aeo2014!W75*1000</f>
        <v>0.1</v>
      </c>
      <c r="V12" s="83">
        <f>EIA_RE_aeo2014!X75*1000</f>
        <v>0.1</v>
      </c>
      <c r="W12" s="83">
        <f>EIA_RE_aeo2014!Y75*1000</f>
        <v>0.1</v>
      </c>
      <c r="X12" s="184">
        <f>EIA_RE_aeo2014!Z75*1000</f>
        <v>0.1</v>
      </c>
      <c r="Y12" s="174">
        <f>EIA_RE_aeo2014!AA75*1000</f>
        <v>0.1</v>
      </c>
      <c r="Z12" s="174">
        <f>EIA_RE_aeo2014!AB75*1000</f>
        <v>0.1</v>
      </c>
      <c r="AA12" s="174">
        <f>EIA_RE_aeo2014!AC75*1000</f>
        <v>0.1</v>
      </c>
      <c r="AB12" s="174">
        <f>EIA_RE_aeo2014!AD75*1000</f>
        <v>0.1</v>
      </c>
      <c r="AC12" s="174">
        <f>EIA_RE_aeo2014!AE75*1000</f>
        <v>0.1</v>
      </c>
      <c r="AD12" s="174">
        <f>EIA_RE_aeo2014!AF75*1000</f>
        <v>0.1</v>
      </c>
      <c r="AE12" s="174">
        <f>EIA_RE_aeo2014!AG75*1000</f>
        <v>0.1</v>
      </c>
      <c r="AF12" s="174">
        <f>EIA_RE_aeo2014!AH75*1000</f>
        <v>0.1</v>
      </c>
      <c r="AG12" s="174">
        <f>EIA_RE_aeo2014!AI75*1000</f>
        <v>0.1</v>
      </c>
      <c r="AH12" s="174">
        <f>EIA_RE_aeo2014!AJ75*1000</f>
        <v>0.1</v>
      </c>
    </row>
    <row r="13" spans="1:34">
      <c r="A13" s="9" t="s">
        <v>347</v>
      </c>
      <c r="B13" s="34">
        <v>1</v>
      </c>
      <c r="C13" s="330">
        <f>(EIA_RE_aeo2014!E34+EIA_RE_aeo2014!E54)*1000</f>
        <v>0</v>
      </c>
      <c r="D13" s="330">
        <f>(EIA_RE_aeo2014!F34+EIA_RE_aeo2014!F54)*1000</f>
        <v>0</v>
      </c>
      <c r="E13" s="330">
        <f>(EIA_RE_aeo2014!G34+EIA_RE_aeo2014!G54)*1000</f>
        <v>0.2</v>
      </c>
      <c r="F13" s="330">
        <f>(EIA_RE_aeo2014!H34+EIA_RE_aeo2014!H54)*1000</f>
        <v>0.2</v>
      </c>
      <c r="G13" s="330">
        <f>(EIA_RE_aeo2014!I34+EIA_RE_aeo2014!I54)*1000</f>
        <v>0.2</v>
      </c>
      <c r="H13" s="83">
        <f>(EIA_RE_aeo2014!J34+EIA_RE_aeo2014!J54)*1000</f>
        <v>0.2</v>
      </c>
      <c r="I13" s="83">
        <f>(EIA_RE_aeo2014!K34+EIA_RE_aeo2014!K54)*1000</f>
        <v>0.2</v>
      </c>
      <c r="J13" s="83">
        <f>(EIA_RE_aeo2014!L34+EIA_RE_aeo2014!L54)*1000</f>
        <v>0.2</v>
      </c>
      <c r="K13" s="83">
        <f>(EIA_RE_aeo2014!M34+EIA_RE_aeo2014!M54)*1000</f>
        <v>0.2</v>
      </c>
      <c r="L13" s="83">
        <f>(EIA_RE_aeo2014!N34+EIA_RE_aeo2014!N54)*1000</f>
        <v>0.2</v>
      </c>
      <c r="M13" s="83">
        <f>(EIA_RE_aeo2014!O34+EIA_RE_aeo2014!O54)*1000</f>
        <v>0.2</v>
      </c>
      <c r="N13" s="388">
        <f>(EIA_RE_aeo2014!P34+EIA_RE_aeo2014!P54)*1000</f>
        <v>0.2</v>
      </c>
      <c r="O13" s="83">
        <f>(EIA_RE_aeo2014!Q34+EIA_RE_aeo2014!Q54)*1000</f>
        <v>0.2</v>
      </c>
      <c r="P13" s="83">
        <f>(EIA_RE_aeo2014!R34+EIA_RE_aeo2014!R54)*1000</f>
        <v>0.2</v>
      </c>
      <c r="Q13" s="83">
        <f>(EIA_RE_aeo2014!S34+EIA_RE_aeo2014!S54)*1000</f>
        <v>0.2</v>
      </c>
      <c r="R13" s="83">
        <f>(EIA_RE_aeo2014!T34+EIA_RE_aeo2014!T54)*1000</f>
        <v>0.2</v>
      </c>
      <c r="S13" s="83">
        <f>(EIA_RE_aeo2014!U34+EIA_RE_aeo2014!U54)*1000</f>
        <v>0.2</v>
      </c>
      <c r="T13" s="83">
        <f>(EIA_RE_aeo2014!V34+EIA_RE_aeo2014!V54)*1000</f>
        <v>0.2</v>
      </c>
      <c r="U13" s="83">
        <f>(EIA_RE_aeo2014!W34+EIA_RE_aeo2014!W54)*1000</f>
        <v>0.2</v>
      </c>
      <c r="V13" s="83">
        <f>(EIA_RE_aeo2014!X34+EIA_RE_aeo2014!X54)*1000</f>
        <v>0.2</v>
      </c>
      <c r="W13" s="83">
        <f>(EIA_RE_aeo2014!Y34+EIA_RE_aeo2014!Y54)*1000</f>
        <v>0.2</v>
      </c>
      <c r="X13" s="184">
        <f>(EIA_RE_aeo2014!Z34+EIA_RE_aeo2014!Z54)*1000</f>
        <v>0.2</v>
      </c>
      <c r="Y13" s="174">
        <f>(EIA_RE_aeo2014!AA34+EIA_RE_aeo2014!AA54)*1000</f>
        <v>0.2</v>
      </c>
      <c r="Z13" s="174">
        <f>(EIA_RE_aeo2014!AB34+EIA_RE_aeo2014!AB54)*1000</f>
        <v>0.2</v>
      </c>
      <c r="AA13" s="174">
        <f>(EIA_RE_aeo2014!AC34+EIA_RE_aeo2014!AC54)*1000</f>
        <v>0.2</v>
      </c>
      <c r="AB13" s="174">
        <f>(EIA_RE_aeo2014!AD34+EIA_RE_aeo2014!AD54)*1000</f>
        <v>0.2</v>
      </c>
      <c r="AC13" s="174">
        <f>(EIA_RE_aeo2014!AE34+EIA_RE_aeo2014!AE54)*1000</f>
        <v>0.2</v>
      </c>
      <c r="AD13" s="174">
        <f>(EIA_RE_aeo2014!AF34+EIA_RE_aeo2014!AF54)*1000</f>
        <v>0.2</v>
      </c>
      <c r="AE13" s="174">
        <f>(EIA_RE_aeo2014!AG34+EIA_RE_aeo2014!AG54)*1000</f>
        <v>0.2</v>
      </c>
      <c r="AF13" s="174">
        <f>(EIA_RE_aeo2014!AH34+EIA_RE_aeo2014!AH54)*1000</f>
        <v>0.2</v>
      </c>
      <c r="AG13" s="174">
        <f>(EIA_RE_aeo2014!AI34+EIA_RE_aeo2014!AI54)*1000</f>
        <v>0.2</v>
      </c>
      <c r="AH13" s="174">
        <f>EIA_RE_aeo2014!AJ77*1000</f>
        <v>0</v>
      </c>
    </row>
    <row r="14" spans="1:34">
      <c r="A14" s="9" t="s">
        <v>348</v>
      </c>
      <c r="B14" s="34">
        <v>1</v>
      </c>
      <c r="C14" s="330">
        <f>EIA_RE_aeo2014!E33*1000</f>
        <v>0</v>
      </c>
      <c r="D14" s="330">
        <f>EIA_RE_aeo2014!F33*1000</f>
        <v>0</v>
      </c>
      <c r="E14" s="330">
        <f>EIA_RE_aeo2014!G33*1000</f>
        <v>0.1</v>
      </c>
      <c r="F14" s="330">
        <f>EIA_RE_aeo2014!H33*1000</f>
        <v>0.1</v>
      </c>
      <c r="G14" s="330">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88">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4">
        <f>EIA_RE_aeo2014!Z33*1000</f>
        <v>0.1</v>
      </c>
      <c r="Y14" s="174">
        <f>EIA_RE_aeo2014!AA33*1000</f>
        <v>0.1</v>
      </c>
      <c r="Z14" s="174">
        <f>EIA_RE_aeo2014!AB33*1000</f>
        <v>0.1</v>
      </c>
      <c r="AA14" s="174">
        <f>EIA_RE_aeo2014!AC33*1000</f>
        <v>0.1</v>
      </c>
      <c r="AB14" s="174">
        <f>EIA_RE_aeo2014!AD33*1000</f>
        <v>0.1</v>
      </c>
      <c r="AC14" s="174">
        <f>EIA_RE_aeo2014!AE33*1000</f>
        <v>0.1</v>
      </c>
      <c r="AD14" s="174">
        <f>EIA_RE_aeo2014!AF33*1000</f>
        <v>0.1</v>
      </c>
      <c r="AE14" s="174">
        <f>EIA_RE_aeo2014!AG33*1000</f>
        <v>0.1</v>
      </c>
      <c r="AF14" s="174">
        <f>EIA_RE_aeo2014!AH33*1000</f>
        <v>0.1</v>
      </c>
      <c r="AG14" s="174">
        <f>EIA_RE_aeo2014!AI33*1000</f>
        <v>0.1</v>
      </c>
      <c r="AH14" s="174">
        <f>EIA_RE_aeo2014!AJ33*1000</f>
        <v>0.1</v>
      </c>
    </row>
    <row r="15" spans="1:34" s="514" customFormat="1">
      <c r="A15" s="511" t="s">
        <v>717</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2998</v>
      </c>
      <c r="D16" s="330">
        <f>EIA_RE_aeo2014!F78*1000</f>
        <v>4096</v>
      </c>
      <c r="E16" s="330">
        <f>EIA_RE_aeo2014!G78*1000</f>
        <v>4332.3915200000001</v>
      </c>
      <c r="F16" s="330">
        <f>EIA_RE_aeo2014!H78*1000</f>
        <v>5072.2312000000002</v>
      </c>
      <c r="G16" s="330">
        <f>EIA_RE_aeo2014!I78*1000</f>
        <v>5372.8596800000005</v>
      </c>
      <c r="H16" s="3">
        <f>EIA_RE_aeo2014!J78*1000</f>
        <v>5434.6097600000003</v>
      </c>
      <c r="I16" s="3">
        <f>EIA_RE_aeo2014!K78*1000</f>
        <v>6522.8489600000003</v>
      </c>
      <c r="J16" s="3">
        <f>EIA_RE_aeo2014!L78*1000</f>
        <v>7213.5521600000011</v>
      </c>
      <c r="K16" s="3">
        <f>EIA_RE_aeo2014!M78*1000</f>
        <v>7217.3497599999992</v>
      </c>
      <c r="L16" s="3">
        <f>EIA_RE_aeo2014!N78*1000</f>
        <v>7217.4192000000012</v>
      </c>
      <c r="M16" s="3">
        <f>EIA_RE_aeo2014!O78*1000</f>
        <v>7217.4192000000012</v>
      </c>
      <c r="N16" s="388">
        <f>EIA_RE_aeo2014!P78*1000</f>
        <v>7217.6526400000002</v>
      </c>
      <c r="O16" s="3">
        <f>EIA_RE_aeo2014!Q78*1000</f>
        <v>7216.6849600000005</v>
      </c>
      <c r="P16" s="3">
        <f>EIA_RE_aeo2014!R78*1000</f>
        <v>7216.7744000000002</v>
      </c>
      <c r="Q16" s="3">
        <f>EIA_RE_aeo2014!S78*1000</f>
        <v>7216.496000000001</v>
      </c>
      <c r="R16" s="3">
        <f>EIA_RE_aeo2014!T78*1000</f>
        <v>7216.4543999999996</v>
      </c>
      <c r="S16" s="3">
        <f>EIA_RE_aeo2014!U78*1000</f>
        <v>7216.2076800000004</v>
      </c>
      <c r="T16" s="3">
        <f>EIA_RE_aeo2014!V78*1000</f>
        <v>7216.0849600000001</v>
      </c>
      <c r="U16" s="3">
        <f>EIA_RE_aeo2014!W78*1000</f>
        <v>7214.8380799999995</v>
      </c>
      <c r="V16" s="3">
        <f>EIA_RE_aeo2014!X78*1000</f>
        <v>7214.55296</v>
      </c>
      <c r="W16" s="3">
        <f>EIA_RE_aeo2014!Y78*1000</f>
        <v>7214.3251199999995</v>
      </c>
      <c r="X16" s="184">
        <f>EIA_RE_aeo2014!Z78*1000</f>
        <v>7213.7905600000013</v>
      </c>
      <c r="Y16" s="174">
        <f>EIA_RE_aeo2014!AA78*1000</f>
        <v>7213.9935999999998</v>
      </c>
      <c r="Z16" s="174">
        <f>EIA_RE_aeo2014!AB78*1000</f>
        <v>7214.4078399999999</v>
      </c>
      <c r="AA16" s="174">
        <f>EIA_RE_aeo2014!AC78*1000</f>
        <v>7217.5147200000001</v>
      </c>
      <c r="AB16" s="174">
        <f>EIA_RE_aeo2014!AD78*1000</f>
        <v>7224.2468799999997</v>
      </c>
      <c r="AC16" s="174">
        <f>EIA_RE_aeo2014!AE78*1000</f>
        <v>7231.0508800000007</v>
      </c>
      <c r="AD16" s="174">
        <f>EIA_RE_aeo2014!AF78*1000</f>
        <v>7230.4569600000004</v>
      </c>
      <c r="AE16" s="174">
        <f>EIA_RE_aeo2014!AG78*1000</f>
        <v>7242.1545599999999</v>
      </c>
      <c r="AF16" s="174">
        <f>EIA_RE_aeo2014!AH78*1000</f>
        <v>7250.1372800000008</v>
      </c>
      <c r="AG16" s="174">
        <f>EIA_RE_aeo2014!AI78*1000</f>
        <v>7262.520480000001</v>
      </c>
      <c r="AH16" s="174">
        <f>EIA_RE_aeo2014!AJ78*1000</f>
        <v>7282.5747200000005</v>
      </c>
    </row>
    <row r="17" spans="1:34">
      <c r="A17" s="11" t="s">
        <v>327</v>
      </c>
      <c r="B17" s="36"/>
      <c r="C17" s="330">
        <f t="shared" ref="C17:AH17" si="0">SUM(C7:C16)</f>
        <v>4473.1000000000004</v>
      </c>
      <c r="D17" s="330">
        <f t="shared" si="0"/>
        <v>6138.0999999999995</v>
      </c>
      <c r="E17" s="330">
        <f t="shared" si="0"/>
        <v>6777.3711529629472</v>
      </c>
      <c r="F17" s="330">
        <f t="shared" si="0"/>
        <v>7193.4892750126401</v>
      </c>
      <c r="G17" s="330">
        <f t="shared" si="0"/>
        <v>7147.6089893890439</v>
      </c>
      <c r="H17" s="3">
        <f t="shared" si="0"/>
        <v>7248.086804604196</v>
      </c>
      <c r="I17" s="3">
        <f t="shared" si="0"/>
        <v>8373.6443903028157</v>
      </c>
      <c r="J17" s="3">
        <f t="shared" si="0"/>
        <v>9102.057814314554</v>
      </c>
      <c r="K17" s="3">
        <f t="shared" si="0"/>
        <v>9143.7802810488738</v>
      </c>
      <c r="L17" s="3">
        <f t="shared" si="0"/>
        <v>9144.0808419000023</v>
      </c>
      <c r="M17" s="3">
        <f t="shared" si="0"/>
        <v>9144.230640900003</v>
      </c>
      <c r="N17" s="388">
        <f t="shared" si="0"/>
        <v>9144.6995549000021</v>
      </c>
      <c r="O17" s="3">
        <f t="shared" si="0"/>
        <v>9143.8853179000016</v>
      </c>
      <c r="P17" s="3">
        <f t="shared" si="0"/>
        <v>9144.1830159000019</v>
      </c>
      <c r="Q17" s="3">
        <f t="shared" si="0"/>
        <v>9144.0251759000021</v>
      </c>
      <c r="R17" s="3">
        <f t="shared" si="0"/>
        <v>9144.2374699000011</v>
      </c>
      <c r="S17" s="3">
        <f t="shared" si="0"/>
        <v>9144.1161809000023</v>
      </c>
      <c r="T17" s="3">
        <f t="shared" si="0"/>
        <v>9144.1135949000018</v>
      </c>
      <c r="U17" s="3">
        <f t="shared" si="0"/>
        <v>9241.819104733313</v>
      </c>
      <c r="V17" s="3">
        <f t="shared" si="0"/>
        <v>9241.6289837333134</v>
      </c>
      <c r="W17" s="3">
        <f t="shared" si="0"/>
        <v>9241.5081797333132</v>
      </c>
      <c r="X17" s="184">
        <f t="shared" si="0"/>
        <v>9251.8857087893994</v>
      </c>
      <c r="Y17" s="174">
        <f t="shared" si="0"/>
        <v>9252.1892687893978</v>
      </c>
      <c r="Z17" s="174">
        <f t="shared" si="0"/>
        <v>9264.5260388277038</v>
      </c>
      <c r="AA17" s="174">
        <f t="shared" si="0"/>
        <v>9267.759299827705</v>
      </c>
      <c r="AB17" s="174">
        <f t="shared" si="0"/>
        <v>9274.6227978277038</v>
      </c>
      <c r="AC17" s="174">
        <f t="shared" si="0"/>
        <v>9281.5467838277054</v>
      </c>
      <c r="AD17" s="174">
        <f t="shared" si="0"/>
        <v>9281.079520827705</v>
      </c>
      <c r="AE17" s="174">
        <f t="shared" si="0"/>
        <v>9292.8871738277048</v>
      </c>
      <c r="AF17" s="174">
        <f t="shared" si="0"/>
        <v>9300.9835998277049</v>
      </c>
      <c r="AG17" s="174">
        <f t="shared" si="0"/>
        <v>9313.4945098277058</v>
      </c>
      <c r="AH17" s="174">
        <f t="shared" si="0"/>
        <v>9333.4567128277049</v>
      </c>
    </row>
    <row r="18" spans="1:34">
      <c r="A18" s="10" t="s">
        <v>126</v>
      </c>
      <c r="B18" s="37"/>
      <c r="C18" s="331">
        <f t="shared" ref="C18:AH18" si="1">SUMPRODUCT($B7:$B16,C7:C16)</f>
        <v>2998.11</v>
      </c>
      <c r="D18" s="331">
        <f t="shared" si="1"/>
        <v>4096.1099999999997</v>
      </c>
      <c r="E18" s="331">
        <f t="shared" si="1"/>
        <v>4335.1509010999998</v>
      </c>
      <c r="F18" s="331">
        <f t="shared" si="1"/>
        <v>5075.2446021000005</v>
      </c>
      <c r="G18" s="331">
        <f t="shared" si="1"/>
        <v>5376.0175471000002</v>
      </c>
      <c r="H18" s="14">
        <f t="shared" si="1"/>
        <v>5438.1361571000007</v>
      </c>
      <c r="I18" s="14">
        <f t="shared" si="1"/>
        <v>6526.4171481000003</v>
      </c>
      <c r="J18" s="14">
        <f t="shared" si="1"/>
        <v>7217.3172741000008</v>
      </c>
      <c r="K18" s="14">
        <f t="shared" si="1"/>
        <v>7221.208818099999</v>
      </c>
      <c r="L18" s="14">
        <f t="shared" si="1"/>
        <v>7221.5083961000009</v>
      </c>
      <c r="M18" s="14">
        <f t="shared" si="1"/>
        <v>7221.6581951000007</v>
      </c>
      <c r="N18" s="190">
        <f t="shared" si="1"/>
        <v>7222.1271090999999</v>
      </c>
      <c r="O18" s="14">
        <f t="shared" si="1"/>
        <v>7221.3128721000003</v>
      </c>
      <c r="P18" s="14">
        <f t="shared" si="1"/>
        <v>7221.6105701000006</v>
      </c>
      <c r="Q18" s="14">
        <f t="shared" si="1"/>
        <v>7221.4527301000007</v>
      </c>
      <c r="R18" s="14">
        <f t="shared" si="1"/>
        <v>7221.6650240999998</v>
      </c>
      <c r="S18" s="14">
        <f t="shared" si="1"/>
        <v>7221.5437351</v>
      </c>
      <c r="T18" s="14">
        <f t="shared" si="1"/>
        <v>7221.5411491000004</v>
      </c>
      <c r="U18" s="14">
        <f t="shared" si="1"/>
        <v>7220.4132790999993</v>
      </c>
      <c r="V18" s="14">
        <f t="shared" si="1"/>
        <v>7220.2231580999996</v>
      </c>
      <c r="W18" s="14">
        <f t="shared" si="1"/>
        <v>7220.1023540999995</v>
      </c>
      <c r="X18" s="187">
        <f t="shared" si="1"/>
        <v>7219.6981701000013</v>
      </c>
      <c r="Y18" s="14">
        <f t="shared" si="1"/>
        <v>7220.0017300999998</v>
      </c>
      <c r="Z18" s="14">
        <f t="shared" si="1"/>
        <v>7220.5113610999997</v>
      </c>
      <c r="AA18" s="14">
        <f t="shared" si="1"/>
        <v>7223.7446221</v>
      </c>
      <c r="AB18" s="14">
        <f t="shared" si="1"/>
        <v>7230.6081200999997</v>
      </c>
      <c r="AC18" s="14">
        <f t="shared" si="1"/>
        <v>7237.5321061000004</v>
      </c>
      <c r="AD18" s="14">
        <f t="shared" si="1"/>
        <v>7237.0648431000009</v>
      </c>
      <c r="AE18" s="14">
        <f t="shared" si="1"/>
        <v>7248.8724960999998</v>
      </c>
      <c r="AF18" s="14">
        <f t="shared" si="1"/>
        <v>7256.9689221000008</v>
      </c>
      <c r="AG18" s="14">
        <f t="shared" si="1"/>
        <v>7269.4798321000007</v>
      </c>
      <c r="AH18" s="14">
        <f t="shared" si="1"/>
        <v>7289.4420351000008</v>
      </c>
    </row>
    <row r="19" spans="1:34">
      <c r="A19" s="10" t="s">
        <v>112</v>
      </c>
      <c r="B19" s="37"/>
      <c r="C19" s="332">
        <f t="shared" ref="C19:AH19" si="2">C18/C4</f>
        <v>8.7784674845547986E-2</v>
      </c>
      <c r="D19" s="332">
        <f t="shared" si="2"/>
        <v>0.11803331124110308</v>
      </c>
      <c r="E19" s="332">
        <f t="shared" si="2"/>
        <v>0.13500472516513909</v>
      </c>
      <c r="F19" s="332">
        <f t="shared" si="2"/>
        <v>0.16493175499680202</v>
      </c>
      <c r="G19" s="332">
        <f t="shared" si="2"/>
        <v>0.17052957382050898</v>
      </c>
      <c r="H19" s="23">
        <f t="shared" si="2"/>
        <v>0.17255227150517419</v>
      </c>
      <c r="I19" s="23">
        <f t="shared" si="2"/>
        <v>0.19609230119671567</v>
      </c>
      <c r="J19" s="23">
        <f t="shared" si="2"/>
        <v>0.2228388012125096</v>
      </c>
      <c r="K19" s="23">
        <f t="shared" si="2"/>
        <v>0.22550205849795704</v>
      </c>
      <c r="L19" s="23">
        <f t="shared" si="2"/>
        <v>0.22195521297478304</v>
      </c>
      <c r="M19" s="23">
        <f t="shared" si="2"/>
        <v>0.2204512086791954</v>
      </c>
      <c r="N19" s="183">
        <f t="shared" si="2"/>
        <v>0.21944448570396274</v>
      </c>
      <c r="O19" s="23">
        <f t="shared" si="2"/>
        <v>0.21900254437089836</v>
      </c>
      <c r="P19" s="23">
        <f t="shared" si="2"/>
        <v>0.21857622760785755</v>
      </c>
      <c r="Q19" s="23">
        <f t="shared" si="2"/>
        <v>0.21765579924117578</v>
      </c>
      <c r="R19" s="23">
        <f t="shared" si="2"/>
        <v>0.21694236232098729</v>
      </c>
      <c r="S19" s="23">
        <f t="shared" si="2"/>
        <v>0.21652979040385681</v>
      </c>
      <c r="T19" s="23">
        <f t="shared" si="2"/>
        <v>0.21645561081311518</v>
      </c>
      <c r="U19" s="23">
        <f t="shared" si="2"/>
        <v>0.21601621530127352</v>
      </c>
      <c r="V19" s="23">
        <f t="shared" si="2"/>
        <v>0.21630539218354236</v>
      </c>
      <c r="W19" s="23">
        <f t="shared" si="2"/>
        <v>0.21620662000371474</v>
      </c>
      <c r="X19" s="185">
        <f t="shared" si="2"/>
        <v>0.21608195993597498</v>
      </c>
      <c r="Y19" s="172">
        <f t="shared" si="2"/>
        <v>0.21611754670291664</v>
      </c>
      <c r="Z19" s="172">
        <f t="shared" si="2"/>
        <v>0.21618182356720317</v>
      </c>
      <c r="AA19" s="172">
        <f t="shared" si="2"/>
        <v>0.21633720158949579</v>
      </c>
      <c r="AB19" s="172">
        <f t="shared" si="2"/>
        <v>0.21665189381839792</v>
      </c>
      <c r="AC19" s="172">
        <f t="shared" si="2"/>
        <v>0.2169117650797879</v>
      </c>
      <c r="AD19" s="172">
        <f t="shared" si="2"/>
        <v>0.21703429490622309</v>
      </c>
      <c r="AE19" s="172">
        <f t="shared" si="2"/>
        <v>0.21744668768254183</v>
      </c>
      <c r="AF19" s="172">
        <f t="shared" si="2"/>
        <v>0.21777635120772437</v>
      </c>
      <c r="AG19" s="172">
        <f t="shared" si="2"/>
        <v>0.21818061790574036</v>
      </c>
      <c r="AH19" s="172">
        <f t="shared" si="2"/>
        <v>0.21875452808602919</v>
      </c>
    </row>
    <row r="20" spans="1:34">
      <c r="A20" s="10" t="s">
        <v>142</v>
      </c>
      <c r="B20" s="37"/>
      <c r="C20" s="331">
        <f>EIA_electricity_aeo2014!E49*1000</f>
        <v>29607</v>
      </c>
      <c r="D20" s="331">
        <f>EIA_electricity_aeo2014!F49*1000</f>
        <v>28462</v>
      </c>
      <c r="E20" s="331">
        <f>EIA_electricity_aeo2014!G49*1000</f>
        <v>25292.044902295085</v>
      </c>
      <c r="F20" s="331">
        <f>EIA_electricity_aeo2014!H49*1000</f>
        <v>23542.968868161868</v>
      </c>
      <c r="G20" s="331">
        <f>EIA_electricity_aeo2014!I49*1000</f>
        <v>24341.055265943185</v>
      </c>
      <c r="H20" s="14">
        <f>EIA_electricity_aeo2014!J49*1000</f>
        <v>24229.150887533691</v>
      </c>
      <c r="I20" s="14">
        <f>EIA_electricity_aeo2014!K49*1000</f>
        <v>24869.875172832733</v>
      </c>
      <c r="J20" s="14">
        <f>EIA_electricity_aeo2014!L49*1000</f>
        <v>23239.954439628465</v>
      </c>
      <c r="K20" s="14">
        <f>EIA_electricity_aeo2014!M49*1000</f>
        <v>22831.309561699243</v>
      </c>
      <c r="L20" s="14">
        <f>EIA_electricity_aeo2014!N49*1000</f>
        <v>23340.7152987724</v>
      </c>
      <c r="M20" s="14">
        <f>EIA_electricity_aeo2014!O49*1000</f>
        <v>23561.457004053216</v>
      </c>
      <c r="N20" s="190">
        <f>EIA_electricity_aeo2014!P49*1000</f>
        <v>23709.548048952307</v>
      </c>
      <c r="O20" s="14">
        <f>EIA_electricity_aeo2014!Q49*1000</f>
        <v>23771.815471251957</v>
      </c>
      <c r="P20" s="14">
        <f>EIA_electricity_aeo2014!R49*1000</f>
        <v>23836.768910470306</v>
      </c>
      <c r="Q20" s="14">
        <f>EIA_electricity_aeo2014!S49*1000</f>
        <v>23974.144317776474</v>
      </c>
      <c r="R20" s="14">
        <f>EIA_electricity_aeo2014!T49*1000</f>
        <v>24083.218919607931</v>
      </c>
      <c r="S20" s="14">
        <f>EIA_electricity_aeo2014!U49*1000</f>
        <v>24145.80837069673</v>
      </c>
      <c r="T20" s="14">
        <f>EIA_electricity_aeo2014!V49*1000</f>
        <v>24155.568829060536</v>
      </c>
      <c r="U20" s="14">
        <f>EIA_electricity_aeo2014!W49*1000</f>
        <v>24119.057272893049</v>
      </c>
      <c r="V20" s="14">
        <f>EIA_electricity_aeo2014!X49*1000</f>
        <v>24073.1126513173</v>
      </c>
      <c r="W20" s="14">
        <f>EIA_electricity_aeo2014!Y49*1000</f>
        <v>24086.551318577029</v>
      </c>
      <c r="X20" s="187">
        <f>EIA_electricity_aeo2014!Z49*1000</f>
        <v>24092.496245385242</v>
      </c>
      <c r="Y20" s="14">
        <f>EIA_electricity_aeo2014!AA49*1000</f>
        <v>24087.684230519306</v>
      </c>
      <c r="Z20" s="14">
        <f>EIA_electricity_aeo2014!AB49*1000</f>
        <v>24067.353682277386</v>
      </c>
      <c r="AA20" s="14">
        <f>EIA_electricity_aeo2014!AC49*1000</f>
        <v>24054.758440780235</v>
      </c>
      <c r="AB20" s="14">
        <f>EIA_electricity_aeo2014!AD49*1000</f>
        <v>24031.835748531499</v>
      </c>
      <c r="AC20" s="14">
        <f>EIA_electricity_aeo2014!AE49*1000</f>
        <v>24016.144667803193</v>
      </c>
      <c r="AD20" s="14">
        <f>EIA_electricity_aeo2014!AF49*1000</f>
        <v>23995.83182131037</v>
      </c>
      <c r="AE20" s="14">
        <f>EIA_electricity_aeo2014!AG49*1000</f>
        <v>23974.956631373978</v>
      </c>
      <c r="AF20" s="14">
        <f>EIA_electricity_aeo2014!AH49*1000</f>
        <v>23953.08692498826</v>
      </c>
      <c r="AG20" s="14">
        <f>EIA_electricity_aeo2014!AI49*1000</f>
        <v>23934.182172173692</v>
      </c>
      <c r="AH20" s="14">
        <f>EIA_electricity_aeo2014!AJ49*1000</f>
        <v>23916.662625927438</v>
      </c>
    </row>
    <row r="21" spans="1:34">
      <c r="A21" s="10" t="s">
        <v>222</v>
      </c>
      <c r="B21" s="37"/>
      <c r="C21" s="331">
        <f>EIA_electricity_aeo2014!E51*1000</f>
        <v>17</v>
      </c>
      <c r="D21" s="331">
        <f>EIA_electricity_aeo2014!F51*1000</f>
        <v>16</v>
      </c>
      <c r="E21" s="331">
        <f>EIA_electricity_aeo2014!G51*1000</f>
        <v>6.0492183261555024</v>
      </c>
      <c r="F21" s="331">
        <f>EIA_electricity_aeo2014!H51*1000</f>
        <v>11.556470963952728</v>
      </c>
      <c r="G21" s="331">
        <f>EIA_electricity_aeo2014!I51*1000</f>
        <v>3.6244870991308535</v>
      </c>
      <c r="H21" s="14">
        <f>EIA_electricity_aeo2014!J51*1000</f>
        <v>5.5601131462678426</v>
      </c>
      <c r="I21" s="14">
        <f>EIA_electricity_aeo2014!K51*1000</f>
        <v>5.2695115448236427</v>
      </c>
      <c r="J21" s="14">
        <f>EIA_electricity_aeo2014!L51*1000</f>
        <v>13.667119079295436</v>
      </c>
      <c r="K21" s="14">
        <f>EIA_electricity_aeo2014!M51*1000</f>
        <v>15.653875408167316</v>
      </c>
      <c r="L21" s="14">
        <f>EIA_electricity_aeo2014!N51*1000</f>
        <v>18.554243737914572</v>
      </c>
      <c r="M21" s="14">
        <f>EIA_electricity_aeo2014!O51*1000</f>
        <v>20.032665842146955</v>
      </c>
      <c r="N21" s="190">
        <f>EIA_electricity_aeo2014!P51*1000</f>
        <v>23.612315185315431</v>
      </c>
      <c r="O21" s="14">
        <f>EIA_electricity_aeo2014!Q51*1000</f>
        <v>24.701119662849511</v>
      </c>
      <c r="P21" s="14">
        <f>EIA_electricity_aeo2014!R51*1000</f>
        <v>25.108319375330726</v>
      </c>
      <c r="Q21" s="14">
        <f>EIA_electricity_aeo2014!S51*1000</f>
        <v>26.773855770321987</v>
      </c>
      <c r="R21" s="14">
        <f>EIA_electricity_aeo2014!T51*1000</f>
        <v>27.473558687665953</v>
      </c>
      <c r="S21" s="14">
        <f>EIA_electricity_aeo2014!U51*1000</f>
        <v>27.799122100638051</v>
      </c>
      <c r="T21" s="14">
        <f>EIA_electricity_aeo2014!V51*1000</f>
        <v>29.449599616826426</v>
      </c>
      <c r="U21" s="14">
        <f>EIA_electricity_aeo2014!W51*1000</f>
        <v>30.911950073836469</v>
      </c>
      <c r="V21" s="14">
        <f>EIA_electricity_aeo2014!X51*1000</f>
        <v>31.508483259884784</v>
      </c>
      <c r="W21" s="14">
        <f>EIA_electricity_aeo2014!Y51*1000</f>
        <v>32.856189493688078</v>
      </c>
      <c r="X21" s="187">
        <f>EIA_electricity_aeo2014!Z51*1000</f>
        <v>33.907263022333218</v>
      </c>
      <c r="Y21" s="14">
        <f>EIA_electricity_aeo2014!AA51*1000</f>
        <v>34.313578740964566</v>
      </c>
      <c r="Z21" s="14">
        <f>EIA_electricity_aeo2014!AB51*1000</f>
        <v>34.733439026918838</v>
      </c>
      <c r="AA21" s="14">
        <f>EIA_electricity_aeo2014!AC51*1000</f>
        <v>35.049502168636906</v>
      </c>
      <c r="AB21" s="14">
        <f>EIA_electricity_aeo2014!AD51*1000</f>
        <v>34.284211361489838</v>
      </c>
      <c r="AC21" s="14">
        <f>EIA_electricity_aeo2014!AE51*1000</f>
        <v>34.987366986466498</v>
      </c>
      <c r="AD21" s="14">
        <f>EIA_electricity_aeo2014!AF51*1000</f>
        <v>34.783681441884468</v>
      </c>
      <c r="AE21" s="14">
        <f>EIA_electricity_aeo2014!AG51*1000</f>
        <v>34.912480217217457</v>
      </c>
      <c r="AF21" s="14">
        <f>EIA_electricity_aeo2014!AH51*1000</f>
        <v>35.398308907304497</v>
      </c>
      <c r="AG21" s="14">
        <f>EIA_electricity_aeo2014!AI51*1000</f>
        <v>37.396993827885481</v>
      </c>
      <c r="AH21" s="14">
        <f>EIA_electricity_aeo2014!AJ51*1000</f>
        <v>38.652576864712017</v>
      </c>
    </row>
    <row r="22" spans="1:34">
      <c r="A22" s="10" t="s">
        <v>351</v>
      </c>
      <c r="B22" s="37"/>
      <c r="C22" s="330">
        <f>SUM(C17,C20:C21)</f>
        <v>34097.1</v>
      </c>
      <c r="D22" s="330">
        <f t="shared" ref="D22:AH22" si="3">SUM(D17,D20:D21)</f>
        <v>34616.1</v>
      </c>
      <c r="E22" s="330">
        <f t="shared" si="3"/>
        <v>32075.465273584188</v>
      </c>
      <c r="F22" s="330">
        <f t="shared" si="3"/>
        <v>30748.014614138461</v>
      </c>
      <c r="G22" s="330">
        <f t="shared" si="3"/>
        <v>31492.288742431363</v>
      </c>
      <c r="H22" s="79">
        <f t="shared" si="3"/>
        <v>31482.797805284157</v>
      </c>
      <c r="I22" s="79">
        <f t="shared" si="3"/>
        <v>33248.789074680368</v>
      </c>
      <c r="J22" s="79">
        <f t="shared" si="3"/>
        <v>32355.679373022314</v>
      </c>
      <c r="K22" s="79">
        <f t="shared" si="3"/>
        <v>31990.743718156282</v>
      </c>
      <c r="L22" s="79">
        <f t="shared" si="3"/>
        <v>32503.350384410318</v>
      </c>
      <c r="M22" s="79">
        <f t="shared" si="3"/>
        <v>32725.720310795368</v>
      </c>
      <c r="N22" s="388">
        <f t="shared" si="3"/>
        <v>32877.859919037626</v>
      </c>
      <c r="O22" s="79">
        <f t="shared" si="3"/>
        <v>32940.401908814812</v>
      </c>
      <c r="P22" s="79">
        <f t="shared" si="3"/>
        <v>33006.060245745641</v>
      </c>
      <c r="Q22" s="79">
        <f t="shared" si="3"/>
        <v>33144.943349446796</v>
      </c>
      <c r="R22" s="79">
        <f t="shared" si="3"/>
        <v>33254.929948195597</v>
      </c>
      <c r="S22" s="79">
        <f t="shared" si="3"/>
        <v>33317.723673697372</v>
      </c>
      <c r="T22" s="79">
        <f t="shared" si="3"/>
        <v>33329.13202357736</v>
      </c>
      <c r="U22" s="79">
        <f t="shared" si="3"/>
        <v>33391.788327700204</v>
      </c>
      <c r="V22" s="79">
        <f t="shared" si="3"/>
        <v>33346.250118310498</v>
      </c>
      <c r="W22" s="79">
        <f t="shared" si="3"/>
        <v>33360.91568780403</v>
      </c>
      <c r="X22" s="184">
        <f t="shared" si="3"/>
        <v>33378.289217196972</v>
      </c>
      <c r="Y22" s="174">
        <f t="shared" si="3"/>
        <v>33374.187078049668</v>
      </c>
      <c r="Z22" s="174">
        <f t="shared" si="3"/>
        <v>33366.613160132008</v>
      </c>
      <c r="AA22" s="174">
        <f t="shared" si="3"/>
        <v>33357.567242776575</v>
      </c>
      <c r="AB22" s="174">
        <f t="shared" si="3"/>
        <v>33340.742757720691</v>
      </c>
      <c r="AC22" s="174">
        <f t="shared" si="3"/>
        <v>33332.678818617365</v>
      </c>
      <c r="AD22" s="174">
        <f t="shared" si="3"/>
        <v>33311.69502357996</v>
      </c>
      <c r="AE22" s="174">
        <f t="shared" si="3"/>
        <v>33302.756285418902</v>
      </c>
      <c r="AF22" s="174">
        <f t="shared" si="3"/>
        <v>33289.468833723273</v>
      </c>
      <c r="AG22" s="174">
        <f t="shared" si="3"/>
        <v>33285.073675829284</v>
      </c>
      <c r="AH22" s="174">
        <f t="shared" si="3"/>
        <v>33288.771915619858</v>
      </c>
    </row>
    <row r="23" spans="1:34">
      <c r="A23" s="10" t="s">
        <v>328</v>
      </c>
      <c r="B23" s="37"/>
      <c r="C23" s="330">
        <f>EIA_electricity_aeo2014!E50*1000+EIA_electricity_aeo2014!E55*1000</f>
        <v>45</v>
      </c>
      <c r="D23" s="330">
        <f>EIA_electricity_aeo2014!F50*1000+EIA_electricity_aeo2014!F55*1000</f>
        <v>75</v>
      </c>
      <c r="E23" s="330">
        <f>EIA_electricity_aeo2014!G50*1000+EIA_electricity_aeo2014!G55*1000</f>
        <v>35.939695498943465</v>
      </c>
      <c r="F23" s="330">
        <f>EIA_electricity_aeo2014!H50*1000+EIA_electricity_aeo2014!H55*1000</f>
        <v>24.0709780199888</v>
      </c>
      <c r="G23" s="330">
        <f>EIA_electricity_aeo2014!I50*1000+EIA_electricity_aeo2014!I55*1000</f>
        <v>33.437766629940199</v>
      </c>
      <c r="H23" s="330">
        <f>EIA_electricity_aeo2014!J50*1000+EIA_electricity_aeo2014!J55*1000</f>
        <v>33.379149931303864</v>
      </c>
      <c r="I23" s="330">
        <f>EIA_electricity_aeo2014!K50*1000+EIA_electricity_aeo2014!K55*1000</f>
        <v>33.88411524326709</v>
      </c>
      <c r="J23" s="330">
        <f>EIA_electricity_aeo2014!L50*1000+EIA_electricity_aeo2014!L55*1000</f>
        <v>32.684262346224891</v>
      </c>
      <c r="K23" s="330">
        <f>EIA_electricity_aeo2014!M50*1000+EIA_electricity_aeo2014!M55*1000</f>
        <v>32.362930260280081</v>
      </c>
      <c r="L23" s="330">
        <f>EIA_electricity_aeo2014!N50*1000+EIA_electricity_aeo2014!N55*1000</f>
        <v>32.830612989174668</v>
      </c>
      <c r="M23" s="330">
        <f>EIA_electricity_aeo2014!O50*1000+EIA_electricity_aeo2014!O55*1000</f>
        <v>33.112692346784449</v>
      </c>
      <c r="N23" s="330">
        <f>EIA_electricity_aeo2014!P50*1000+EIA_electricity_aeo2014!P55*1000</f>
        <v>33.392871286157849</v>
      </c>
      <c r="O23" s="330">
        <f>EIA_electricity_aeo2014!Q50*1000+EIA_electricity_aeo2014!Q55*1000</f>
        <v>33.546378440376841</v>
      </c>
      <c r="P23" s="330">
        <f>EIA_electricity_aeo2014!R50*1000+EIA_electricity_aeo2014!R55*1000</f>
        <v>33.562690397826429</v>
      </c>
      <c r="Q23" s="330">
        <f>EIA_electricity_aeo2014!S50*1000+EIA_electricity_aeo2014!S55*1000</f>
        <v>33.67193218829037</v>
      </c>
      <c r="R23" s="330">
        <f>EIA_electricity_aeo2014!T50*1000+EIA_electricity_aeo2014!T55*1000</f>
        <v>33.774155263209231</v>
      </c>
      <c r="S23" s="330">
        <f>EIA_electricity_aeo2014!U50*1000+EIA_electricity_aeo2014!U55*1000</f>
        <v>33.84739912297205</v>
      </c>
      <c r="T23" s="330">
        <f>EIA_electricity_aeo2014!V50*1000+EIA_electricity_aeo2014!V55*1000</f>
        <v>33.856621786420931</v>
      </c>
      <c r="U23" s="330">
        <f>EIA_electricity_aeo2014!W50*1000+EIA_electricity_aeo2014!W55*1000</f>
        <v>33.841659818720956</v>
      </c>
      <c r="V23" s="330">
        <f>EIA_electricity_aeo2014!X50*1000+EIA_electricity_aeo2014!X55*1000</f>
        <v>33.814876051727651</v>
      </c>
      <c r="W23" s="330">
        <f>EIA_electricity_aeo2014!Y50*1000+EIA_electricity_aeo2014!Y55*1000</f>
        <v>33.839828756690352</v>
      </c>
      <c r="X23" s="330">
        <f>EIA_electricity_aeo2014!Z50*1000+EIA_electricity_aeo2014!Z55*1000</f>
        <v>33.861416882783502</v>
      </c>
      <c r="Y23" s="330">
        <f>EIA_electricity_aeo2014!AA50*1000+EIA_electricity_aeo2014!AA55*1000</f>
        <v>33.866435018327905</v>
      </c>
      <c r="Z23" s="330">
        <f>EIA_electricity_aeo2014!AB50*1000+EIA_electricity_aeo2014!AB55*1000</f>
        <v>33.864717706094957</v>
      </c>
      <c r="AA23" s="330">
        <f>EIA_electricity_aeo2014!AC50*1000+EIA_electricity_aeo2014!AC55*1000</f>
        <v>33.86737958579058</v>
      </c>
      <c r="AB23" s="330">
        <f>EIA_electricity_aeo2014!AD50*1000+EIA_electricity_aeo2014!AD55*1000</f>
        <v>33.870259643672568</v>
      </c>
      <c r="AC23" s="330">
        <f>EIA_electricity_aeo2014!AE50*1000+EIA_electricity_aeo2014!AE55*1000</f>
        <v>33.870833344925835</v>
      </c>
      <c r="AD23" s="330">
        <f>EIA_electricity_aeo2014!AF50*1000+EIA_electricity_aeo2014!AF55*1000</f>
        <v>33.864287751533858</v>
      </c>
      <c r="AE23" s="330">
        <f>EIA_electricity_aeo2014!AG50*1000+EIA_electricity_aeo2014!AG55*1000</f>
        <v>33.86432426951346</v>
      </c>
      <c r="AF23" s="330">
        <f>EIA_electricity_aeo2014!AH50*1000+EIA_electricity_aeo2014!AH55*1000</f>
        <v>33.865930404975742</v>
      </c>
      <c r="AG23" s="330">
        <f>EIA_electricity_aeo2014!AI50*1000+EIA_electricity_aeo2014!AI55*1000</f>
        <v>33.858849267895842</v>
      </c>
      <c r="AH23" s="330">
        <f>EIA_electricity_aeo2014!AJ50*1000+EIA_electricity_aeo2014!AJ55*1000</f>
        <v>33.801904137123401</v>
      </c>
    </row>
    <row r="24" spans="1:34">
      <c r="A24" s="10" t="s">
        <v>345</v>
      </c>
      <c r="B24" s="37"/>
      <c r="C24" s="330">
        <f>SUM(C22:C23)</f>
        <v>34142.1</v>
      </c>
      <c r="D24" s="330">
        <f t="shared" ref="D24:AH24" si="4">SUM(D22:D23)</f>
        <v>34691.1</v>
      </c>
      <c r="E24" s="330">
        <f t="shared" si="4"/>
        <v>32111.404969083131</v>
      </c>
      <c r="F24" s="330">
        <f t="shared" si="4"/>
        <v>30772.085592158452</v>
      </c>
      <c r="G24" s="330">
        <f t="shared" si="4"/>
        <v>31525.726509061304</v>
      </c>
      <c r="H24" s="83">
        <f t="shared" si="4"/>
        <v>31516.176955215462</v>
      </c>
      <c r="I24" s="83">
        <f t="shared" si="4"/>
        <v>33282.673189923633</v>
      </c>
      <c r="J24" s="83">
        <f t="shared" si="4"/>
        <v>32388.36363536854</v>
      </c>
      <c r="K24" s="83">
        <f t="shared" si="4"/>
        <v>32023.10664841656</v>
      </c>
      <c r="L24" s="83">
        <f t="shared" si="4"/>
        <v>32536.180997399493</v>
      </c>
      <c r="M24" s="83">
        <f t="shared" si="4"/>
        <v>32758.833003142154</v>
      </c>
      <c r="N24" s="388">
        <f t="shared" si="4"/>
        <v>32911.252790323786</v>
      </c>
      <c r="O24" s="83">
        <f t="shared" si="4"/>
        <v>32973.948287255189</v>
      </c>
      <c r="P24" s="83">
        <f t="shared" si="4"/>
        <v>33039.622936143467</v>
      </c>
      <c r="Q24" s="83">
        <f t="shared" si="4"/>
        <v>33178.615281635088</v>
      </c>
      <c r="R24" s="83">
        <f t="shared" si="4"/>
        <v>33288.704103458804</v>
      </c>
      <c r="S24" s="83">
        <f t="shared" si="4"/>
        <v>33351.571072820341</v>
      </c>
      <c r="T24" s="83">
        <f t="shared" si="4"/>
        <v>33362.988645363781</v>
      </c>
      <c r="U24" s="83">
        <f t="shared" si="4"/>
        <v>33425.629987518922</v>
      </c>
      <c r="V24" s="83">
        <f t="shared" si="4"/>
        <v>33380.064994362227</v>
      </c>
      <c r="W24" s="83">
        <f t="shared" si="4"/>
        <v>33394.755516560719</v>
      </c>
      <c r="X24" s="184">
        <f t="shared" si="4"/>
        <v>33412.150634079757</v>
      </c>
      <c r="Y24" s="174">
        <f t="shared" si="4"/>
        <v>33408.053513067993</v>
      </c>
      <c r="Z24" s="174">
        <f t="shared" si="4"/>
        <v>33400.477877838101</v>
      </c>
      <c r="AA24" s="174">
        <f t="shared" si="4"/>
        <v>33391.434622362365</v>
      </c>
      <c r="AB24" s="174">
        <f t="shared" si="4"/>
        <v>33374.613017364361</v>
      </c>
      <c r="AC24" s="174">
        <f t="shared" si="4"/>
        <v>33366.54965196229</v>
      </c>
      <c r="AD24" s="174">
        <f t="shared" si="4"/>
        <v>33345.55931133149</v>
      </c>
      <c r="AE24" s="174">
        <f t="shared" si="4"/>
        <v>33336.620609688413</v>
      </c>
      <c r="AF24" s="174">
        <f t="shared" si="4"/>
        <v>33323.334764128245</v>
      </c>
      <c r="AG24" s="174">
        <f t="shared" si="4"/>
        <v>33318.932525097181</v>
      </c>
      <c r="AH24" s="174">
        <f t="shared" si="4"/>
        <v>33322.573819756981</v>
      </c>
    </row>
    <row r="25" spans="1:34">
      <c r="A25" s="10" t="s">
        <v>346</v>
      </c>
      <c r="B25" s="37"/>
      <c r="C25" s="332">
        <f t="shared" ref="C25:AH25" si="5">C24/C4-1</f>
        <v>-3.1915205106436417E-4</v>
      </c>
      <c r="D25" s="332">
        <f t="shared" si="5"/>
        <v>-3.429098348843862E-4</v>
      </c>
      <c r="E25" s="332">
        <f t="shared" si="5"/>
        <v>9.3425623406417913E-6</v>
      </c>
      <c r="F25" s="332">
        <f t="shared" si="5"/>
        <v>9.7491905077795593E-6</v>
      </c>
      <c r="G25" s="332">
        <f t="shared" si="5"/>
        <v>9.5161281929989627E-6</v>
      </c>
      <c r="H25" s="82">
        <f t="shared" si="5"/>
        <v>9.5190116533583335E-6</v>
      </c>
      <c r="I25" s="82">
        <f t="shared" si="5"/>
        <v>9.0137803059331389E-6</v>
      </c>
      <c r="J25" s="82">
        <f t="shared" si="5"/>
        <v>9.2626716858834612E-6</v>
      </c>
      <c r="K25" s="82">
        <f t="shared" si="5"/>
        <v>9.3683231232599695E-6</v>
      </c>
      <c r="L25" s="82">
        <f t="shared" si="5"/>
        <v>9.220589417102687E-6</v>
      </c>
      <c r="M25" s="82">
        <f t="shared" si="5"/>
        <v>9.1579192502688755E-6</v>
      </c>
      <c r="N25" s="199">
        <f t="shared" si="5"/>
        <v>9.1155063761672039E-6</v>
      </c>
      <c r="O25" s="82">
        <f t="shared" si="5"/>
        <v>9.0981743174900487E-6</v>
      </c>
      <c r="P25" s="82">
        <f t="shared" si="5"/>
        <v>9.0800892194042859E-6</v>
      </c>
      <c r="Q25" s="82">
        <f t="shared" si="5"/>
        <v>9.0420504312849204E-6</v>
      </c>
      <c r="R25" s="82">
        <f t="shared" si="5"/>
        <v>9.0121472651194523E-6</v>
      </c>
      <c r="S25" s="82">
        <f t="shared" si="5"/>
        <v>8.9951594153259151E-6</v>
      </c>
      <c r="T25" s="82">
        <f t="shared" si="5"/>
        <v>8.9920810395494044E-6</v>
      </c>
      <c r="U25" s="82">
        <f t="shared" si="5"/>
        <v>8.9752292684597279E-6</v>
      </c>
      <c r="V25" s="82">
        <f t="shared" si="5"/>
        <v>8.9874808901768688E-6</v>
      </c>
      <c r="W25" s="82">
        <f t="shared" si="5"/>
        <v>8.9835272159000112E-6</v>
      </c>
      <c r="X25" s="185">
        <f t="shared" si="5"/>
        <v>8.9788501478338389E-6</v>
      </c>
      <c r="Y25" s="172">
        <f t="shared" si="5"/>
        <v>8.979951312104717E-6</v>
      </c>
      <c r="Z25" s="172">
        <f t="shared" si="5"/>
        <v>8.9819880928487805E-6</v>
      </c>
      <c r="AA25" s="172">
        <f t="shared" si="5"/>
        <v>8.9844206669908999E-6</v>
      </c>
      <c r="AB25" s="172">
        <f t="shared" si="5"/>
        <v>8.988949071087049E-6</v>
      </c>
      <c r="AC25" s="172">
        <f t="shared" si="5"/>
        <v>8.9911213614346508E-6</v>
      </c>
      <c r="AD25" s="172">
        <f t="shared" si="5"/>
        <v>8.9967811374158657E-6</v>
      </c>
      <c r="AE25" s="172">
        <f t="shared" si="5"/>
        <v>8.9991935074973384E-6</v>
      </c>
      <c r="AF25" s="172">
        <f t="shared" si="5"/>
        <v>9.0027814731996614E-6</v>
      </c>
      <c r="AG25" s="172">
        <f t="shared" si="5"/>
        <v>9.0039709697009584E-6</v>
      </c>
      <c r="AH25" s="172">
        <f t="shared" si="5"/>
        <v>3.0009776745831829E-6</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0</v>
      </c>
      <c r="D28" s="332">
        <f t="shared" si="6"/>
        <v>0</v>
      </c>
      <c r="E28" s="332">
        <f t="shared" si="6"/>
        <v>5.4193753656968868E-4</v>
      </c>
      <c r="F28" s="332">
        <f t="shared" si="6"/>
        <v>5.1296089235241627E-4</v>
      </c>
      <c r="G28" s="332">
        <f t="shared" si="6"/>
        <v>5.1113430637559764E-4</v>
      </c>
      <c r="H28" s="164">
        <f t="shared" si="6"/>
        <v>5.7306343754031416E-4</v>
      </c>
      <c r="I28" s="164">
        <f t="shared" si="6"/>
        <v>4.8390838776210093E-4</v>
      </c>
      <c r="J28" s="164">
        <f t="shared" si="6"/>
        <v>4.6486996103664889E-4</v>
      </c>
      <c r="K28" s="164">
        <f t="shared" si="6"/>
        <v>4.7762889661283819E-4</v>
      </c>
      <c r="L28" s="164">
        <f t="shared" ref="L28:L34" si="7">L10/L$18</f>
        <v>5.0947749392453272E-4</v>
      </c>
      <c r="M28" s="164">
        <f t="shared" ref="M28:AH28" si="8">M10/M$18</f>
        <v>5.3020994577090736E-4</v>
      </c>
      <c r="N28" s="185">
        <f t="shared" si="8"/>
        <v>5.6278004230619276E-4</v>
      </c>
      <c r="O28" s="164">
        <f t="shared" si="8"/>
        <v>5.8409212766506356E-4</v>
      </c>
      <c r="P28" s="164">
        <f t="shared" si="8"/>
        <v>6.129062148997476E-4</v>
      </c>
      <c r="Q28" s="164">
        <f t="shared" si="8"/>
        <v>6.2961431306593051E-4</v>
      </c>
      <c r="R28" s="164">
        <f t="shared" si="8"/>
        <v>6.6475307065329823E-4</v>
      </c>
      <c r="S28" s="164">
        <f t="shared" si="8"/>
        <v>6.8213323642383051E-4</v>
      </c>
      <c r="T28" s="164">
        <f t="shared" si="8"/>
        <v>6.9876898792287459E-4</v>
      </c>
      <c r="U28" s="164">
        <f t="shared" si="8"/>
        <v>7.1536057568214774E-4</v>
      </c>
      <c r="V28" s="164">
        <f t="shared" si="8"/>
        <v>7.2853676192803716E-4</v>
      </c>
      <c r="W28" s="164">
        <f t="shared" si="8"/>
        <v>7.43373672113134E-4</v>
      </c>
      <c r="X28" s="185">
        <f t="shared" si="8"/>
        <v>7.6147366142923553E-4</v>
      </c>
      <c r="Y28" s="172">
        <f t="shared" si="8"/>
        <v>7.753640801305546E-4</v>
      </c>
      <c r="Z28" s="172">
        <f t="shared" si="8"/>
        <v>7.8852046832492324E-4</v>
      </c>
      <c r="AA28" s="172">
        <f t="shared" si="8"/>
        <v>8.0566275587800446E-4</v>
      </c>
      <c r="AB28" s="172">
        <f t="shared" si="8"/>
        <v>8.2306216865168653E-4</v>
      </c>
      <c r="AC28" s="172">
        <f t="shared" si="8"/>
        <v>8.3885306634881758E-4</v>
      </c>
      <c r="AD28" s="172">
        <f t="shared" si="8"/>
        <v>8.5640838300754172E-4</v>
      </c>
      <c r="AE28" s="172">
        <f t="shared" si="8"/>
        <v>8.7019546879790787E-4</v>
      </c>
      <c r="AF28" s="172">
        <f t="shared" si="8"/>
        <v>8.8489313774568637E-4</v>
      </c>
      <c r="AG28" s="172">
        <f t="shared" si="8"/>
        <v>9.0093818970098561E-4</v>
      </c>
      <c r="AH28" s="172">
        <f t="shared" si="8"/>
        <v>9.1328183528229E-4</v>
      </c>
    </row>
    <row r="29" spans="1:34">
      <c r="A29" s="9" t="s">
        <v>50</v>
      </c>
      <c r="B29" s="37"/>
      <c r="C29" s="332">
        <f t="shared" ref="C29:K29" si="9">C11/C$18</f>
        <v>0</v>
      </c>
      <c r="D29" s="332">
        <f t="shared" si="9"/>
        <v>0</v>
      </c>
      <c r="E29" s="332">
        <f t="shared" si="9"/>
        <v>2.3067247780146717E-11</v>
      </c>
      <c r="F29" s="332">
        <f t="shared" si="9"/>
        <v>1.9703483839699605E-11</v>
      </c>
      <c r="G29" s="332">
        <f t="shared" si="9"/>
        <v>1.8601129762670378E-11</v>
      </c>
      <c r="H29" s="164">
        <f t="shared" si="9"/>
        <v>1.8388653228080829E-11</v>
      </c>
      <c r="I29" s="164">
        <f t="shared" si="9"/>
        <v>1.5322342677576539E-11</v>
      </c>
      <c r="J29" s="164">
        <f t="shared" si="9"/>
        <v>1.3855563806077793E-11</v>
      </c>
      <c r="K29" s="164">
        <f t="shared" si="9"/>
        <v>1.3848096976416119E-11</v>
      </c>
      <c r="L29" s="164">
        <f t="shared" si="7"/>
        <v>1.384752250014766E-11</v>
      </c>
      <c r="M29" s="164">
        <f t="shared" ref="M29:AH29" si="10">M11/M$18</f>
        <v>1.3847235260712208E-11</v>
      </c>
      <c r="N29" s="185">
        <f t="shared" si="10"/>
        <v>1.3846336195606189E-11</v>
      </c>
      <c r="O29" s="164">
        <f t="shared" si="10"/>
        <v>1.3847897435154256E-11</v>
      </c>
      <c r="P29" s="164">
        <f t="shared" si="10"/>
        <v>1.3847326580310916E-11</v>
      </c>
      <c r="Q29" s="164">
        <f t="shared" si="10"/>
        <v>1.3847629242684974E-11</v>
      </c>
      <c r="R29" s="164">
        <f t="shared" si="10"/>
        <v>1.3847222166395416E-11</v>
      </c>
      <c r="S29" s="164">
        <f t="shared" si="10"/>
        <v>1.384745473657583E-11</v>
      </c>
      <c r="T29" s="164">
        <f t="shared" si="10"/>
        <v>1.3847459695284395E-11</v>
      </c>
      <c r="U29" s="164">
        <f t="shared" si="10"/>
        <v>1.3849622747974431E-11</v>
      </c>
      <c r="V29" s="164">
        <f t="shared" si="10"/>
        <v>1.3849987432565033E-11</v>
      </c>
      <c r="W29" s="164">
        <f t="shared" si="10"/>
        <v>1.3850219165274591E-11</v>
      </c>
      <c r="X29" s="185">
        <f t="shared" si="10"/>
        <v>1.3850994549071971E-11</v>
      </c>
      <c r="Y29" s="172">
        <f t="shared" si="10"/>
        <v>1.3850412193545967E-11</v>
      </c>
      <c r="Z29" s="172">
        <f t="shared" si="10"/>
        <v>1.3849434617434857E-11</v>
      </c>
      <c r="AA29" s="172">
        <f t="shared" si="10"/>
        <v>1.3843235777475369E-11</v>
      </c>
      <c r="AB29" s="172">
        <f t="shared" si="10"/>
        <v>1.383009538603193E-11</v>
      </c>
      <c r="AC29" s="172">
        <f t="shared" si="10"/>
        <v>1.3816864441363532E-11</v>
      </c>
      <c r="AD29" s="172">
        <f t="shared" si="10"/>
        <v>1.3817756530859678E-11</v>
      </c>
      <c r="AE29" s="172">
        <f t="shared" si="10"/>
        <v>1.3795248854742786E-11</v>
      </c>
      <c r="AF29" s="172">
        <f t="shared" si="10"/>
        <v>1.3779857826793931E-11</v>
      </c>
      <c r="AG29" s="172">
        <f t="shared" si="10"/>
        <v>1.3756142435175048E-11</v>
      </c>
      <c r="AH29" s="172">
        <f t="shared" si="10"/>
        <v>1.3718471114590343E-11</v>
      </c>
    </row>
    <row r="30" spans="1:34">
      <c r="A30" s="9" t="s">
        <v>51</v>
      </c>
      <c r="B30" s="37"/>
      <c r="C30" s="332">
        <f t="shared" ref="C30:K30" si="11">C12/C$18</f>
        <v>3.3354346571673486E-5</v>
      </c>
      <c r="D30" s="332">
        <f t="shared" si="11"/>
        <v>2.4413406866514819E-5</v>
      </c>
      <c r="E30" s="332">
        <f t="shared" si="11"/>
        <v>2.3067247780146716E-5</v>
      </c>
      <c r="F30" s="332">
        <f t="shared" si="11"/>
        <v>1.9703483839699602E-5</v>
      </c>
      <c r="G30" s="332">
        <f t="shared" si="11"/>
        <v>1.8601129762670376E-5</v>
      </c>
      <c r="H30" s="164">
        <f t="shared" si="11"/>
        <v>1.838865322808083E-5</v>
      </c>
      <c r="I30" s="164">
        <f t="shared" si="11"/>
        <v>1.5322342677576541E-5</v>
      </c>
      <c r="J30" s="164">
        <f t="shared" si="11"/>
        <v>1.3855563806077793E-5</v>
      </c>
      <c r="K30" s="164">
        <f t="shared" si="11"/>
        <v>1.3848096976416118E-5</v>
      </c>
      <c r="L30" s="164">
        <f t="shared" si="7"/>
        <v>1.3847522500147661E-5</v>
      </c>
      <c r="M30" s="164">
        <f t="shared" ref="M30:AH30" si="12">M12/M$18</f>
        <v>1.3847235260712207E-5</v>
      </c>
      <c r="N30" s="185">
        <f t="shared" si="12"/>
        <v>1.3846336195606188E-5</v>
      </c>
      <c r="O30" s="164">
        <f t="shared" si="12"/>
        <v>1.3847897435154256E-5</v>
      </c>
      <c r="P30" s="164">
        <f t="shared" si="12"/>
        <v>1.3847326580310917E-5</v>
      </c>
      <c r="Q30" s="164">
        <f t="shared" si="12"/>
        <v>1.3847629242684974E-5</v>
      </c>
      <c r="R30" s="164">
        <f t="shared" si="12"/>
        <v>1.3847222166395416E-5</v>
      </c>
      <c r="S30" s="164">
        <f t="shared" si="12"/>
        <v>1.3847454736575829E-5</v>
      </c>
      <c r="T30" s="164">
        <f t="shared" si="12"/>
        <v>1.3847459695284395E-5</v>
      </c>
      <c r="U30" s="164">
        <f t="shared" si="12"/>
        <v>1.3849622747974432E-5</v>
      </c>
      <c r="V30" s="164">
        <f t="shared" si="12"/>
        <v>1.3849987432565032E-5</v>
      </c>
      <c r="W30" s="164">
        <f t="shared" si="12"/>
        <v>1.3850219165274592E-5</v>
      </c>
      <c r="X30" s="185">
        <f t="shared" si="12"/>
        <v>1.3850994549071971E-5</v>
      </c>
      <c r="Y30" s="172">
        <f t="shared" si="12"/>
        <v>1.3850412193545966E-5</v>
      </c>
      <c r="Z30" s="172">
        <f t="shared" si="12"/>
        <v>1.3849434617434856E-5</v>
      </c>
      <c r="AA30" s="172">
        <f t="shared" si="12"/>
        <v>1.3843235777475368E-5</v>
      </c>
      <c r="AB30" s="172">
        <f t="shared" si="12"/>
        <v>1.383009538603193E-5</v>
      </c>
      <c r="AC30" s="172">
        <f t="shared" si="12"/>
        <v>1.3816864441363532E-5</v>
      </c>
      <c r="AD30" s="172">
        <f t="shared" si="12"/>
        <v>1.3817756530859678E-5</v>
      </c>
      <c r="AE30" s="172">
        <f t="shared" si="12"/>
        <v>1.3795248854742786E-5</v>
      </c>
      <c r="AF30" s="172">
        <f t="shared" si="12"/>
        <v>1.3779857826793931E-5</v>
      </c>
      <c r="AG30" s="172">
        <f t="shared" si="12"/>
        <v>1.3756142435175049E-5</v>
      </c>
      <c r="AH30" s="172">
        <f t="shared" si="12"/>
        <v>1.3718471114590342E-5</v>
      </c>
    </row>
    <row r="31" spans="1:34">
      <c r="A31" s="9" t="s">
        <v>347</v>
      </c>
      <c r="B31" s="37"/>
      <c r="C31" s="332">
        <f t="shared" ref="C31:K31" si="13">C13/C$18</f>
        <v>0</v>
      </c>
      <c r="D31" s="332">
        <f t="shared" si="13"/>
        <v>0</v>
      </c>
      <c r="E31" s="332">
        <f t="shared" si="13"/>
        <v>4.6134495560293433E-5</v>
      </c>
      <c r="F31" s="332">
        <f t="shared" si="13"/>
        <v>3.9406967679399205E-5</v>
      </c>
      <c r="G31" s="332">
        <f t="shared" si="13"/>
        <v>3.7202259525340753E-5</v>
      </c>
      <c r="H31" s="164">
        <f t="shared" si="13"/>
        <v>3.677730645616166E-5</v>
      </c>
      <c r="I31" s="164">
        <f t="shared" si="13"/>
        <v>3.0644685355153082E-5</v>
      </c>
      <c r="J31" s="164">
        <f t="shared" si="13"/>
        <v>2.7711127612155587E-5</v>
      </c>
      <c r="K31" s="164">
        <f t="shared" si="13"/>
        <v>2.7696193952832236E-5</v>
      </c>
      <c r="L31" s="164">
        <f t="shared" si="7"/>
        <v>2.7695045000295321E-5</v>
      </c>
      <c r="M31" s="164">
        <f t="shared" ref="M31:AH31" si="14">M13/M$18</f>
        <v>2.7694470521424414E-5</v>
      </c>
      <c r="N31" s="185">
        <f t="shared" si="14"/>
        <v>2.7692672391212375E-5</v>
      </c>
      <c r="O31" s="164">
        <f t="shared" si="14"/>
        <v>2.7695794870308512E-5</v>
      </c>
      <c r="P31" s="164">
        <f t="shared" si="14"/>
        <v>2.7694653160621834E-5</v>
      </c>
      <c r="Q31" s="164">
        <f t="shared" si="14"/>
        <v>2.7695258485369947E-5</v>
      </c>
      <c r="R31" s="164">
        <f t="shared" si="14"/>
        <v>2.7694444332790833E-5</v>
      </c>
      <c r="S31" s="164">
        <f t="shared" si="14"/>
        <v>2.7694909473151658E-5</v>
      </c>
      <c r="T31" s="164">
        <f t="shared" si="14"/>
        <v>2.7694919390568789E-5</v>
      </c>
      <c r="U31" s="164">
        <f t="shared" si="14"/>
        <v>2.7699245495948863E-5</v>
      </c>
      <c r="V31" s="164">
        <f t="shared" si="14"/>
        <v>2.7699974865130065E-5</v>
      </c>
      <c r="W31" s="164">
        <f t="shared" si="14"/>
        <v>2.7700438330549184E-5</v>
      </c>
      <c r="X31" s="185">
        <f t="shared" si="14"/>
        <v>2.7701989098143942E-5</v>
      </c>
      <c r="Y31" s="172">
        <f t="shared" si="14"/>
        <v>2.7700824387091932E-5</v>
      </c>
      <c r="Z31" s="172">
        <f t="shared" si="14"/>
        <v>2.7698869234869712E-5</v>
      </c>
      <c r="AA31" s="172">
        <f t="shared" si="14"/>
        <v>2.7686471554950736E-5</v>
      </c>
      <c r="AB31" s="172">
        <f t="shared" si="14"/>
        <v>2.7660190772063859E-5</v>
      </c>
      <c r="AC31" s="172">
        <f t="shared" si="14"/>
        <v>2.7633728882727064E-5</v>
      </c>
      <c r="AD31" s="172">
        <f t="shared" si="14"/>
        <v>2.7635513061719356E-5</v>
      </c>
      <c r="AE31" s="172">
        <f t="shared" si="14"/>
        <v>2.7590497709485572E-5</v>
      </c>
      <c r="AF31" s="172">
        <f t="shared" si="14"/>
        <v>2.7559715653587862E-5</v>
      </c>
      <c r="AG31" s="172">
        <f t="shared" si="14"/>
        <v>2.7512284870350098E-5</v>
      </c>
      <c r="AH31" s="172">
        <f t="shared" si="14"/>
        <v>0</v>
      </c>
    </row>
    <row r="32" spans="1:34">
      <c r="A32" s="9" t="s">
        <v>348</v>
      </c>
      <c r="B32" s="37"/>
      <c r="C32" s="332">
        <f t="shared" ref="C32:K32" si="15">C14/C$18</f>
        <v>0</v>
      </c>
      <c r="D32" s="332">
        <f t="shared" si="15"/>
        <v>0</v>
      </c>
      <c r="E32" s="332">
        <f t="shared" si="15"/>
        <v>2.3067247780146716E-5</v>
      </c>
      <c r="F32" s="332">
        <f t="shared" si="15"/>
        <v>1.9703483839699602E-5</v>
      </c>
      <c r="G32" s="332">
        <f t="shared" si="15"/>
        <v>1.8601129762670376E-5</v>
      </c>
      <c r="H32" s="164">
        <f t="shared" si="15"/>
        <v>1.838865322808083E-5</v>
      </c>
      <c r="I32" s="164">
        <f t="shared" si="15"/>
        <v>1.5322342677576541E-5</v>
      </c>
      <c r="J32" s="164">
        <f t="shared" si="15"/>
        <v>1.3855563806077793E-5</v>
      </c>
      <c r="K32" s="164">
        <f t="shared" si="15"/>
        <v>1.3848096976416118E-5</v>
      </c>
      <c r="L32" s="164">
        <f t="shared" si="7"/>
        <v>1.3847522500147661E-5</v>
      </c>
      <c r="M32" s="164">
        <f t="shared" ref="M32:AH32" si="16">M14/M$18</f>
        <v>1.3847235260712207E-5</v>
      </c>
      <c r="N32" s="185">
        <f t="shared" si="16"/>
        <v>1.3846336195606188E-5</v>
      </c>
      <c r="O32" s="164">
        <f t="shared" si="16"/>
        <v>1.3847897435154256E-5</v>
      </c>
      <c r="P32" s="164">
        <f t="shared" si="16"/>
        <v>1.3847326580310917E-5</v>
      </c>
      <c r="Q32" s="164">
        <f t="shared" si="16"/>
        <v>1.3847629242684974E-5</v>
      </c>
      <c r="R32" s="164">
        <f t="shared" si="16"/>
        <v>1.3847222166395416E-5</v>
      </c>
      <c r="S32" s="164">
        <f t="shared" si="16"/>
        <v>1.3847454736575829E-5</v>
      </c>
      <c r="T32" s="164">
        <f t="shared" si="16"/>
        <v>1.3847459695284395E-5</v>
      </c>
      <c r="U32" s="164">
        <f t="shared" si="16"/>
        <v>1.3849622747974432E-5</v>
      </c>
      <c r="V32" s="164">
        <f t="shared" si="16"/>
        <v>1.3849987432565032E-5</v>
      </c>
      <c r="W32" s="164">
        <f t="shared" si="16"/>
        <v>1.3850219165274592E-5</v>
      </c>
      <c r="X32" s="185">
        <f t="shared" si="16"/>
        <v>1.3850994549071971E-5</v>
      </c>
      <c r="Y32" s="172">
        <f t="shared" si="16"/>
        <v>1.3850412193545966E-5</v>
      </c>
      <c r="Z32" s="172">
        <f t="shared" si="16"/>
        <v>1.3849434617434856E-5</v>
      </c>
      <c r="AA32" s="172">
        <f t="shared" si="16"/>
        <v>1.3843235777475368E-5</v>
      </c>
      <c r="AB32" s="172">
        <f t="shared" si="16"/>
        <v>1.383009538603193E-5</v>
      </c>
      <c r="AC32" s="172">
        <f t="shared" si="16"/>
        <v>1.3816864441363532E-5</v>
      </c>
      <c r="AD32" s="172">
        <f t="shared" si="16"/>
        <v>1.3817756530859678E-5</v>
      </c>
      <c r="AE32" s="172">
        <f t="shared" si="16"/>
        <v>1.3795248854742786E-5</v>
      </c>
      <c r="AF32" s="172">
        <f t="shared" si="16"/>
        <v>1.3779857826793931E-5</v>
      </c>
      <c r="AG32" s="172">
        <f t="shared" si="16"/>
        <v>1.3756142435175049E-5</v>
      </c>
      <c r="AH32" s="172">
        <f t="shared" si="16"/>
        <v>1.3718471114590342E-5</v>
      </c>
    </row>
    <row r="33" spans="1:36">
      <c r="A33" s="9" t="s">
        <v>344</v>
      </c>
      <c r="B33" s="37"/>
      <c r="C33" s="332">
        <f t="shared" ref="C33:K33" si="17">C15/C$18</f>
        <v>3.3354346571673488E-6</v>
      </c>
      <c r="D33" s="332">
        <f t="shared" si="17"/>
        <v>2.4413406866514816E-6</v>
      </c>
      <c r="E33" s="332">
        <f t="shared" si="17"/>
        <v>2.3067247780146716E-6</v>
      </c>
      <c r="F33" s="332">
        <f t="shared" si="17"/>
        <v>1.9703483839699602E-6</v>
      </c>
      <c r="G33" s="332">
        <f t="shared" si="17"/>
        <v>1.8601129762670376E-6</v>
      </c>
      <c r="H33" s="164">
        <f t="shared" si="17"/>
        <v>1.8388653228080829E-6</v>
      </c>
      <c r="I33" s="164">
        <f t="shared" si="17"/>
        <v>1.5322342677576541E-6</v>
      </c>
      <c r="J33" s="164">
        <f t="shared" si="17"/>
        <v>1.3855563806077793E-6</v>
      </c>
      <c r="K33" s="164">
        <f t="shared" si="17"/>
        <v>1.3848096976416118E-6</v>
      </c>
      <c r="L33" s="164">
        <f t="shared" si="7"/>
        <v>1.384752250014766E-6</v>
      </c>
      <c r="M33" s="164">
        <f t="shared" ref="M33:AH33" si="18">M15/M$18</f>
        <v>1.3847235260712207E-6</v>
      </c>
      <c r="N33" s="185">
        <f t="shared" si="18"/>
        <v>1.3846336195606186E-6</v>
      </c>
      <c r="O33" s="164">
        <f t="shared" si="18"/>
        <v>1.3847897435154255E-6</v>
      </c>
      <c r="P33" s="164">
        <f t="shared" si="18"/>
        <v>1.3847326580310916E-6</v>
      </c>
      <c r="Q33" s="164">
        <f t="shared" si="18"/>
        <v>1.3847629242684972E-6</v>
      </c>
      <c r="R33" s="164">
        <f t="shared" si="18"/>
        <v>1.3847222166395416E-6</v>
      </c>
      <c r="S33" s="164">
        <f t="shared" si="18"/>
        <v>1.384745473657583E-6</v>
      </c>
      <c r="T33" s="164">
        <f t="shared" si="18"/>
        <v>1.3847459695284393E-6</v>
      </c>
      <c r="U33" s="164">
        <f t="shared" si="18"/>
        <v>1.384962274797443E-6</v>
      </c>
      <c r="V33" s="164">
        <f t="shared" si="18"/>
        <v>1.3849987432565032E-6</v>
      </c>
      <c r="W33" s="164">
        <f t="shared" si="18"/>
        <v>1.385021916527459E-6</v>
      </c>
      <c r="X33" s="185">
        <f t="shared" si="18"/>
        <v>1.3850994549071971E-6</v>
      </c>
      <c r="Y33" s="172">
        <f t="shared" si="18"/>
        <v>1.3850412193545966E-6</v>
      </c>
      <c r="Z33" s="172">
        <f t="shared" si="18"/>
        <v>1.3849434617434856E-6</v>
      </c>
      <c r="AA33" s="172">
        <f t="shared" si="18"/>
        <v>1.3843235777475368E-6</v>
      </c>
      <c r="AB33" s="172">
        <f t="shared" si="18"/>
        <v>1.3830095386031929E-6</v>
      </c>
      <c r="AC33" s="172">
        <f t="shared" si="18"/>
        <v>1.381686444136353E-6</v>
      </c>
      <c r="AD33" s="172">
        <f t="shared" si="18"/>
        <v>1.3817756530859676E-6</v>
      </c>
      <c r="AE33" s="172">
        <f t="shared" si="18"/>
        <v>1.3795248854742786E-6</v>
      </c>
      <c r="AF33" s="172">
        <f t="shared" si="18"/>
        <v>1.3779857826793929E-6</v>
      </c>
      <c r="AG33" s="172">
        <f t="shared" si="18"/>
        <v>1.3756142435175048E-6</v>
      </c>
      <c r="AH33" s="172">
        <f t="shared" si="18"/>
        <v>1.3718471114590343E-6</v>
      </c>
    </row>
    <row r="34" spans="1:36">
      <c r="A34" s="9" t="s">
        <v>53</v>
      </c>
      <c r="B34" s="37"/>
      <c r="C34" s="332">
        <f t="shared" ref="C34:K34" si="19">C16/C$18</f>
        <v>0.99996331021877116</v>
      </c>
      <c r="D34" s="332">
        <f t="shared" si="19"/>
        <v>0.99997314525244696</v>
      </c>
      <c r="E34" s="332">
        <f t="shared" si="19"/>
        <v>0.99936348672446451</v>
      </c>
      <c r="F34" s="332">
        <f t="shared" si="19"/>
        <v>0.99940625480420131</v>
      </c>
      <c r="G34" s="332">
        <f t="shared" si="19"/>
        <v>0.99941260104299634</v>
      </c>
      <c r="H34" s="164">
        <f t="shared" si="19"/>
        <v>0.99935154306583585</v>
      </c>
      <c r="I34" s="164">
        <f t="shared" si="19"/>
        <v>0.99945326999193751</v>
      </c>
      <c r="J34" s="164">
        <f t="shared" si="19"/>
        <v>0.99947832221350297</v>
      </c>
      <c r="K34" s="164">
        <f t="shared" si="19"/>
        <v>0.99946559389193579</v>
      </c>
      <c r="L34" s="164">
        <f t="shared" si="7"/>
        <v>0.99943374764997739</v>
      </c>
      <c r="M34" s="164">
        <f t="shared" ref="M34:AH34" si="20">M16/M$18</f>
        <v>0.99941301637581303</v>
      </c>
      <c r="N34" s="185">
        <f t="shared" si="20"/>
        <v>0.99938044996544551</v>
      </c>
      <c r="O34" s="164">
        <f t="shared" si="20"/>
        <v>0.9993591314790029</v>
      </c>
      <c r="P34" s="164">
        <f t="shared" si="20"/>
        <v>0.9993303197322736</v>
      </c>
      <c r="Q34" s="164">
        <f t="shared" si="20"/>
        <v>0.99931361039319144</v>
      </c>
      <c r="R34" s="164">
        <f t="shared" si="20"/>
        <v>0.99927847330461728</v>
      </c>
      <c r="S34" s="164">
        <f t="shared" si="20"/>
        <v>0.99926109218530879</v>
      </c>
      <c r="T34" s="164">
        <f t="shared" si="20"/>
        <v>0.99924445641347892</v>
      </c>
      <c r="U34" s="164">
        <f t="shared" si="20"/>
        <v>0.99922785595720154</v>
      </c>
      <c r="V34" s="164">
        <f t="shared" si="20"/>
        <v>0.9992146782757485</v>
      </c>
      <c r="W34" s="164">
        <f t="shared" si="20"/>
        <v>0.99919984041545906</v>
      </c>
      <c r="X34" s="185">
        <f t="shared" si="20"/>
        <v>0.9991817372470686</v>
      </c>
      <c r="Y34" s="172">
        <f t="shared" si="20"/>
        <v>0.99916784921602553</v>
      </c>
      <c r="Z34" s="172">
        <f t="shared" si="20"/>
        <v>0.9991546968358942</v>
      </c>
      <c r="AA34" s="172">
        <f t="shared" si="20"/>
        <v>0.99913757996359109</v>
      </c>
      <c r="AB34" s="172">
        <f t="shared" si="20"/>
        <v>0.99912023442643549</v>
      </c>
      <c r="AC34" s="172">
        <f t="shared" si="20"/>
        <v>0.99910449777562471</v>
      </c>
      <c r="AD34" s="172">
        <f t="shared" si="20"/>
        <v>0.99908693880139809</v>
      </c>
      <c r="AE34" s="172">
        <f t="shared" si="20"/>
        <v>0.9990732439971024</v>
      </c>
      <c r="AF34" s="172">
        <f t="shared" si="20"/>
        <v>0.99905860943138458</v>
      </c>
      <c r="AG34" s="172">
        <f t="shared" si="20"/>
        <v>0.99904266161255872</v>
      </c>
      <c r="AH34" s="172">
        <f t="shared" si="20"/>
        <v>0.99905790936165861</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377</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221.24850000000001</v>
      </c>
      <c r="D42" s="331">
        <f>D7*Inputs!$C$48</f>
        <v>306.29849999999993</v>
      </c>
      <c r="E42" s="331">
        <f>E7*Inputs!$C$48</f>
        <v>366.33303777944218</v>
      </c>
      <c r="F42" s="331">
        <f>F7*Inputs!$C$48</f>
        <v>317.73670093689606</v>
      </c>
      <c r="G42" s="331">
        <f>G7*Inputs!$C$48</f>
        <v>265.73871634335649</v>
      </c>
      <c r="H42" s="14">
        <f>H7*Inputs!$C$48</f>
        <v>271.4925971256294</v>
      </c>
      <c r="I42" s="14">
        <f>I7*Inputs!$C$48</f>
        <v>277.08408633042239</v>
      </c>
      <c r="J42" s="14">
        <f>J7*Inputs!$C$48</f>
        <v>282.71108103218296</v>
      </c>
      <c r="K42" s="14">
        <f>K7*Inputs!$C$48</f>
        <v>288.38571944233115</v>
      </c>
      <c r="L42" s="14">
        <f>L7*Inputs!$C$48</f>
        <v>288.3858668700002</v>
      </c>
      <c r="M42" s="14">
        <f>M7*Inputs!$C$48</f>
        <v>288.3858668700002</v>
      </c>
      <c r="N42" s="190">
        <f>N7*Inputs!$C$48</f>
        <v>288.3858668700002</v>
      </c>
      <c r="O42" s="14">
        <f>O7*Inputs!$C$48</f>
        <v>288.3858668700002</v>
      </c>
      <c r="P42" s="14">
        <f>P7*Inputs!$C$48</f>
        <v>288.3858668700002</v>
      </c>
      <c r="Q42" s="14">
        <f>Q7*Inputs!$C$48</f>
        <v>288.3858668700002</v>
      </c>
      <c r="R42" s="14">
        <f>R7*Inputs!$C$48</f>
        <v>288.3858668700002</v>
      </c>
      <c r="S42" s="14">
        <f>S7*Inputs!$C$48</f>
        <v>288.3858668700002</v>
      </c>
      <c r="T42" s="14">
        <f>T7*Inputs!$C$48</f>
        <v>288.3858668700002</v>
      </c>
      <c r="U42" s="14">
        <f>U7*Inputs!$C$48</f>
        <v>303.21087384499714</v>
      </c>
      <c r="V42" s="14">
        <f>V7*Inputs!$C$48</f>
        <v>303.21087384499714</v>
      </c>
      <c r="W42" s="14">
        <f>W7*Inputs!$C$48</f>
        <v>303.21087384499714</v>
      </c>
      <c r="X42" s="187">
        <f>X7*Inputs!$C$48</f>
        <v>304.82813080340969</v>
      </c>
      <c r="Y42" s="14">
        <f>Y7*Inputs!$C$48</f>
        <v>304.82813080340969</v>
      </c>
      <c r="Z42" s="14">
        <f>Z7*Inputs!$C$48</f>
        <v>306.6022016591557</v>
      </c>
      <c r="AA42" s="14">
        <f>AA7*Inputs!$C$48</f>
        <v>306.6022016591557</v>
      </c>
      <c r="AB42" s="14">
        <f>AB7*Inputs!$C$48</f>
        <v>306.6022016591557</v>
      </c>
      <c r="AC42" s="14">
        <f>AC7*Inputs!$C$48</f>
        <v>306.6022016591557</v>
      </c>
      <c r="AD42" s="14">
        <f>AD7*Inputs!$C$48</f>
        <v>306.6022016591557</v>
      </c>
      <c r="AE42" s="14">
        <f>AE7*Inputs!$C$48</f>
        <v>306.6022016591557</v>
      </c>
      <c r="AF42" s="14">
        <f>AF7*Inputs!$C$48</f>
        <v>306.6022016591557</v>
      </c>
      <c r="AG42" s="14">
        <f>AG7*Inputs!$C$48</f>
        <v>306.6022016591557</v>
      </c>
      <c r="AH42" s="14">
        <f>AH7*Inputs!$C$48</f>
        <v>306.6022016591557</v>
      </c>
    </row>
    <row r="43" spans="1:36" ht="15">
      <c r="A43" s="8" t="s">
        <v>59</v>
      </c>
      <c r="B43" s="34">
        <v>0</v>
      </c>
      <c r="C43" s="331">
        <f>C8*Inputs!$C$53</f>
        <v>0</v>
      </c>
      <c r="D43" s="331">
        <f>D8*Inputs!$C$53</f>
        <v>0</v>
      </c>
      <c r="E43" s="331">
        <f>E8*Inputs!$C$53</f>
        <v>0</v>
      </c>
      <c r="F43" s="331">
        <f>F8*Inputs!$C$53</f>
        <v>0</v>
      </c>
      <c r="G43" s="331">
        <f>G8*Inputs!$C$53</f>
        <v>0</v>
      </c>
      <c r="H43" s="14">
        <f>H8*Inputs!$C$53</f>
        <v>0</v>
      </c>
      <c r="I43" s="14">
        <f>I8*Inputs!$C$53</f>
        <v>0</v>
      </c>
      <c r="J43" s="14">
        <f>J8*Inputs!$C$53</f>
        <v>0</v>
      </c>
      <c r="K43" s="14">
        <f>K8*Inputs!$C$53</f>
        <v>0</v>
      </c>
      <c r="L43" s="14">
        <f>L8*Inputs!$C$53</f>
        <v>0</v>
      </c>
      <c r="M43" s="14">
        <f>M8*Inputs!$C$53</f>
        <v>0</v>
      </c>
      <c r="N43" s="190">
        <f>N8*Inputs!$C$53</f>
        <v>0</v>
      </c>
      <c r="O43" s="14">
        <f>O8*Inputs!$C$53</f>
        <v>0</v>
      </c>
      <c r="P43" s="14">
        <f>P8*Inputs!$C$53</f>
        <v>0</v>
      </c>
      <c r="Q43" s="14">
        <f>Q8*Inputs!$C$53</f>
        <v>0</v>
      </c>
      <c r="R43" s="14">
        <f>R8*Inputs!$C$53</f>
        <v>0</v>
      </c>
      <c r="S43" s="14">
        <f>S8*Inputs!$C$53</f>
        <v>0</v>
      </c>
      <c r="T43" s="14">
        <f>T8*Inputs!$C$53</f>
        <v>0</v>
      </c>
      <c r="U43" s="14">
        <f>U8*Inputs!$C$53</f>
        <v>0</v>
      </c>
      <c r="V43" s="14">
        <f>V8*Inputs!$C$53</f>
        <v>0</v>
      </c>
      <c r="W43" s="14">
        <f>W8*Inputs!$C$53</f>
        <v>0</v>
      </c>
      <c r="X43" s="187">
        <f>X8*Inputs!$C$53</f>
        <v>0</v>
      </c>
      <c r="Y43" s="14">
        <f>Y8*Inputs!$C$53</f>
        <v>0</v>
      </c>
      <c r="Z43" s="14">
        <f>Z8*Inputs!$C$53</f>
        <v>0</v>
      </c>
      <c r="AA43" s="14">
        <f>AA8*Inputs!$C$53</f>
        <v>0</v>
      </c>
      <c r="AB43" s="14">
        <f>AB8*Inputs!$C$53</f>
        <v>0</v>
      </c>
      <c r="AC43" s="14">
        <f>AC8*Inputs!$C$53</f>
        <v>0</v>
      </c>
      <c r="AD43" s="14">
        <f>AD8*Inputs!$C$53</f>
        <v>0</v>
      </c>
      <c r="AE43" s="14">
        <f>AE8*Inputs!$C$53</f>
        <v>0</v>
      </c>
      <c r="AF43" s="14">
        <f>AF8*Inputs!$C$53</f>
        <v>0</v>
      </c>
      <c r="AG43" s="14">
        <f>AG8*Inputs!$C$53</f>
        <v>0</v>
      </c>
      <c r="AH43" s="14">
        <f>AH8*Inputs!$C$53</f>
        <v>0</v>
      </c>
    </row>
    <row r="44" spans="1:36" ht="15">
      <c r="A44" s="8" t="s">
        <v>121</v>
      </c>
      <c r="B44" s="34">
        <v>1</v>
      </c>
      <c r="C44" s="331">
        <f>C10*Inputs!$C$46</f>
        <v>0</v>
      </c>
      <c r="D44" s="331">
        <f>D10*Inputs!$C$46</f>
        <v>0</v>
      </c>
      <c r="E44" s="331">
        <f>E10*Inputs!$C$46</f>
        <v>0.49337001000000003</v>
      </c>
      <c r="F44" s="331">
        <f>F10*Inputs!$C$46</f>
        <v>0.54671441999999992</v>
      </c>
      <c r="G44" s="331">
        <f>G10*Inputs!$C$46</f>
        <v>0.57705207000000003</v>
      </c>
      <c r="H44" s="14">
        <f>H10*Inputs!$C$46</f>
        <v>0.65444337000000008</v>
      </c>
      <c r="I44" s="14">
        <f>I10*Inputs!$C$46</f>
        <v>0.66321947999999997</v>
      </c>
      <c r="J44" s="14">
        <f>J10*Inputs!$C$46</f>
        <v>0.70457394000000007</v>
      </c>
      <c r="K44" s="14">
        <f>K10*Inputs!$C$46</f>
        <v>0.72430218000000002</v>
      </c>
      <c r="L44" s="14">
        <f>L10*Inputs!$C$46</f>
        <v>0.77263115999999998</v>
      </c>
      <c r="M44" s="14">
        <f>M10*Inputs!$C$46</f>
        <v>0.80408894999999991</v>
      </c>
      <c r="N44" s="190">
        <f>N10*Inputs!$C$46</f>
        <v>0.85353848999999993</v>
      </c>
      <c r="O44" s="14">
        <f>O10*Inputs!$C$46</f>
        <v>0.88576151999999997</v>
      </c>
      <c r="P44" s="14">
        <f>P10*Inputs!$C$46</f>
        <v>0.92949569999999992</v>
      </c>
      <c r="Q44" s="14">
        <f>Q10*Inputs!$C$46</f>
        <v>0.95481329999999998</v>
      </c>
      <c r="R44" s="14">
        <f>R10*Inputs!$C$46</f>
        <v>1.0081310399999999</v>
      </c>
      <c r="S44" s="14">
        <f>S10*Inputs!$C$46</f>
        <v>1.0344715500000001</v>
      </c>
      <c r="T44" s="14">
        <f>T10*Inputs!$C$46</f>
        <v>1.05969969</v>
      </c>
      <c r="U44" s="14">
        <f>U10*Inputs!$C$46</f>
        <v>1.0846917899999999</v>
      </c>
      <c r="V44" s="14">
        <f>V10*Inputs!$C$46</f>
        <v>1.10464158</v>
      </c>
      <c r="W44" s="14">
        <f>W10*Inputs!$C$46</f>
        <v>1.12711914</v>
      </c>
      <c r="X44" s="187">
        <f>X10*Inputs!$C$46</f>
        <v>1.1544980999999999</v>
      </c>
      <c r="Y44" s="14">
        <f>Y10*Inputs!$C$46</f>
        <v>1.1756072999999998</v>
      </c>
      <c r="Z44" s="14">
        <f>Z10*Inputs!$C$46</f>
        <v>1.1956394100000001</v>
      </c>
      <c r="AA44" s="14">
        <f>AA10*Inputs!$C$46</f>
        <v>1.22217942</v>
      </c>
      <c r="AB44" s="14">
        <f>AB10*Inputs!$C$46</f>
        <v>1.2497604</v>
      </c>
      <c r="AC44" s="14">
        <f>AC10*Inputs!$C$46</f>
        <v>1.2749574600000002</v>
      </c>
      <c r="AD44" s="14">
        <f>AD10*Inputs!$C$46</f>
        <v>1.3015554300000001</v>
      </c>
      <c r="AE44" s="14">
        <f>AE10*Inputs!$C$46</f>
        <v>1.3246665599999998</v>
      </c>
      <c r="AF44" s="14">
        <f>AF10*Inputs!$C$46</f>
        <v>1.3485448200000001</v>
      </c>
      <c r="AG44" s="14">
        <f>AG10*Inputs!$C$46</f>
        <v>1.3753639199999999</v>
      </c>
      <c r="AH44" s="14">
        <f>AH10*Inputs!$C$46</f>
        <v>1.3980361499999998</v>
      </c>
    </row>
    <row r="45" spans="1:36" ht="15">
      <c r="A45" s="8" t="s">
        <v>50</v>
      </c>
      <c r="B45" s="34">
        <v>1</v>
      </c>
      <c r="C45" s="331">
        <f>C11*Inputs!$C$49</f>
        <v>0</v>
      </c>
      <c r="D45" s="331">
        <f>D11*Inputs!$C$49</f>
        <v>0</v>
      </c>
      <c r="E45" s="331">
        <f>E11*Inputs!$C$49</f>
        <v>2.5000000000000002E-8</v>
      </c>
      <c r="F45" s="331">
        <f>F11*Inputs!$C$49</f>
        <v>2.5000000000000002E-8</v>
      </c>
      <c r="G45" s="331">
        <f>G11*Inputs!$C$49</f>
        <v>2.5000000000000002E-8</v>
      </c>
      <c r="H45" s="14">
        <f>H11*Inputs!$C$49</f>
        <v>2.5000000000000002E-8</v>
      </c>
      <c r="I45" s="14">
        <f>I11*Inputs!$C$49</f>
        <v>2.5000000000000002E-8</v>
      </c>
      <c r="J45" s="14">
        <f>J11*Inputs!$C$49</f>
        <v>2.5000000000000002E-8</v>
      </c>
      <c r="K45" s="14">
        <f>K11*Inputs!$C$49</f>
        <v>2.5000000000000002E-8</v>
      </c>
      <c r="L45" s="14">
        <f>L11*Inputs!$C$49</f>
        <v>2.5000000000000002E-8</v>
      </c>
      <c r="M45" s="14">
        <f>M11*Inputs!$C$49</f>
        <v>2.5000000000000002E-8</v>
      </c>
      <c r="N45" s="190">
        <f>N11*Inputs!$C$49</f>
        <v>2.5000000000000002E-8</v>
      </c>
      <c r="O45" s="14">
        <f>O11*Inputs!$C$49</f>
        <v>2.5000000000000002E-8</v>
      </c>
      <c r="P45" s="14">
        <f>P11*Inputs!$C$49</f>
        <v>2.5000000000000002E-8</v>
      </c>
      <c r="Q45" s="14">
        <f>Q11*Inputs!$C$49</f>
        <v>2.5000000000000002E-8</v>
      </c>
      <c r="R45" s="14">
        <f>R11*Inputs!$C$49</f>
        <v>2.5000000000000002E-8</v>
      </c>
      <c r="S45" s="14">
        <f>S11*Inputs!$C$49</f>
        <v>2.5000000000000002E-8</v>
      </c>
      <c r="T45" s="14">
        <f>T11*Inputs!$C$49</f>
        <v>2.5000000000000002E-8</v>
      </c>
      <c r="U45" s="14">
        <f>U11*Inputs!$C$49</f>
        <v>2.5000000000000002E-8</v>
      </c>
      <c r="V45" s="14">
        <f>V11*Inputs!$C$49</f>
        <v>2.5000000000000002E-8</v>
      </c>
      <c r="W45" s="14">
        <f>W11*Inputs!$C$49</f>
        <v>2.5000000000000002E-8</v>
      </c>
      <c r="X45" s="187">
        <f>X11*Inputs!$C$49</f>
        <v>2.5000000000000002E-8</v>
      </c>
      <c r="Y45" s="14">
        <f>Y11*Inputs!$C$49</f>
        <v>2.5000000000000002E-8</v>
      </c>
      <c r="Z45" s="14">
        <f>Z11*Inputs!$C$49</f>
        <v>2.5000000000000002E-8</v>
      </c>
      <c r="AA45" s="14">
        <f>AA11*Inputs!$C$49</f>
        <v>2.5000000000000002E-8</v>
      </c>
      <c r="AB45" s="14">
        <f>AB11*Inputs!$C$49</f>
        <v>2.5000000000000002E-8</v>
      </c>
      <c r="AC45" s="14">
        <f>AC11*Inputs!$C$49</f>
        <v>2.5000000000000002E-8</v>
      </c>
      <c r="AD45" s="14">
        <f>AD11*Inputs!$C$49</f>
        <v>2.5000000000000002E-8</v>
      </c>
      <c r="AE45" s="14">
        <f>AE11*Inputs!$C$49</f>
        <v>2.5000000000000002E-8</v>
      </c>
      <c r="AF45" s="14">
        <f>AF11*Inputs!$C$49</f>
        <v>2.5000000000000002E-8</v>
      </c>
      <c r="AG45" s="14">
        <f>AG11*Inputs!$C$49</f>
        <v>2.5000000000000002E-8</v>
      </c>
      <c r="AH45" s="14">
        <f>AH11*Inputs!$C$49</f>
        <v>2.5000000000000002E-8</v>
      </c>
    </row>
    <row r="46" spans="1:36" ht="15">
      <c r="A46" s="8" t="s">
        <v>51</v>
      </c>
      <c r="B46" s="34">
        <v>1</v>
      </c>
      <c r="C46" s="331">
        <f>C12*Inputs!$C$52</f>
        <v>1.4999999999999999E-2</v>
      </c>
      <c r="D46" s="331">
        <f>D12*Inputs!$C$52</f>
        <v>1.4999999999999999E-2</v>
      </c>
      <c r="E46" s="331">
        <f>E12*Inputs!$C$52</f>
        <v>1.4999999999999999E-2</v>
      </c>
      <c r="F46" s="331">
        <f>F12*Inputs!$C$52</f>
        <v>1.4999999999999999E-2</v>
      </c>
      <c r="G46" s="331">
        <f>G12*Inputs!$C$52</f>
        <v>1.4999999999999999E-2</v>
      </c>
      <c r="H46" s="14">
        <f>H12*Inputs!$C$52</f>
        <v>1.4999999999999999E-2</v>
      </c>
      <c r="I46" s="14">
        <f>I12*Inputs!$C$52</f>
        <v>1.4999999999999999E-2</v>
      </c>
      <c r="J46" s="14">
        <f>J12*Inputs!$C$52</f>
        <v>1.4999999999999999E-2</v>
      </c>
      <c r="K46" s="14">
        <f>K12*Inputs!$C$52</f>
        <v>1.4999999999999999E-2</v>
      </c>
      <c r="L46" s="14">
        <f>L12*Inputs!$C$52</f>
        <v>1.4999999999999999E-2</v>
      </c>
      <c r="M46" s="14">
        <f>M12*Inputs!$C$52</f>
        <v>1.4999999999999999E-2</v>
      </c>
      <c r="N46" s="190">
        <f>N12*Inputs!$C$52</f>
        <v>1.4999999999999999E-2</v>
      </c>
      <c r="O46" s="14">
        <f>O12*Inputs!$C$52</f>
        <v>1.4999999999999999E-2</v>
      </c>
      <c r="P46" s="14">
        <f>P12*Inputs!$C$52</f>
        <v>1.4999999999999999E-2</v>
      </c>
      <c r="Q46" s="14">
        <f>Q12*Inputs!$C$52</f>
        <v>1.4999999999999999E-2</v>
      </c>
      <c r="R46" s="14">
        <f>R12*Inputs!$C$52</f>
        <v>1.4999999999999999E-2</v>
      </c>
      <c r="S46" s="14">
        <f>S12*Inputs!$C$52</f>
        <v>1.4999999999999999E-2</v>
      </c>
      <c r="T46" s="14">
        <f>T12*Inputs!$C$52</f>
        <v>1.4999999999999999E-2</v>
      </c>
      <c r="U46" s="14">
        <f>U12*Inputs!$C$52</f>
        <v>1.4999999999999999E-2</v>
      </c>
      <c r="V46" s="14">
        <f>V12*Inputs!$C$52</f>
        <v>1.4999999999999999E-2</v>
      </c>
      <c r="W46" s="14">
        <f>W12*Inputs!$C$52</f>
        <v>1.4999999999999999E-2</v>
      </c>
      <c r="X46" s="187">
        <f>X12*Inputs!$C$52</f>
        <v>1.4999999999999999E-2</v>
      </c>
      <c r="Y46" s="14">
        <f>Y12*Inputs!$C$52</f>
        <v>1.4999999999999999E-2</v>
      </c>
      <c r="Z46" s="14">
        <f>Z12*Inputs!$C$52</f>
        <v>1.4999999999999999E-2</v>
      </c>
      <c r="AA46" s="14">
        <f>AA12*Inputs!$C$52</f>
        <v>1.4999999999999999E-2</v>
      </c>
      <c r="AB46" s="14">
        <f>AB12*Inputs!$C$52</f>
        <v>1.4999999999999999E-2</v>
      </c>
      <c r="AC46" s="14">
        <f>AC12*Inputs!$C$52</f>
        <v>1.4999999999999999E-2</v>
      </c>
      <c r="AD46" s="14">
        <f>AD12*Inputs!$C$52</f>
        <v>1.4999999999999999E-2</v>
      </c>
      <c r="AE46" s="14">
        <f>AE12*Inputs!$C$52</f>
        <v>1.4999999999999999E-2</v>
      </c>
      <c r="AF46" s="14">
        <f>AF12*Inputs!$C$52</f>
        <v>1.4999999999999999E-2</v>
      </c>
      <c r="AG46" s="14">
        <f>AG12*Inputs!$C$52</f>
        <v>1.4999999999999999E-2</v>
      </c>
      <c r="AH46" s="14">
        <f>AH12*Inputs!$C$52</f>
        <v>1.4999999999999999E-2</v>
      </c>
    </row>
    <row r="47" spans="1:36" ht="15">
      <c r="A47" s="8" t="s">
        <v>347</v>
      </c>
      <c r="B47" s="34">
        <v>1</v>
      </c>
      <c r="C47" s="331">
        <f>C13*Inputs!$C$54</f>
        <v>0</v>
      </c>
      <c r="D47" s="331">
        <f>D13*Inputs!$C$54</f>
        <v>0</v>
      </c>
      <c r="E47" s="331">
        <f>E13*Inputs!$C$54</f>
        <v>0.15800000000000003</v>
      </c>
      <c r="F47" s="331">
        <f>F13*Inputs!$C$54</f>
        <v>0.15800000000000003</v>
      </c>
      <c r="G47" s="331">
        <f>G13*Inputs!$C$54</f>
        <v>0.15800000000000003</v>
      </c>
      <c r="H47" s="14">
        <f>H13*Inputs!$C$54</f>
        <v>0.15800000000000003</v>
      </c>
      <c r="I47" s="14">
        <f>I13*Inputs!$C$54</f>
        <v>0.15800000000000003</v>
      </c>
      <c r="J47" s="14">
        <f>J13*Inputs!$C$54</f>
        <v>0.15800000000000003</v>
      </c>
      <c r="K47" s="14">
        <f>K13*Inputs!$C$54</f>
        <v>0.15800000000000003</v>
      </c>
      <c r="L47" s="14">
        <f>L13*Inputs!$C$54</f>
        <v>0.15800000000000003</v>
      </c>
      <c r="M47" s="14">
        <f>M13*Inputs!$C$54</f>
        <v>0.15800000000000003</v>
      </c>
      <c r="N47" s="190">
        <f>N13*Inputs!$C$54</f>
        <v>0.15800000000000003</v>
      </c>
      <c r="O47" s="14">
        <f>O13*Inputs!$C$54</f>
        <v>0.15800000000000003</v>
      </c>
      <c r="P47" s="14">
        <f>P13*Inputs!$C$54</f>
        <v>0.15800000000000003</v>
      </c>
      <c r="Q47" s="14">
        <f>Q13*Inputs!$C$54</f>
        <v>0.15800000000000003</v>
      </c>
      <c r="R47" s="14">
        <f>R13*Inputs!$C$54</f>
        <v>0.15800000000000003</v>
      </c>
      <c r="S47" s="14">
        <f>S13*Inputs!$C$54</f>
        <v>0.15800000000000003</v>
      </c>
      <c r="T47" s="14">
        <f>T13*Inputs!$C$54</f>
        <v>0.15800000000000003</v>
      </c>
      <c r="U47" s="14">
        <f>U13*Inputs!$C$54</f>
        <v>0.15800000000000003</v>
      </c>
      <c r="V47" s="14">
        <f>V13*Inputs!$C$54</f>
        <v>0.15800000000000003</v>
      </c>
      <c r="W47" s="14">
        <f>W13*Inputs!$C$54</f>
        <v>0.15800000000000003</v>
      </c>
      <c r="X47" s="187">
        <f>X13*Inputs!$C$54</f>
        <v>0.15800000000000003</v>
      </c>
      <c r="Y47" s="14">
        <f>Y13*Inputs!$C$54</f>
        <v>0.15800000000000003</v>
      </c>
      <c r="Z47" s="14">
        <f>Z13*Inputs!$C$54</f>
        <v>0.15800000000000003</v>
      </c>
      <c r="AA47" s="14">
        <f>AA13*Inputs!$C$54</f>
        <v>0.15800000000000003</v>
      </c>
      <c r="AB47" s="14">
        <f>AB13*Inputs!$C$54</f>
        <v>0.15800000000000003</v>
      </c>
      <c r="AC47" s="14">
        <f>AC13*Inputs!$C$54</f>
        <v>0.15800000000000003</v>
      </c>
      <c r="AD47" s="14">
        <f>AD13*Inputs!$C$54</f>
        <v>0.15800000000000003</v>
      </c>
      <c r="AE47" s="14">
        <f>AE13*Inputs!$C$54</f>
        <v>0.15800000000000003</v>
      </c>
      <c r="AF47" s="14">
        <f>AF13*Inputs!$C$54</f>
        <v>0.15800000000000003</v>
      </c>
      <c r="AG47" s="14">
        <f>AG13*Inputs!$C$54</f>
        <v>0.15800000000000003</v>
      </c>
      <c r="AH47" s="14">
        <f>AH13*Inputs!$C$54</f>
        <v>0</v>
      </c>
    </row>
    <row r="48" spans="1:36" ht="15">
      <c r="A48" s="8" t="s">
        <v>348</v>
      </c>
      <c r="B48" s="34">
        <v>1</v>
      </c>
      <c r="C48" s="331">
        <f>C14*Inputs!$C$55</f>
        <v>0</v>
      </c>
      <c r="D48" s="331">
        <f>D14*Inputs!$C$55</f>
        <v>0</v>
      </c>
      <c r="E48" s="331">
        <f>E14*Inputs!$C$55</f>
        <v>2.3000000000000003E-2</v>
      </c>
      <c r="F48" s="331">
        <f>F14*Inputs!$C$55</f>
        <v>2.3000000000000003E-2</v>
      </c>
      <c r="G48" s="331">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0">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7">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509.66</v>
      </c>
      <c r="D50" s="331">
        <f>D16*Inputs!$C$57</f>
        <v>696.32</v>
      </c>
      <c r="E50" s="331">
        <f>E16*Inputs!$C$57</f>
        <v>736.50655840000013</v>
      </c>
      <c r="F50" s="331">
        <f>F16*Inputs!$C$57</f>
        <v>862.27930400000014</v>
      </c>
      <c r="G50" s="331">
        <f>G16*Inputs!$C$57</f>
        <v>913.38614560000019</v>
      </c>
      <c r="H50" s="14">
        <f>H16*Inputs!$C$57</f>
        <v>923.88365920000012</v>
      </c>
      <c r="I50" s="14">
        <f>I16*Inputs!$C$57</f>
        <v>1108.8843232000002</v>
      </c>
      <c r="J50" s="14">
        <f>J16*Inputs!$C$57</f>
        <v>1226.3038672000002</v>
      </c>
      <c r="K50" s="14">
        <f>K16*Inputs!$C$57</f>
        <v>1226.9494591999999</v>
      </c>
      <c r="L50" s="14">
        <f>L16*Inputs!$C$57</f>
        <v>1226.9612640000003</v>
      </c>
      <c r="M50" s="14">
        <f>M16*Inputs!$C$57</f>
        <v>1226.9612640000003</v>
      </c>
      <c r="N50" s="190">
        <f>N16*Inputs!$C$57</f>
        <v>1227.0009488000001</v>
      </c>
      <c r="O50" s="14">
        <f>O16*Inputs!$C$57</f>
        <v>1226.8364432000001</v>
      </c>
      <c r="P50" s="14">
        <f>P16*Inputs!$C$57</f>
        <v>1226.8516480000001</v>
      </c>
      <c r="Q50" s="14">
        <f>Q16*Inputs!$C$57</f>
        <v>1226.8043200000002</v>
      </c>
      <c r="R50" s="14">
        <f>R16*Inputs!$C$57</f>
        <v>1226.7972480000001</v>
      </c>
      <c r="S50" s="14">
        <f>S16*Inputs!$C$57</f>
        <v>1226.7553056000002</v>
      </c>
      <c r="T50" s="14">
        <f>T16*Inputs!$C$57</f>
        <v>1226.7344432000002</v>
      </c>
      <c r="U50" s="14">
        <f>U16*Inputs!$C$57</f>
        <v>1226.5224736</v>
      </c>
      <c r="V50" s="14">
        <f>V16*Inputs!$C$57</f>
        <v>1226.4740032000002</v>
      </c>
      <c r="W50" s="14">
        <f>W16*Inputs!$C$57</f>
        <v>1226.4352704</v>
      </c>
      <c r="X50" s="187">
        <f>X16*Inputs!$C$57</f>
        <v>1226.3443952000002</v>
      </c>
      <c r="Y50" s="14">
        <f>Y16*Inputs!$C$57</f>
        <v>1226.3789120000001</v>
      </c>
      <c r="Z50" s="14">
        <f>Z16*Inputs!$C$57</f>
        <v>1226.4493328000001</v>
      </c>
      <c r="AA50" s="14">
        <f>AA16*Inputs!$C$57</f>
        <v>1226.9775024</v>
      </c>
      <c r="AB50" s="14">
        <f>AB16*Inputs!$C$57</f>
        <v>1228.1219696000001</v>
      </c>
      <c r="AC50" s="14">
        <f>AC16*Inputs!$C$57</f>
        <v>1229.2786496000001</v>
      </c>
      <c r="AD50" s="14">
        <f>AD16*Inputs!$C$57</f>
        <v>1229.1776832000003</v>
      </c>
      <c r="AE50" s="14">
        <f>AE16*Inputs!$C$57</f>
        <v>1231.1662752</v>
      </c>
      <c r="AF50" s="14">
        <f>AF16*Inputs!$C$57</f>
        <v>1232.5233376000003</v>
      </c>
      <c r="AG50" s="14">
        <f>AG16*Inputs!$C$57</f>
        <v>1234.6284816000002</v>
      </c>
      <c r="AH50" s="14">
        <f>AH16*Inputs!$C$57</f>
        <v>1238.0377024000002</v>
      </c>
    </row>
    <row r="51" spans="1:34" s="20" customFormat="1" ht="15">
      <c r="A51" s="8" t="s">
        <v>128</v>
      </c>
      <c r="B51" s="38"/>
      <c r="C51" s="334">
        <f t="shared" ref="C51:AH51" si="21">SUMPRODUCT($B42:$B50,C42:C50)</f>
        <v>509.67770000000002</v>
      </c>
      <c r="D51" s="334">
        <f t="shared" si="21"/>
        <v>696.33770000000004</v>
      </c>
      <c r="E51" s="334">
        <f t="shared" si="21"/>
        <v>737.19862843500016</v>
      </c>
      <c r="F51" s="334">
        <f t="shared" si="21"/>
        <v>863.02471844500019</v>
      </c>
      <c r="G51" s="334">
        <f t="shared" si="21"/>
        <v>914.16189769500022</v>
      </c>
      <c r="H51" s="19">
        <f t="shared" si="21"/>
        <v>924.73680259500009</v>
      </c>
      <c r="I51" s="19">
        <f t="shared" si="21"/>
        <v>1109.7462427050002</v>
      </c>
      <c r="J51" s="19">
        <f t="shared" si="21"/>
        <v>1227.2071411650002</v>
      </c>
      <c r="K51" s="19">
        <f t="shared" si="21"/>
        <v>1227.872461405</v>
      </c>
      <c r="L51" s="19">
        <f t="shared" si="21"/>
        <v>1227.9325951850003</v>
      </c>
      <c r="M51" s="19">
        <f t="shared" si="21"/>
        <v>1227.9640529750002</v>
      </c>
      <c r="N51" s="190">
        <f t="shared" si="21"/>
        <v>1228.0531873150001</v>
      </c>
      <c r="O51" s="19">
        <f t="shared" si="21"/>
        <v>1227.9209047450001</v>
      </c>
      <c r="P51" s="19">
        <f t="shared" si="21"/>
        <v>1227.9798437250001</v>
      </c>
      <c r="Q51" s="19">
        <f t="shared" si="21"/>
        <v>1227.9578333250001</v>
      </c>
      <c r="R51" s="19">
        <f t="shared" si="21"/>
        <v>1228.004079065</v>
      </c>
      <c r="S51" s="19">
        <f t="shared" si="21"/>
        <v>1227.9884771750001</v>
      </c>
      <c r="T51" s="19">
        <f t="shared" si="21"/>
        <v>1227.9928429150002</v>
      </c>
      <c r="U51" s="19">
        <f t="shared" si="21"/>
        <v>1227.805865415</v>
      </c>
      <c r="V51" s="19">
        <f t="shared" si="21"/>
        <v>1227.7773448050002</v>
      </c>
      <c r="W51" s="19">
        <f t="shared" si="21"/>
        <v>1227.761089565</v>
      </c>
      <c r="X51" s="182">
        <f t="shared" si="21"/>
        <v>1227.6975933250003</v>
      </c>
      <c r="Y51" s="19">
        <f t="shared" si="21"/>
        <v>1227.7532193250001</v>
      </c>
      <c r="Z51" s="19">
        <f t="shared" si="21"/>
        <v>1227.843672235</v>
      </c>
      <c r="AA51" s="19">
        <f t="shared" si="21"/>
        <v>1228.3983818450001</v>
      </c>
      <c r="AB51" s="19">
        <f t="shared" si="21"/>
        <v>1229.570430025</v>
      </c>
      <c r="AC51" s="19">
        <f t="shared" si="21"/>
        <v>1230.7523070850002</v>
      </c>
      <c r="AD51" s="19">
        <f t="shared" si="21"/>
        <v>1230.6779386550002</v>
      </c>
      <c r="AE51" s="19">
        <f t="shared" si="21"/>
        <v>1232.689641785</v>
      </c>
      <c r="AF51" s="19">
        <f t="shared" si="21"/>
        <v>1234.0705824450004</v>
      </c>
      <c r="AG51" s="19">
        <f t="shared" si="21"/>
        <v>1236.2025455450002</v>
      </c>
      <c r="AH51" s="19">
        <f t="shared" si="21"/>
        <v>1239.4764385750002</v>
      </c>
    </row>
    <row r="52" spans="1:34" s="20" customFormat="1" ht="15">
      <c r="A52" s="27" t="s">
        <v>329</v>
      </c>
      <c r="B52" s="39"/>
      <c r="C52" s="334">
        <f>SUM(C40:C50)</f>
        <v>730.92619999999999</v>
      </c>
      <c r="D52" s="334">
        <f t="shared" ref="D52:I52" si="22">SUM(D42:D50)</f>
        <v>1002.6361999999999</v>
      </c>
      <c r="E52" s="334">
        <f t="shared" si="22"/>
        <v>1103.5316662144423</v>
      </c>
      <c r="F52" s="334">
        <f t="shared" si="22"/>
        <v>1180.7614193818963</v>
      </c>
      <c r="G52" s="334">
        <f t="shared" si="22"/>
        <v>1179.9006140383567</v>
      </c>
      <c r="H52" s="19">
        <f t="shared" si="22"/>
        <v>1196.2293997206295</v>
      </c>
      <c r="I52" s="19">
        <f t="shared" si="22"/>
        <v>1386.8303290354227</v>
      </c>
      <c r="J52" s="19">
        <f t="shared" ref="J52:AH52" si="23">SUM(J42:J50)</f>
        <v>1509.9182221971832</v>
      </c>
      <c r="K52" s="19">
        <f t="shared" si="23"/>
        <v>1516.258180847331</v>
      </c>
      <c r="L52" s="19">
        <f t="shared" si="23"/>
        <v>1516.3184620550005</v>
      </c>
      <c r="M52" s="19">
        <f t="shared" si="23"/>
        <v>1516.3499198450004</v>
      </c>
      <c r="N52" s="190">
        <f t="shared" si="23"/>
        <v>1516.4390541850003</v>
      </c>
      <c r="O52" s="19">
        <f t="shared" si="23"/>
        <v>1516.3067716150003</v>
      </c>
      <c r="P52" s="19">
        <f t="shared" si="23"/>
        <v>1516.3657105950003</v>
      </c>
      <c r="Q52" s="19">
        <f t="shared" si="23"/>
        <v>1516.3437001950006</v>
      </c>
      <c r="R52" s="19">
        <f t="shared" si="23"/>
        <v>1516.3899459350005</v>
      </c>
      <c r="S52" s="19">
        <f t="shared" si="23"/>
        <v>1516.3743440450003</v>
      </c>
      <c r="T52" s="19">
        <f t="shared" si="23"/>
        <v>1516.3787097850004</v>
      </c>
      <c r="U52" s="19">
        <f t="shared" si="23"/>
        <v>1531.0167392599972</v>
      </c>
      <c r="V52" s="19">
        <f t="shared" si="23"/>
        <v>1530.9882186499974</v>
      </c>
      <c r="W52" s="19">
        <f t="shared" si="23"/>
        <v>1530.9719634099972</v>
      </c>
      <c r="X52" s="182">
        <f t="shared" si="23"/>
        <v>1532.52572412841</v>
      </c>
      <c r="Y52" s="19">
        <f t="shared" si="23"/>
        <v>1532.5813501284099</v>
      </c>
      <c r="Z52" s="19">
        <f t="shared" si="23"/>
        <v>1534.4458738941557</v>
      </c>
      <c r="AA52" s="19">
        <f t="shared" si="23"/>
        <v>1535.0005835041557</v>
      </c>
      <c r="AB52" s="19">
        <f t="shared" si="23"/>
        <v>1536.1726316841559</v>
      </c>
      <c r="AC52" s="19">
        <f t="shared" si="23"/>
        <v>1537.3545087441557</v>
      </c>
      <c r="AD52" s="19">
        <f t="shared" si="23"/>
        <v>1537.2801403141561</v>
      </c>
      <c r="AE52" s="19">
        <f t="shared" si="23"/>
        <v>1539.2918434441558</v>
      </c>
      <c r="AF52" s="19">
        <f t="shared" si="23"/>
        <v>1540.6727841041561</v>
      </c>
      <c r="AG52" s="19">
        <f t="shared" si="23"/>
        <v>1542.804747204156</v>
      </c>
      <c r="AH52" s="19">
        <f t="shared" si="23"/>
        <v>1546.078640234156</v>
      </c>
    </row>
    <row r="53" spans="1:34" s="20" customFormat="1" ht="15">
      <c r="A53" s="27" t="s">
        <v>330</v>
      </c>
      <c r="B53" s="39"/>
      <c r="C53" s="334">
        <f>C20*Inputs!$C$60</f>
        <v>3256.77</v>
      </c>
      <c r="D53" s="334">
        <f>D20*Inputs!$C$60</f>
        <v>3130.82</v>
      </c>
      <c r="E53" s="334">
        <f>E20*Inputs!$C$60</f>
        <v>2782.1249392524592</v>
      </c>
      <c r="F53" s="334">
        <f>F20*Inputs!$C$60</f>
        <v>2589.7265754978057</v>
      </c>
      <c r="G53" s="334">
        <f>G20*Inputs!$C$60</f>
        <v>2677.5160792537504</v>
      </c>
      <c r="H53" s="19">
        <f>H20*Inputs!$C$60</f>
        <v>2665.2065976287063</v>
      </c>
      <c r="I53" s="19">
        <f>I20*Inputs!$C$60</f>
        <v>2735.6862690116009</v>
      </c>
      <c r="J53" s="19">
        <f>J20*Inputs!$C$60</f>
        <v>2556.3949883591313</v>
      </c>
      <c r="K53" s="19">
        <f>K20*Inputs!$C$60</f>
        <v>2511.4440517869166</v>
      </c>
      <c r="L53" s="19">
        <f>L20*Inputs!$C$60</f>
        <v>2567.478682864964</v>
      </c>
      <c r="M53" s="19">
        <f>M20*Inputs!$C$60</f>
        <v>2591.7602704458536</v>
      </c>
      <c r="N53" s="190">
        <f>N20*Inputs!$C$60</f>
        <v>2608.0502853847538</v>
      </c>
      <c r="O53" s="19">
        <f>O20*Inputs!$C$60</f>
        <v>2614.8997018377154</v>
      </c>
      <c r="P53" s="19">
        <f>P20*Inputs!$C$60</f>
        <v>2622.0445801517335</v>
      </c>
      <c r="Q53" s="19">
        <f>Q20*Inputs!$C$60</f>
        <v>2637.1558749554119</v>
      </c>
      <c r="R53" s="19">
        <f>R20*Inputs!$C$60</f>
        <v>2649.1540811568725</v>
      </c>
      <c r="S53" s="19">
        <f>S20*Inputs!$C$60</f>
        <v>2656.0389207766402</v>
      </c>
      <c r="T53" s="19">
        <f>T20*Inputs!$C$60</f>
        <v>2657.1125711966588</v>
      </c>
      <c r="U53" s="19">
        <f>U20*Inputs!$C$60</f>
        <v>2653.0963000182355</v>
      </c>
      <c r="V53" s="19">
        <f>V20*Inputs!$C$60</f>
        <v>2648.0423916449031</v>
      </c>
      <c r="W53" s="19">
        <f>W20*Inputs!$C$60</f>
        <v>2649.520645043473</v>
      </c>
      <c r="X53" s="182">
        <f>X20*Inputs!$C$60</f>
        <v>2650.1745869923766</v>
      </c>
      <c r="Y53" s="19">
        <f>Y20*Inputs!$C$60</f>
        <v>2649.6452653571237</v>
      </c>
      <c r="Z53" s="19">
        <f>Z20*Inputs!$C$60</f>
        <v>2647.4089050505127</v>
      </c>
      <c r="AA53" s="19">
        <f>AA20*Inputs!$C$60</f>
        <v>2646.0234284858257</v>
      </c>
      <c r="AB53" s="19">
        <f>AB20*Inputs!$C$60</f>
        <v>2643.5019323384649</v>
      </c>
      <c r="AC53" s="19">
        <f>AC20*Inputs!$C$60</f>
        <v>2641.7759134583512</v>
      </c>
      <c r="AD53" s="19">
        <f>AD20*Inputs!$C$60</f>
        <v>2639.5415003441408</v>
      </c>
      <c r="AE53" s="19">
        <f>AE20*Inputs!$C$60</f>
        <v>2637.2452294511377</v>
      </c>
      <c r="AF53" s="19">
        <f>AF20*Inputs!$C$60</f>
        <v>2634.8395617487085</v>
      </c>
      <c r="AG53" s="19">
        <f>AG20*Inputs!$C$60</f>
        <v>2632.7600389391064</v>
      </c>
      <c r="AH53" s="19">
        <f>AH20*Inputs!$C$60</f>
        <v>2630.8328888520182</v>
      </c>
    </row>
    <row r="54" spans="1:34" s="20" customFormat="1" ht="15">
      <c r="A54" s="27" t="s">
        <v>222</v>
      </c>
      <c r="B54" s="39"/>
      <c r="C54" s="334">
        <f>C21*Inputs!$C$61</f>
        <v>1.87</v>
      </c>
      <c r="D54" s="334">
        <f>D21*Inputs!$C$61</f>
        <v>1.76</v>
      </c>
      <c r="E54" s="334">
        <f>E21*Inputs!$C$61</f>
        <v>0.66541401587710525</v>
      </c>
      <c r="F54" s="334">
        <f>F21*Inputs!$C$61</f>
        <v>1.2712118060348001</v>
      </c>
      <c r="G54" s="334">
        <f>G21*Inputs!$C$61</f>
        <v>0.39869358090439388</v>
      </c>
      <c r="H54" s="19">
        <f>H21*Inputs!$C$61</f>
        <v>0.61161244608946264</v>
      </c>
      <c r="I54" s="19">
        <f>I21*Inputs!$C$61</f>
        <v>0.57964626993060075</v>
      </c>
      <c r="J54" s="19">
        <f>J21*Inputs!$C$61</f>
        <v>1.5033830987224979</v>
      </c>
      <c r="K54" s="19">
        <f>K21*Inputs!$C$61</f>
        <v>1.7219262948984049</v>
      </c>
      <c r="L54" s="19">
        <f>L21*Inputs!$C$61</f>
        <v>2.0409668111706027</v>
      </c>
      <c r="M54" s="19">
        <f>M21*Inputs!$C$61</f>
        <v>2.2035932426361651</v>
      </c>
      <c r="N54" s="190">
        <f>N21*Inputs!$C$61</f>
        <v>2.5973546703846973</v>
      </c>
      <c r="O54" s="19">
        <f>O21*Inputs!$C$61</f>
        <v>2.7171231629134462</v>
      </c>
      <c r="P54" s="19">
        <f>P21*Inputs!$C$61</f>
        <v>2.7619151312863801</v>
      </c>
      <c r="Q54" s="19">
        <f>Q21*Inputs!$C$61</f>
        <v>2.9451241347354187</v>
      </c>
      <c r="R54" s="19">
        <f>R21*Inputs!$C$61</f>
        <v>3.0220914556432548</v>
      </c>
      <c r="S54" s="19">
        <f>S21*Inputs!$C$61</f>
        <v>3.0579034310701858</v>
      </c>
      <c r="T54" s="19">
        <f>T21*Inputs!$C$61</f>
        <v>3.239455957850907</v>
      </c>
      <c r="U54" s="19">
        <f>U21*Inputs!$C$61</f>
        <v>3.4003145081220114</v>
      </c>
      <c r="V54" s="19">
        <f>V21*Inputs!$C$61</f>
        <v>3.4659331585873261</v>
      </c>
      <c r="W54" s="19">
        <f>W21*Inputs!$C$61</f>
        <v>3.6141808443056886</v>
      </c>
      <c r="X54" s="182">
        <f>X21*Inputs!$C$61</f>
        <v>3.7297989324566538</v>
      </c>
      <c r="Y54" s="19">
        <f>Y21*Inputs!$C$61</f>
        <v>3.7744936615061024</v>
      </c>
      <c r="Z54" s="19">
        <f>Z21*Inputs!$C$61</f>
        <v>3.8206782929610723</v>
      </c>
      <c r="AA54" s="19">
        <f>AA21*Inputs!$C$61</f>
        <v>3.8554452385500597</v>
      </c>
      <c r="AB54" s="19">
        <f>AB21*Inputs!$C$61</f>
        <v>3.7712632497638823</v>
      </c>
      <c r="AC54" s="19">
        <f>AC21*Inputs!$C$61</f>
        <v>3.8486103685113147</v>
      </c>
      <c r="AD54" s="19">
        <f>AD21*Inputs!$C$61</f>
        <v>3.8262049586072915</v>
      </c>
      <c r="AE54" s="19">
        <f>AE21*Inputs!$C$61</f>
        <v>3.8403728238939201</v>
      </c>
      <c r="AF54" s="19">
        <f>AF21*Inputs!$C$61</f>
        <v>3.8938139798034945</v>
      </c>
      <c r="AG54" s="19">
        <f>AG21*Inputs!$C$61</f>
        <v>4.1136693210674027</v>
      </c>
      <c r="AH54" s="19">
        <f>AH21*Inputs!$C$61</f>
        <v>4.2517834551183222</v>
      </c>
    </row>
    <row r="55" spans="1:34" s="20" customFormat="1" ht="15">
      <c r="A55" s="27" t="s">
        <v>58</v>
      </c>
      <c r="B55" s="39"/>
      <c r="C55" s="334">
        <f>SUM(C52:C54)</f>
        <v>3989.5661999999998</v>
      </c>
      <c r="D55" s="334">
        <f t="shared" ref="D55:AH55" si="24">SUM(D52:D54)</f>
        <v>4135.2162000000008</v>
      </c>
      <c r="E55" s="334">
        <f t="shared" si="24"/>
        <v>3886.3220194827786</v>
      </c>
      <c r="F55" s="334">
        <f t="shared" si="24"/>
        <v>3771.7592066857369</v>
      </c>
      <c r="G55" s="334">
        <f t="shared" si="24"/>
        <v>3857.8153868730114</v>
      </c>
      <c r="H55" s="19">
        <f t="shared" si="24"/>
        <v>3862.0476097954252</v>
      </c>
      <c r="I55" s="19">
        <f t="shared" si="24"/>
        <v>4123.0962443169547</v>
      </c>
      <c r="J55" s="19">
        <f t="shared" si="24"/>
        <v>4067.8165936550372</v>
      </c>
      <c r="K55" s="19">
        <f t="shared" si="24"/>
        <v>4029.424158929146</v>
      </c>
      <c r="L55" s="19">
        <f t="shared" si="24"/>
        <v>4085.8381117311351</v>
      </c>
      <c r="M55" s="19">
        <f t="shared" si="24"/>
        <v>4110.3137835334901</v>
      </c>
      <c r="N55" s="190">
        <f t="shared" si="24"/>
        <v>4127.086694240139</v>
      </c>
      <c r="O55" s="19">
        <f t="shared" si="24"/>
        <v>4133.9235966156293</v>
      </c>
      <c r="P55" s="19">
        <f t="shared" si="24"/>
        <v>4141.1722058780206</v>
      </c>
      <c r="Q55" s="19">
        <f t="shared" si="24"/>
        <v>4156.4446992851472</v>
      </c>
      <c r="R55" s="19">
        <f t="shared" si="24"/>
        <v>4168.5661185475165</v>
      </c>
      <c r="S55" s="19">
        <f t="shared" si="24"/>
        <v>4175.4711682527104</v>
      </c>
      <c r="T55" s="19">
        <f t="shared" si="24"/>
        <v>4176.7307369395103</v>
      </c>
      <c r="U55" s="19">
        <f t="shared" si="24"/>
        <v>4187.5133537863549</v>
      </c>
      <c r="V55" s="19">
        <f t="shared" si="24"/>
        <v>4182.4965434534879</v>
      </c>
      <c r="W55" s="19">
        <f t="shared" si="24"/>
        <v>4184.1067892977753</v>
      </c>
      <c r="X55" s="182">
        <f t="shared" si="24"/>
        <v>4186.4301100532439</v>
      </c>
      <c r="Y55" s="19">
        <f t="shared" si="24"/>
        <v>4186.0011091470396</v>
      </c>
      <c r="Z55" s="19">
        <f t="shared" si="24"/>
        <v>4185.6754572376294</v>
      </c>
      <c r="AA55" s="19">
        <f t="shared" si="24"/>
        <v>4184.8794572285306</v>
      </c>
      <c r="AB55" s="19">
        <f t="shared" si="24"/>
        <v>4183.445827272385</v>
      </c>
      <c r="AC55" s="19">
        <f t="shared" si="24"/>
        <v>4182.9790325710173</v>
      </c>
      <c r="AD55" s="19">
        <f t="shared" si="24"/>
        <v>4180.6478456169043</v>
      </c>
      <c r="AE55" s="19">
        <f t="shared" si="24"/>
        <v>4180.3774457191867</v>
      </c>
      <c r="AF55" s="19">
        <f t="shared" si="24"/>
        <v>4179.4061598326689</v>
      </c>
      <c r="AG55" s="19">
        <f t="shared" si="24"/>
        <v>4179.67845546433</v>
      </c>
      <c r="AH55" s="19">
        <f t="shared" si="24"/>
        <v>4181.1633125412918</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377</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199.12365</v>
      </c>
      <c r="D60" s="331">
        <f>D42*Inputs!$H48</f>
        <v>275.66864999999996</v>
      </c>
      <c r="E60" s="331">
        <f>E42*Inputs!$H48</f>
        <v>329.69973400149797</v>
      </c>
      <c r="F60" s="331">
        <f>F42*Inputs!$H48</f>
        <v>285.96303084320647</v>
      </c>
      <c r="G60" s="331">
        <f>G42*Inputs!$H48</f>
        <v>239.16484470902085</v>
      </c>
      <c r="H60" s="14">
        <f>H42*Inputs!$H48</f>
        <v>244.34333741306648</v>
      </c>
      <c r="I60" s="14">
        <f>I42*Inputs!$H48</f>
        <v>249.37567769738015</v>
      </c>
      <c r="J60" s="14">
        <f>J42*Inputs!$H48</f>
        <v>254.43997292896466</v>
      </c>
      <c r="K60" s="14">
        <f>K42*Inputs!$H48</f>
        <v>259.54714749809807</v>
      </c>
      <c r="L60" s="14">
        <f>L42*Inputs!$H48</f>
        <v>259.54728018300017</v>
      </c>
      <c r="M60" s="14">
        <f>M42*Inputs!$H48</f>
        <v>259.54728018300017</v>
      </c>
      <c r="N60" s="190">
        <f>N42*Inputs!$H48</f>
        <v>259.54728018300017</v>
      </c>
      <c r="O60" s="14">
        <f>O42*Inputs!$H48</f>
        <v>259.54728018300017</v>
      </c>
      <c r="P60" s="14">
        <f>P42*Inputs!$H48</f>
        <v>259.54728018300017</v>
      </c>
      <c r="Q60" s="14">
        <f>Q42*Inputs!$H48</f>
        <v>259.54728018300017</v>
      </c>
      <c r="R60" s="14">
        <f>R42*Inputs!$H48</f>
        <v>259.54728018300017</v>
      </c>
      <c r="S60" s="14">
        <f>S42*Inputs!$H48</f>
        <v>259.54728018300017</v>
      </c>
      <c r="T60" s="14">
        <f>T42*Inputs!$H48</f>
        <v>259.54728018300017</v>
      </c>
      <c r="U60" s="14">
        <f>U42*Inputs!$H48</f>
        <v>272.88978646049742</v>
      </c>
      <c r="V60" s="14">
        <f>V42*Inputs!$H48</f>
        <v>272.88978646049742</v>
      </c>
      <c r="W60" s="14">
        <f>W42*Inputs!$H48</f>
        <v>272.88978646049742</v>
      </c>
      <c r="X60" s="187">
        <f>X42*Inputs!$H48</f>
        <v>274.34531772306872</v>
      </c>
      <c r="Y60" s="14">
        <f>Y42*Inputs!$H48</f>
        <v>274.34531772306872</v>
      </c>
      <c r="Z60" s="14">
        <f>Z42*Inputs!$H48</f>
        <v>275.94198149324012</v>
      </c>
      <c r="AA60" s="14">
        <f>AA42*Inputs!$H48</f>
        <v>275.94198149324012</v>
      </c>
      <c r="AB60" s="14">
        <f>AB42*Inputs!$H48</f>
        <v>275.94198149324012</v>
      </c>
      <c r="AC60" s="14">
        <f>AC42*Inputs!$H48</f>
        <v>275.94198149324012</v>
      </c>
      <c r="AD60" s="14">
        <f>AD42*Inputs!$H48</f>
        <v>275.94198149324012</v>
      </c>
      <c r="AE60" s="14">
        <f>AE42*Inputs!$H48</f>
        <v>275.94198149324012</v>
      </c>
      <c r="AF60" s="14">
        <f>AF42*Inputs!$H48</f>
        <v>275.94198149324012</v>
      </c>
      <c r="AG60" s="14">
        <f>AG42*Inputs!$H48</f>
        <v>275.94198149324012</v>
      </c>
      <c r="AH60" s="14">
        <f>AH42*Inputs!$H48</f>
        <v>275.94198149324012</v>
      </c>
    </row>
    <row r="61" spans="1:34" ht="15">
      <c r="A61" s="8" t="s">
        <v>59</v>
      </c>
      <c r="B61" s="34">
        <v>0</v>
      </c>
      <c r="C61" s="331">
        <f>C43*Inputs!$H53</f>
        <v>0</v>
      </c>
      <c r="D61" s="331">
        <f>D43*Inputs!$H53</f>
        <v>0</v>
      </c>
      <c r="E61" s="331">
        <f>E43*Inputs!$H53</f>
        <v>0</v>
      </c>
      <c r="F61" s="331">
        <f>F43*Inputs!$H53</f>
        <v>0</v>
      </c>
      <c r="G61" s="331">
        <f>G43*Inputs!$H53</f>
        <v>0</v>
      </c>
      <c r="H61" s="14">
        <f>H43*Inputs!$H53</f>
        <v>0</v>
      </c>
      <c r="I61" s="14">
        <f>I43*Inputs!$H53</f>
        <v>0</v>
      </c>
      <c r="J61" s="14">
        <f>J43*Inputs!$H53</f>
        <v>0</v>
      </c>
      <c r="K61" s="14">
        <f>K43*Inputs!$H53</f>
        <v>0</v>
      </c>
      <c r="L61" s="14">
        <f>L43*Inputs!$H53</f>
        <v>0</v>
      </c>
      <c r="M61" s="14">
        <f>M43*Inputs!$H53</f>
        <v>0</v>
      </c>
      <c r="N61" s="190">
        <f>N43*Inputs!$H53</f>
        <v>0</v>
      </c>
      <c r="O61" s="14">
        <f>O43*Inputs!$H53</f>
        <v>0</v>
      </c>
      <c r="P61" s="14">
        <f>P43*Inputs!$H53</f>
        <v>0</v>
      </c>
      <c r="Q61" s="14">
        <f>Q43*Inputs!$H53</f>
        <v>0</v>
      </c>
      <c r="R61" s="14">
        <f>R43*Inputs!$H53</f>
        <v>0</v>
      </c>
      <c r="S61" s="14">
        <f>S43*Inputs!$H53</f>
        <v>0</v>
      </c>
      <c r="T61" s="14">
        <f>T43*Inputs!$H53</f>
        <v>0</v>
      </c>
      <c r="U61" s="14">
        <f>U43*Inputs!$H53</f>
        <v>0</v>
      </c>
      <c r="V61" s="14">
        <f>V43*Inputs!$H53</f>
        <v>0</v>
      </c>
      <c r="W61" s="14">
        <f>W43*Inputs!$H53</f>
        <v>0</v>
      </c>
      <c r="X61" s="187">
        <f>X43*Inputs!$H53</f>
        <v>0</v>
      </c>
      <c r="Y61" s="14">
        <f>Y43*Inputs!$H53</f>
        <v>0</v>
      </c>
      <c r="Z61" s="14">
        <f>Z43*Inputs!$H53</f>
        <v>0</v>
      </c>
      <c r="AA61" s="14">
        <f>AA43*Inputs!$H53</f>
        <v>0</v>
      </c>
      <c r="AB61" s="14">
        <f>AB43*Inputs!$H53</f>
        <v>0</v>
      </c>
      <c r="AC61" s="14">
        <f>AC43*Inputs!$H53</f>
        <v>0</v>
      </c>
      <c r="AD61" s="14">
        <f>AD43*Inputs!$H53</f>
        <v>0</v>
      </c>
      <c r="AE61" s="14">
        <f>AE43*Inputs!$H53</f>
        <v>0</v>
      </c>
      <c r="AF61" s="14">
        <f>AF43*Inputs!$H53</f>
        <v>0</v>
      </c>
      <c r="AG61" s="14">
        <f>AG43*Inputs!$H53</f>
        <v>0</v>
      </c>
      <c r="AH61" s="14">
        <f>AH43*Inputs!$H53</f>
        <v>0</v>
      </c>
    </row>
    <row r="62" spans="1:34" ht="15">
      <c r="A62" s="8" t="s">
        <v>121</v>
      </c>
      <c r="B62" s="34">
        <v>1</v>
      </c>
      <c r="C62" s="331">
        <f>C44*Inputs!$H46</f>
        <v>0</v>
      </c>
      <c r="D62" s="331">
        <f>D44*Inputs!$H46</f>
        <v>0</v>
      </c>
      <c r="E62" s="331">
        <f>E44*Inputs!$H46</f>
        <v>0.44403300900000003</v>
      </c>
      <c r="F62" s="331">
        <f>F44*Inputs!$H46</f>
        <v>0.49204297799999996</v>
      </c>
      <c r="G62" s="331">
        <f>G44*Inputs!$H46</f>
        <v>0.51934686299999999</v>
      </c>
      <c r="H62" s="14">
        <f>H44*Inputs!$H46</f>
        <v>0.58899903300000012</v>
      </c>
      <c r="I62" s="14">
        <f>I44*Inputs!$H46</f>
        <v>0.59689753199999995</v>
      </c>
      <c r="J62" s="14">
        <f>J44*Inputs!$H46</f>
        <v>0.63411654600000011</v>
      </c>
      <c r="K62" s="14">
        <f>K44*Inputs!$H46</f>
        <v>0.65187196200000008</v>
      </c>
      <c r="L62" s="14">
        <f>L44*Inputs!$H46</f>
        <v>0.69536804399999996</v>
      </c>
      <c r="M62" s="14">
        <f>M44*Inputs!$H46</f>
        <v>0.72368005499999999</v>
      </c>
      <c r="N62" s="190">
        <f>N44*Inputs!$H46</f>
        <v>0.76818464099999995</v>
      </c>
      <c r="O62" s="14">
        <f>O44*Inputs!$H46</f>
        <v>0.79718536799999995</v>
      </c>
      <c r="P62" s="14">
        <f>P44*Inputs!$H46</f>
        <v>0.83654613</v>
      </c>
      <c r="Q62" s="14">
        <f>Q44*Inputs!$H46</f>
        <v>0.85933196999999995</v>
      </c>
      <c r="R62" s="14">
        <f>R44*Inputs!$H46</f>
        <v>0.90731793599999988</v>
      </c>
      <c r="S62" s="14">
        <f>S44*Inputs!$H46</f>
        <v>0.93102439500000012</v>
      </c>
      <c r="T62" s="14">
        <f>T44*Inputs!$H46</f>
        <v>0.95372972099999997</v>
      </c>
      <c r="U62" s="14">
        <f>U44*Inputs!$H46</f>
        <v>0.97622261099999996</v>
      </c>
      <c r="V62" s="14">
        <f>V44*Inputs!$H46</f>
        <v>0.99417742200000003</v>
      </c>
      <c r="W62" s="14">
        <f>W44*Inputs!$H46</f>
        <v>1.0144072260000001</v>
      </c>
      <c r="X62" s="187">
        <f>X44*Inputs!$H46</f>
        <v>1.03904829</v>
      </c>
      <c r="Y62" s="14">
        <f>Y44*Inputs!$H46</f>
        <v>1.0580465699999999</v>
      </c>
      <c r="Z62" s="14">
        <f>Z44*Inputs!$H46</f>
        <v>1.0760754690000001</v>
      </c>
      <c r="AA62" s="14">
        <f>AA44*Inputs!$H46</f>
        <v>1.099961478</v>
      </c>
      <c r="AB62" s="14">
        <f>AB44*Inputs!$H46</f>
        <v>1.12478436</v>
      </c>
      <c r="AC62" s="14">
        <f>AC44*Inputs!$H46</f>
        <v>1.1474617140000003</v>
      </c>
      <c r="AD62" s="14">
        <f>AD44*Inputs!$H46</f>
        <v>1.1713998870000002</v>
      </c>
      <c r="AE62" s="14">
        <f>AE44*Inputs!$H46</f>
        <v>1.192199904</v>
      </c>
      <c r="AF62" s="14">
        <f>AF44*Inputs!$H46</f>
        <v>1.2136903380000001</v>
      </c>
      <c r="AG62" s="14">
        <f>AG44*Inputs!$H46</f>
        <v>1.237827528</v>
      </c>
      <c r="AH62" s="14">
        <f>AH44*Inputs!$H46</f>
        <v>1.2582325349999999</v>
      </c>
    </row>
    <row r="63" spans="1:34" ht="15">
      <c r="A63" s="8" t="s">
        <v>50</v>
      </c>
      <c r="B63" s="34">
        <v>1</v>
      </c>
      <c r="C63" s="331">
        <f>C45*Inputs!$H49</f>
        <v>0</v>
      </c>
      <c r="D63" s="331">
        <f>D45*Inputs!$H49</f>
        <v>0</v>
      </c>
      <c r="E63" s="331">
        <f>E45*Inputs!$H49</f>
        <v>2.2500000000000003E-8</v>
      </c>
      <c r="F63" s="331">
        <f>F45*Inputs!$H49</f>
        <v>2.2500000000000003E-8</v>
      </c>
      <c r="G63" s="331">
        <f>G45*Inputs!$H49</f>
        <v>2.2500000000000003E-8</v>
      </c>
      <c r="H63" s="14">
        <f>H45*Inputs!$H49</f>
        <v>2.2500000000000003E-8</v>
      </c>
      <c r="I63" s="14">
        <f>I45*Inputs!$H49</f>
        <v>2.2500000000000003E-8</v>
      </c>
      <c r="J63" s="14">
        <f>J45*Inputs!$H49</f>
        <v>2.2500000000000003E-8</v>
      </c>
      <c r="K63" s="14">
        <f>K45*Inputs!$H49</f>
        <v>2.2500000000000003E-8</v>
      </c>
      <c r="L63" s="14">
        <f>L45*Inputs!$H49</f>
        <v>2.2500000000000003E-8</v>
      </c>
      <c r="M63" s="14">
        <f>M45*Inputs!$H49</f>
        <v>2.2500000000000003E-8</v>
      </c>
      <c r="N63" s="190">
        <f>N45*Inputs!$H49</f>
        <v>2.2500000000000003E-8</v>
      </c>
      <c r="O63" s="14">
        <f>O45*Inputs!$H49</f>
        <v>2.2500000000000003E-8</v>
      </c>
      <c r="P63" s="14">
        <f>P45*Inputs!$H49</f>
        <v>2.2500000000000003E-8</v>
      </c>
      <c r="Q63" s="14">
        <f>Q45*Inputs!$H49</f>
        <v>2.2500000000000003E-8</v>
      </c>
      <c r="R63" s="14">
        <f>R45*Inputs!$H49</f>
        <v>2.2500000000000003E-8</v>
      </c>
      <c r="S63" s="14">
        <f>S45*Inputs!$H49</f>
        <v>2.2500000000000003E-8</v>
      </c>
      <c r="T63" s="14">
        <f>T45*Inputs!$H49</f>
        <v>2.2500000000000003E-8</v>
      </c>
      <c r="U63" s="14">
        <f>U45*Inputs!$H49</f>
        <v>2.2500000000000003E-8</v>
      </c>
      <c r="V63" s="14">
        <f>V45*Inputs!$H49</f>
        <v>2.2500000000000003E-8</v>
      </c>
      <c r="W63" s="14">
        <f>W45*Inputs!$H49</f>
        <v>2.2500000000000003E-8</v>
      </c>
      <c r="X63" s="187">
        <f>X45*Inputs!$H49</f>
        <v>2.2500000000000003E-8</v>
      </c>
      <c r="Y63" s="14">
        <f>Y45*Inputs!$H49</f>
        <v>2.2500000000000003E-8</v>
      </c>
      <c r="Z63" s="14">
        <f>Z45*Inputs!$H49</f>
        <v>2.2500000000000003E-8</v>
      </c>
      <c r="AA63" s="14">
        <f>AA45*Inputs!$H49</f>
        <v>2.2500000000000003E-8</v>
      </c>
      <c r="AB63" s="14">
        <f>AB45*Inputs!$H49</f>
        <v>2.2500000000000003E-8</v>
      </c>
      <c r="AC63" s="14">
        <f>AC45*Inputs!$H49</f>
        <v>2.2500000000000003E-8</v>
      </c>
      <c r="AD63" s="14">
        <f>AD45*Inputs!$H49</f>
        <v>2.2500000000000003E-8</v>
      </c>
      <c r="AE63" s="14">
        <f>AE45*Inputs!$H49</f>
        <v>2.2500000000000003E-8</v>
      </c>
      <c r="AF63" s="14">
        <f>AF45*Inputs!$H49</f>
        <v>2.2500000000000003E-8</v>
      </c>
      <c r="AG63" s="14">
        <f>AG45*Inputs!$H49</f>
        <v>2.2500000000000003E-8</v>
      </c>
      <c r="AH63" s="14">
        <f>AH45*Inputs!$H49</f>
        <v>2.2500000000000003E-8</v>
      </c>
    </row>
    <row r="64" spans="1:34" ht="15">
      <c r="A64" s="8" t="s">
        <v>51</v>
      </c>
      <c r="B64" s="34">
        <v>1</v>
      </c>
      <c r="C64" s="331">
        <f>C46*Inputs!$H52</f>
        <v>1.35E-2</v>
      </c>
      <c r="D64" s="331">
        <f>D46*Inputs!$H52</f>
        <v>1.35E-2</v>
      </c>
      <c r="E64" s="331">
        <f>E46*Inputs!$H52</f>
        <v>1.35E-2</v>
      </c>
      <c r="F64" s="331">
        <f>F46*Inputs!$H52</f>
        <v>1.35E-2</v>
      </c>
      <c r="G64" s="331">
        <f>G46*Inputs!$H52</f>
        <v>1.35E-2</v>
      </c>
      <c r="H64" s="14">
        <f>H46*Inputs!$H52</f>
        <v>1.35E-2</v>
      </c>
      <c r="I64" s="14">
        <f>I46*Inputs!$H52</f>
        <v>1.35E-2</v>
      </c>
      <c r="J64" s="14">
        <f>J46*Inputs!$H52</f>
        <v>1.35E-2</v>
      </c>
      <c r="K64" s="14">
        <f>K46*Inputs!$H52</f>
        <v>1.35E-2</v>
      </c>
      <c r="L64" s="14">
        <f>L46*Inputs!$H52</f>
        <v>1.35E-2</v>
      </c>
      <c r="M64" s="14">
        <f>M46*Inputs!$H52</f>
        <v>1.35E-2</v>
      </c>
      <c r="N64" s="190">
        <f>N46*Inputs!$H52</f>
        <v>1.35E-2</v>
      </c>
      <c r="O64" s="14">
        <f>O46*Inputs!$H52</f>
        <v>1.35E-2</v>
      </c>
      <c r="P64" s="14">
        <f>P46*Inputs!$H52</f>
        <v>1.35E-2</v>
      </c>
      <c r="Q64" s="14">
        <f>Q46*Inputs!$H52</f>
        <v>1.35E-2</v>
      </c>
      <c r="R64" s="14">
        <f>R46*Inputs!$H52</f>
        <v>1.35E-2</v>
      </c>
      <c r="S64" s="14">
        <f>S46*Inputs!$H52</f>
        <v>1.35E-2</v>
      </c>
      <c r="T64" s="14">
        <f>T46*Inputs!$H52</f>
        <v>1.35E-2</v>
      </c>
      <c r="U64" s="14">
        <f>U46*Inputs!$H52</f>
        <v>1.35E-2</v>
      </c>
      <c r="V64" s="14">
        <f>V46*Inputs!$H52</f>
        <v>1.35E-2</v>
      </c>
      <c r="W64" s="14">
        <f>W46*Inputs!$H52</f>
        <v>1.35E-2</v>
      </c>
      <c r="X64" s="187">
        <f>X46*Inputs!$H52</f>
        <v>1.35E-2</v>
      </c>
      <c r="Y64" s="14">
        <f>Y46*Inputs!$H52</f>
        <v>1.35E-2</v>
      </c>
      <c r="Z64" s="14">
        <f>Z46*Inputs!$H52</f>
        <v>1.35E-2</v>
      </c>
      <c r="AA64" s="14">
        <f>AA46*Inputs!$H52</f>
        <v>1.35E-2</v>
      </c>
      <c r="AB64" s="14">
        <f>AB46*Inputs!$H52</f>
        <v>1.35E-2</v>
      </c>
      <c r="AC64" s="14">
        <f>AC46*Inputs!$H52</f>
        <v>1.35E-2</v>
      </c>
      <c r="AD64" s="14">
        <f>AD46*Inputs!$H52</f>
        <v>1.35E-2</v>
      </c>
      <c r="AE64" s="14">
        <f>AE46*Inputs!$H52</f>
        <v>1.35E-2</v>
      </c>
      <c r="AF64" s="14">
        <f>AF46*Inputs!$H52</f>
        <v>1.35E-2</v>
      </c>
      <c r="AG64" s="14">
        <f>AG46*Inputs!$H52</f>
        <v>1.35E-2</v>
      </c>
      <c r="AH64" s="14">
        <f>AH46*Inputs!$H52</f>
        <v>1.35E-2</v>
      </c>
    </row>
    <row r="65" spans="1:34" ht="15">
      <c r="A65" s="8" t="s">
        <v>347</v>
      </c>
      <c r="B65" s="34">
        <v>1</v>
      </c>
      <c r="C65" s="331">
        <f>C47*Inputs!$H54</f>
        <v>0</v>
      </c>
      <c r="D65" s="331">
        <f>D47*Inputs!$H54</f>
        <v>0</v>
      </c>
      <c r="E65" s="331">
        <f>E47*Inputs!$H54</f>
        <v>0.14220000000000002</v>
      </c>
      <c r="F65" s="331">
        <f>F47*Inputs!$H54</f>
        <v>0.14220000000000002</v>
      </c>
      <c r="G65" s="331">
        <f>G47*Inputs!$H54</f>
        <v>0.14220000000000002</v>
      </c>
      <c r="H65" s="14">
        <f>H47*Inputs!$H54</f>
        <v>0.14220000000000002</v>
      </c>
      <c r="I65" s="14">
        <f>I47*Inputs!$H54</f>
        <v>0.14220000000000002</v>
      </c>
      <c r="J65" s="14">
        <f>J47*Inputs!$H54</f>
        <v>0.14220000000000002</v>
      </c>
      <c r="K65" s="14">
        <f>K47*Inputs!$H54</f>
        <v>0.14220000000000002</v>
      </c>
      <c r="L65" s="14">
        <f>L47*Inputs!$H54</f>
        <v>0.14220000000000002</v>
      </c>
      <c r="M65" s="14">
        <f>M47*Inputs!$H54</f>
        <v>0.14220000000000002</v>
      </c>
      <c r="N65" s="190">
        <f>N47*Inputs!$H54</f>
        <v>0.14220000000000002</v>
      </c>
      <c r="O65" s="14">
        <f>O47*Inputs!$H54</f>
        <v>0.14220000000000002</v>
      </c>
      <c r="P65" s="14">
        <f>P47*Inputs!$H54</f>
        <v>0.14220000000000002</v>
      </c>
      <c r="Q65" s="14">
        <f>Q47*Inputs!$H54</f>
        <v>0.14220000000000002</v>
      </c>
      <c r="R65" s="14">
        <f>R47*Inputs!$H54</f>
        <v>0.14220000000000002</v>
      </c>
      <c r="S65" s="14">
        <f>S47*Inputs!$H54</f>
        <v>0.14220000000000002</v>
      </c>
      <c r="T65" s="14">
        <f>T47*Inputs!$H54</f>
        <v>0.14220000000000002</v>
      </c>
      <c r="U65" s="14">
        <f>U47*Inputs!$H54</f>
        <v>0.14220000000000002</v>
      </c>
      <c r="V65" s="14">
        <f>V47*Inputs!$H54</f>
        <v>0.14220000000000002</v>
      </c>
      <c r="W65" s="14">
        <f>W47*Inputs!$H54</f>
        <v>0.14220000000000002</v>
      </c>
      <c r="X65" s="187">
        <f>X47*Inputs!$H54</f>
        <v>0.14220000000000002</v>
      </c>
      <c r="Y65" s="14">
        <f>Y47*Inputs!$H54</f>
        <v>0.14220000000000002</v>
      </c>
      <c r="Z65" s="14">
        <f>Z47*Inputs!$H54</f>
        <v>0.14220000000000002</v>
      </c>
      <c r="AA65" s="14">
        <f>AA47*Inputs!$H54</f>
        <v>0.14220000000000002</v>
      </c>
      <c r="AB65" s="14">
        <f>AB47*Inputs!$H54</f>
        <v>0.14220000000000002</v>
      </c>
      <c r="AC65" s="14">
        <f>AC47*Inputs!$H54</f>
        <v>0.14220000000000002</v>
      </c>
      <c r="AD65" s="14">
        <f>AD47*Inputs!$H54</f>
        <v>0.14220000000000002</v>
      </c>
      <c r="AE65" s="14">
        <f>AE47*Inputs!$H54</f>
        <v>0.14220000000000002</v>
      </c>
      <c r="AF65" s="14">
        <f>AF47*Inputs!$H54</f>
        <v>0.14220000000000002</v>
      </c>
      <c r="AG65" s="14">
        <f>AG47*Inputs!$H54</f>
        <v>0.14220000000000002</v>
      </c>
      <c r="AH65" s="14">
        <f>AH47*Inputs!$H54</f>
        <v>0</v>
      </c>
    </row>
    <row r="66" spans="1:34" ht="15">
      <c r="A66" s="8" t="s">
        <v>348</v>
      </c>
      <c r="B66" s="34">
        <v>1</v>
      </c>
      <c r="C66" s="331">
        <f>C48*Inputs!$H55</f>
        <v>0</v>
      </c>
      <c r="D66" s="331">
        <f>D48*Inputs!$H55</f>
        <v>0</v>
      </c>
      <c r="E66" s="331">
        <f>E48*Inputs!$H55</f>
        <v>2.0700000000000003E-2</v>
      </c>
      <c r="F66" s="331">
        <f>F48*Inputs!$H55</f>
        <v>2.0700000000000003E-2</v>
      </c>
      <c r="G66" s="331">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0">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7">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458.69400000000002</v>
      </c>
      <c r="D68" s="331">
        <f>D50*Inputs!$H57</f>
        <v>626.6880000000001</v>
      </c>
      <c r="E68" s="331">
        <f>E50*Inputs!$H57</f>
        <v>662.85590256000012</v>
      </c>
      <c r="F68" s="331">
        <f>F50*Inputs!$H57</f>
        <v>776.05137360000015</v>
      </c>
      <c r="G68" s="331">
        <f>G50*Inputs!$H57</f>
        <v>822.04753104000019</v>
      </c>
      <c r="H68" s="14">
        <f>H50*Inputs!$H57</f>
        <v>831.49529328000017</v>
      </c>
      <c r="I68" s="14">
        <f>I50*Inputs!$H57</f>
        <v>997.99589088000016</v>
      </c>
      <c r="J68" s="14">
        <f>J50*Inputs!$H57</f>
        <v>1103.6734804800003</v>
      </c>
      <c r="K68" s="14">
        <f>K50*Inputs!$H57</f>
        <v>1104.2545132799999</v>
      </c>
      <c r="L68" s="14">
        <f>L50*Inputs!$H57</f>
        <v>1104.2651376000003</v>
      </c>
      <c r="M68" s="14">
        <f>M50*Inputs!$H57</f>
        <v>1104.2651376000003</v>
      </c>
      <c r="N68" s="190">
        <f>N50*Inputs!$H57</f>
        <v>1104.30085392</v>
      </c>
      <c r="O68" s="14">
        <f>O50*Inputs!$H57</f>
        <v>1104.1527988800001</v>
      </c>
      <c r="P68" s="14">
        <f>P50*Inputs!$H57</f>
        <v>1104.1664832000001</v>
      </c>
      <c r="Q68" s="14">
        <f>Q50*Inputs!$H57</f>
        <v>1104.1238880000003</v>
      </c>
      <c r="R68" s="14">
        <f>R50*Inputs!$H57</f>
        <v>1104.1175232000001</v>
      </c>
      <c r="S68" s="14">
        <f>S50*Inputs!$H57</f>
        <v>1104.0797750400002</v>
      </c>
      <c r="T68" s="14">
        <f>T50*Inputs!$H57</f>
        <v>1104.0609988800002</v>
      </c>
      <c r="U68" s="14">
        <f>U50*Inputs!$H57</f>
        <v>1103.87022624</v>
      </c>
      <c r="V68" s="14">
        <f>V50*Inputs!$H57</f>
        <v>1103.8266028800001</v>
      </c>
      <c r="W68" s="14">
        <f>W50*Inputs!$H57</f>
        <v>1103.7917433600001</v>
      </c>
      <c r="X68" s="187">
        <f>X50*Inputs!$H57</f>
        <v>1103.7099556800003</v>
      </c>
      <c r="Y68" s="14">
        <f>Y50*Inputs!$H57</f>
        <v>1103.7410208000001</v>
      </c>
      <c r="Z68" s="14">
        <f>Z50*Inputs!$H57</f>
        <v>1103.8043995200001</v>
      </c>
      <c r="AA68" s="14">
        <f>AA50*Inputs!$H57</f>
        <v>1104.27975216</v>
      </c>
      <c r="AB68" s="14">
        <f>AB50*Inputs!$H57</f>
        <v>1105.3097726400001</v>
      </c>
      <c r="AC68" s="14">
        <f>AC50*Inputs!$H57</f>
        <v>1106.35078464</v>
      </c>
      <c r="AD68" s="14">
        <f>AD50*Inputs!$H57</f>
        <v>1106.2599148800002</v>
      </c>
      <c r="AE68" s="14">
        <f>AE50*Inputs!$H57</f>
        <v>1108.0496476799999</v>
      </c>
      <c r="AF68" s="14">
        <f>AF50*Inputs!$H57</f>
        <v>1109.2710038400003</v>
      </c>
      <c r="AG68" s="14">
        <f>AG50*Inputs!$H57</f>
        <v>1111.1656334400002</v>
      </c>
      <c r="AH68" s="14">
        <f>AH50*Inputs!$H57</f>
        <v>1114.2339321600002</v>
      </c>
    </row>
    <row r="69" spans="1:34" s="20" customFormat="1" ht="15">
      <c r="A69" s="8" t="s">
        <v>128</v>
      </c>
      <c r="B69" s="38"/>
      <c r="C69" s="334">
        <f t="shared" ref="C69:AH69" si="25">SUMPRODUCT($B60:$B68,C60:C68)</f>
        <v>458.70993000000004</v>
      </c>
      <c r="D69" s="334">
        <f t="shared" si="25"/>
        <v>626.70393000000013</v>
      </c>
      <c r="E69" s="334">
        <f t="shared" si="25"/>
        <v>663.47876559150006</v>
      </c>
      <c r="F69" s="334">
        <f t="shared" si="25"/>
        <v>776.72224660050017</v>
      </c>
      <c r="G69" s="334">
        <f t="shared" si="25"/>
        <v>822.74570792550014</v>
      </c>
      <c r="H69" s="19">
        <f t="shared" si="25"/>
        <v>832.26312233550016</v>
      </c>
      <c r="I69" s="19">
        <f t="shared" si="25"/>
        <v>998.77161843450017</v>
      </c>
      <c r="J69" s="19">
        <f t="shared" si="25"/>
        <v>1104.4864270485002</v>
      </c>
      <c r="K69" s="19">
        <f t="shared" si="25"/>
        <v>1105.0852152644998</v>
      </c>
      <c r="L69" s="19">
        <f t="shared" si="25"/>
        <v>1105.1393356665003</v>
      </c>
      <c r="M69" s="19">
        <f t="shared" si="25"/>
        <v>1105.1676476775003</v>
      </c>
      <c r="N69" s="190">
        <f t="shared" si="25"/>
        <v>1105.2478685835001</v>
      </c>
      <c r="O69" s="19">
        <f t="shared" si="25"/>
        <v>1105.1288142705</v>
      </c>
      <c r="P69" s="19">
        <f t="shared" si="25"/>
        <v>1105.1818593525002</v>
      </c>
      <c r="Q69" s="19">
        <f t="shared" si="25"/>
        <v>1105.1620499925002</v>
      </c>
      <c r="R69" s="19">
        <f t="shared" si="25"/>
        <v>1105.2036711585001</v>
      </c>
      <c r="S69" s="19">
        <f t="shared" si="25"/>
        <v>1105.1896294575001</v>
      </c>
      <c r="T69" s="19">
        <f t="shared" si="25"/>
        <v>1105.1935586235002</v>
      </c>
      <c r="U69" s="19">
        <f t="shared" si="25"/>
        <v>1105.0252788734999</v>
      </c>
      <c r="V69" s="19">
        <f t="shared" si="25"/>
        <v>1104.9996103245001</v>
      </c>
      <c r="W69" s="19">
        <f t="shared" si="25"/>
        <v>1104.9849806085001</v>
      </c>
      <c r="X69" s="182">
        <f t="shared" si="25"/>
        <v>1104.9278339925004</v>
      </c>
      <c r="Y69" s="19">
        <f t="shared" si="25"/>
        <v>1104.9778973925002</v>
      </c>
      <c r="Z69" s="19">
        <f t="shared" si="25"/>
        <v>1105.0593050115001</v>
      </c>
      <c r="AA69" s="19">
        <f t="shared" si="25"/>
        <v>1105.5585436604999</v>
      </c>
      <c r="AB69" s="19">
        <f t="shared" si="25"/>
        <v>1106.6133870225001</v>
      </c>
      <c r="AC69" s="19">
        <f t="shared" si="25"/>
        <v>1107.6770763765001</v>
      </c>
      <c r="AD69" s="19">
        <f t="shared" si="25"/>
        <v>1107.6101447895003</v>
      </c>
      <c r="AE69" s="19">
        <f t="shared" si="25"/>
        <v>1109.4206776064998</v>
      </c>
      <c r="AF69" s="19">
        <f t="shared" si="25"/>
        <v>1110.6635242005002</v>
      </c>
      <c r="AG69" s="19">
        <f t="shared" si="25"/>
        <v>1112.5822909905003</v>
      </c>
      <c r="AH69" s="19">
        <f t="shared" si="25"/>
        <v>1115.5287947175002</v>
      </c>
    </row>
    <row r="70" spans="1:34" s="20" customFormat="1" ht="15">
      <c r="A70" s="27" t="s">
        <v>329</v>
      </c>
      <c r="B70" s="39"/>
      <c r="C70" s="334">
        <f>SUM(C58:C68)</f>
        <v>657.83357999999998</v>
      </c>
      <c r="D70" s="334">
        <f t="shared" ref="D70:AH70" si="26">SUM(D58:D68)</f>
        <v>902.37258000000008</v>
      </c>
      <c r="E70" s="334">
        <f t="shared" si="26"/>
        <v>993.17849959299815</v>
      </c>
      <c r="F70" s="334">
        <f t="shared" si="26"/>
        <v>1062.6852774437066</v>
      </c>
      <c r="G70" s="334">
        <f t="shared" si="26"/>
        <v>1061.9105526345211</v>
      </c>
      <c r="H70" s="19">
        <f t="shared" si="26"/>
        <v>1076.6064597485665</v>
      </c>
      <c r="I70" s="19">
        <f t="shared" si="26"/>
        <v>1248.1472961318802</v>
      </c>
      <c r="J70" s="19">
        <f t="shared" si="26"/>
        <v>1358.9263999774651</v>
      </c>
      <c r="K70" s="19">
        <f t="shared" si="26"/>
        <v>1364.6323627625979</v>
      </c>
      <c r="L70" s="19">
        <f t="shared" si="26"/>
        <v>1364.6866158495004</v>
      </c>
      <c r="M70" s="19">
        <f t="shared" si="26"/>
        <v>1364.7149278605004</v>
      </c>
      <c r="N70" s="182">
        <f t="shared" si="26"/>
        <v>1364.7951487665002</v>
      </c>
      <c r="O70" s="19">
        <f t="shared" si="26"/>
        <v>1364.6760944535004</v>
      </c>
      <c r="P70" s="19">
        <f t="shared" si="26"/>
        <v>1364.7291395355003</v>
      </c>
      <c r="Q70" s="19">
        <f t="shared" si="26"/>
        <v>1364.7093301755006</v>
      </c>
      <c r="R70" s="19">
        <f t="shared" si="26"/>
        <v>1364.7509513415002</v>
      </c>
      <c r="S70" s="19">
        <f t="shared" si="26"/>
        <v>1364.7369096405005</v>
      </c>
      <c r="T70" s="19">
        <f t="shared" si="26"/>
        <v>1364.7408388065003</v>
      </c>
      <c r="U70" s="19">
        <f t="shared" si="26"/>
        <v>1377.9150653339975</v>
      </c>
      <c r="V70" s="19">
        <f t="shared" si="26"/>
        <v>1377.8893967849976</v>
      </c>
      <c r="W70" s="19">
        <f t="shared" si="26"/>
        <v>1377.8747670689975</v>
      </c>
      <c r="X70" s="182">
        <f t="shared" si="26"/>
        <v>1379.2731517155689</v>
      </c>
      <c r="Y70" s="19">
        <f t="shared" si="26"/>
        <v>1379.3232151155689</v>
      </c>
      <c r="Z70" s="19">
        <f t="shared" si="26"/>
        <v>1381.0012865047402</v>
      </c>
      <c r="AA70" s="19">
        <f t="shared" si="26"/>
        <v>1381.5005251537402</v>
      </c>
      <c r="AB70" s="19">
        <f t="shared" si="26"/>
        <v>1382.5553685157402</v>
      </c>
      <c r="AC70" s="19">
        <f t="shared" si="26"/>
        <v>1383.6190578697401</v>
      </c>
      <c r="AD70" s="19">
        <f t="shared" si="26"/>
        <v>1383.5521262827403</v>
      </c>
      <c r="AE70" s="19">
        <f t="shared" si="26"/>
        <v>1385.3626590997401</v>
      </c>
      <c r="AF70" s="19">
        <f t="shared" si="26"/>
        <v>1386.6055056937403</v>
      </c>
      <c r="AG70" s="19">
        <f t="shared" si="26"/>
        <v>1388.5242724837403</v>
      </c>
      <c r="AH70" s="19">
        <f t="shared" si="26"/>
        <v>1391.4707762107403</v>
      </c>
    </row>
    <row r="71" spans="1:34" s="20" customFormat="1" ht="15">
      <c r="A71" s="27" t="s">
        <v>142</v>
      </c>
      <c r="B71" s="39"/>
      <c r="C71" s="334">
        <f>C53*Inputs!$H$60</f>
        <v>2931.0929999999998</v>
      </c>
      <c r="D71" s="334">
        <f>D53*Inputs!$H$60</f>
        <v>2817.7380000000003</v>
      </c>
      <c r="E71" s="334">
        <f>E53*Inputs!$H$60</f>
        <v>2503.9124453272134</v>
      </c>
      <c r="F71" s="334">
        <f>F53*Inputs!$H$60</f>
        <v>2330.753917948025</v>
      </c>
      <c r="G71" s="334">
        <f>G53*Inputs!$H$60</f>
        <v>2409.7644713283753</v>
      </c>
      <c r="H71" s="19">
        <f>H53*Inputs!$H$60</f>
        <v>2398.6859378658355</v>
      </c>
      <c r="I71" s="19">
        <f>I53*Inputs!$H$60</f>
        <v>2462.117642110441</v>
      </c>
      <c r="J71" s="19">
        <f>J53*Inputs!$H$60</f>
        <v>2300.7554895232183</v>
      </c>
      <c r="K71" s="19">
        <f>K53*Inputs!$H$60</f>
        <v>2260.299646608225</v>
      </c>
      <c r="L71" s="19">
        <f>L53*Inputs!$H$60</f>
        <v>2310.7308145784677</v>
      </c>
      <c r="M71" s="19">
        <f>M53*Inputs!$H$60</f>
        <v>2332.5842434012684</v>
      </c>
      <c r="N71" s="190">
        <f>N53*Inputs!$H$60</f>
        <v>2347.2452568462786</v>
      </c>
      <c r="O71" s="19">
        <f>O53*Inputs!$H$60</f>
        <v>2353.4097316539437</v>
      </c>
      <c r="P71" s="19">
        <f>P53*Inputs!$H$60</f>
        <v>2359.8401221365602</v>
      </c>
      <c r="Q71" s="19">
        <f>Q53*Inputs!$H$60</f>
        <v>2373.4402874598709</v>
      </c>
      <c r="R71" s="19">
        <f>R53*Inputs!$H$60</f>
        <v>2384.2386730411854</v>
      </c>
      <c r="S71" s="19">
        <f>S53*Inputs!$H$60</f>
        <v>2390.4350286989761</v>
      </c>
      <c r="T71" s="19">
        <f>T53*Inputs!$H$60</f>
        <v>2391.401314076993</v>
      </c>
      <c r="U71" s="19">
        <f>U53*Inputs!$H$60</f>
        <v>2387.7866700164122</v>
      </c>
      <c r="V71" s="19">
        <f>V53*Inputs!$H$60</f>
        <v>2383.2381524804127</v>
      </c>
      <c r="W71" s="19">
        <f>W53*Inputs!$H$60</f>
        <v>2384.5685805391258</v>
      </c>
      <c r="X71" s="182">
        <f>X53*Inputs!$H$60</f>
        <v>2385.1571282931391</v>
      </c>
      <c r="Y71" s="19">
        <f>Y53*Inputs!$H$60</f>
        <v>2384.6807388214115</v>
      </c>
      <c r="Z71" s="19">
        <f>Z53*Inputs!$H$60</f>
        <v>2382.6680145454616</v>
      </c>
      <c r="AA71" s="19">
        <f>AA53*Inputs!$H$60</f>
        <v>2381.4210856372433</v>
      </c>
      <c r="AB71" s="19">
        <f>AB53*Inputs!$H$60</f>
        <v>2379.1517391046186</v>
      </c>
      <c r="AC71" s="19">
        <f>AC53*Inputs!$H$60</f>
        <v>2377.5983221125161</v>
      </c>
      <c r="AD71" s="19">
        <f>AD53*Inputs!$H$60</f>
        <v>2375.5873503097268</v>
      </c>
      <c r="AE71" s="19">
        <f>AE53*Inputs!$H$60</f>
        <v>2373.520706506024</v>
      </c>
      <c r="AF71" s="19">
        <f>AF53*Inputs!$H$60</f>
        <v>2371.3556055738377</v>
      </c>
      <c r="AG71" s="19">
        <f>AG53*Inputs!$H$60</f>
        <v>2369.4840350451959</v>
      </c>
      <c r="AH71" s="19">
        <f>AH53*Inputs!$H$60</f>
        <v>2367.7495999668163</v>
      </c>
    </row>
    <row r="72" spans="1:34" s="20" customFormat="1" ht="15">
      <c r="A72" s="27" t="s">
        <v>222</v>
      </c>
      <c r="B72" s="39"/>
      <c r="C72" s="334">
        <f>C54*Inputs!$H$61</f>
        <v>1.6830000000000001</v>
      </c>
      <c r="D72" s="334">
        <f>D54*Inputs!$H$61</f>
        <v>1.5840000000000001</v>
      </c>
      <c r="E72" s="334">
        <f>E54*Inputs!$H$61</f>
        <v>0.59887261428939476</v>
      </c>
      <c r="F72" s="334">
        <f>F54*Inputs!$H$61</f>
        <v>1.1440906254313201</v>
      </c>
      <c r="G72" s="334">
        <f>G54*Inputs!$H$61</f>
        <v>0.35882422281395449</v>
      </c>
      <c r="H72" s="19">
        <f>H54*Inputs!$H$61</f>
        <v>0.55045120148051641</v>
      </c>
      <c r="I72" s="19">
        <f>I54*Inputs!$H$61</f>
        <v>0.52168164293754071</v>
      </c>
      <c r="J72" s="19">
        <f>J54*Inputs!$H$61</f>
        <v>1.3530447888502481</v>
      </c>
      <c r="K72" s="19">
        <f>K54*Inputs!$H$61</f>
        <v>1.5497336654085645</v>
      </c>
      <c r="L72" s="19">
        <f>L54*Inputs!$H$61</f>
        <v>1.8368701300535426</v>
      </c>
      <c r="M72" s="19">
        <f>M54*Inputs!$H$61</f>
        <v>1.9832339183725487</v>
      </c>
      <c r="N72" s="190">
        <f>N54*Inputs!$H$61</f>
        <v>2.3376192033462275</v>
      </c>
      <c r="O72" s="19">
        <f>O54*Inputs!$H$61</f>
        <v>2.4454108466221016</v>
      </c>
      <c r="P72" s="19">
        <f>P54*Inputs!$H$61</f>
        <v>2.485723618157742</v>
      </c>
      <c r="Q72" s="19">
        <f>Q54*Inputs!$H$61</f>
        <v>2.6506117212618769</v>
      </c>
      <c r="R72" s="19">
        <f>R54*Inputs!$H$61</f>
        <v>2.7198823100789293</v>
      </c>
      <c r="S72" s="19">
        <f>S54*Inputs!$H$61</f>
        <v>2.7521130879631674</v>
      </c>
      <c r="T72" s="19">
        <f>T54*Inputs!$H$61</f>
        <v>2.9155103620658163</v>
      </c>
      <c r="U72" s="19">
        <f>U54*Inputs!$H$61</f>
        <v>3.0602830573098103</v>
      </c>
      <c r="V72" s="19">
        <f>V54*Inputs!$H$61</f>
        <v>3.1193398427285937</v>
      </c>
      <c r="W72" s="19">
        <f>W54*Inputs!$H$61</f>
        <v>3.2527627598751199</v>
      </c>
      <c r="X72" s="182">
        <f>X54*Inputs!$H$61</f>
        <v>3.3568190392109885</v>
      </c>
      <c r="Y72" s="19">
        <f>Y54*Inputs!$H$61</f>
        <v>3.3970442953554922</v>
      </c>
      <c r="Z72" s="19">
        <f>Z54*Inputs!$H$61</f>
        <v>3.4386104636649653</v>
      </c>
      <c r="AA72" s="19">
        <f>AA54*Inputs!$H$61</f>
        <v>3.4699007146950538</v>
      </c>
      <c r="AB72" s="19">
        <f>AB54*Inputs!$H$61</f>
        <v>3.3941369247874942</v>
      </c>
      <c r="AC72" s="19">
        <f>AC54*Inputs!$H$61</f>
        <v>3.4637493316601833</v>
      </c>
      <c r="AD72" s="19">
        <f>AD54*Inputs!$H$61</f>
        <v>3.4435844627465624</v>
      </c>
      <c r="AE72" s="19">
        <f>AE54*Inputs!$H$61</f>
        <v>3.456335541504528</v>
      </c>
      <c r="AF72" s="19">
        <f>AF54*Inputs!$H$61</f>
        <v>3.5044325818231452</v>
      </c>
      <c r="AG72" s="19">
        <f>AG54*Inputs!$H$61</f>
        <v>3.7023023889606623</v>
      </c>
      <c r="AH72" s="19">
        <f>AH54*Inputs!$H$61</f>
        <v>3.8266051096064899</v>
      </c>
    </row>
    <row r="73" spans="1:34" ht="15">
      <c r="A73" s="27" t="s">
        <v>58</v>
      </c>
      <c r="C73" s="331">
        <f>SUM(C70:C72)</f>
        <v>3590.6095799999998</v>
      </c>
      <c r="D73" s="331">
        <f t="shared" ref="D73:AH73" si="27">SUM(D70:D72)</f>
        <v>3721.6945800000003</v>
      </c>
      <c r="E73" s="331">
        <f t="shared" si="27"/>
        <v>3497.6898175345013</v>
      </c>
      <c r="F73" s="331">
        <f t="shared" si="27"/>
        <v>3394.5832860171631</v>
      </c>
      <c r="G73" s="331">
        <f t="shared" si="27"/>
        <v>3472.0338481857102</v>
      </c>
      <c r="H73" s="14">
        <f t="shared" si="27"/>
        <v>3475.8428488158825</v>
      </c>
      <c r="I73" s="14">
        <f t="shared" si="27"/>
        <v>3710.7866198852589</v>
      </c>
      <c r="J73" s="14">
        <f t="shared" si="27"/>
        <v>3661.0349342895338</v>
      </c>
      <c r="K73" s="14">
        <f t="shared" si="27"/>
        <v>3626.4817430362314</v>
      </c>
      <c r="L73" s="14">
        <f t="shared" si="27"/>
        <v>3677.2543005580219</v>
      </c>
      <c r="M73" s="14">
        <f t="shared" si="27"/>
        <v>3699.2824051801413</v>
      </c>
      <c r="N73" s="190">
        <f t="shared" si="27"/>
        <v>3714.3780248161252</v>
      </c>
      <c r="O73" s="14">
        <f t="shared" si="27"/>
        <v>3720.5312369540661</v>
      </c>
      <c r="P73" s="14">
        <f t="shared" si="27"/>
        <v>3727.0549852902186</v>
      </c>
      <c r="Q73" s="14">
        <f t="shared" si="27"/>
        <v>3740.8002293566333</v>
      </c>
      <c r="R73" s="14">
        <f t="shared" si="27"/>
        <v>3751.7095066927645</v>
      </c>
      <c r="S73" s="14">
        <f t="shared" si="27"/>
        <v>3757.9240514274397</v>
      </c>
      <c r="T73" s="14">
        <f t="shared" si="27"/>
        <v>3759.0576632455595</v>
      </c>
      <c r="U73" s="14">
        <f t="shared" si="27"/>
        <v>3768.7620184077196</v>
      </c>
      <c r="V73" s="14">
        <f t="shared" si="27"/>
        <v>3764.2468891081389</v>
      </c>
      <c r="W73" s="14">
        <f t="shared" si="27"/>
        <v>3765.6961103679982</v>
      </c>
      <c r="X73" s="187">
        <f t="shared" si="27"/>
        <v>3767.7870990479191</v>
      </c>
      <c r="Y73" s="14">
        <f t="shared" si="27"/>
        <v>3767.400998232336</v>
      </c>
      <c r="Z73" s="14">
        <f t="shared" si="27"/>
        <v>3767.1079115138668</v>
      </c>
      <c r="AA73" s="14">
        <f t="shared" si="27"/>
        <v>3766.3915115056784</v>
      </c>
      <c r="AB73" s="14">
        <f t="shared" si="27"/>
        <v>3765.1012445451461</v>
      </c>
      <c r="AC73" s="14">
        <f t="shared" si="27"/>
        <v>3764.6811293139162</v>
      </c>
      <c r="AD73" s="14">
        <f t="shared" si="27"/>
        <v>3762.5830610552134</v>
      </c>
      <c r="AE73" s="14">
        <f t="shared" si="27"/>
        <v>3762.3397011472684</v>
      </c>
      <c r="AF73" s="14">
        <f t="shared" si="27"/>
        <v>3761.465543849401</v>
      </c>
      <c r="AG73" s="14">
        <f t="shared" si="27"/>
        <v>3761.7106099178968</v>
      </c>
      <c r="AH73" s="14">
        <f t="shared" si="27"/>
        <v>3763.0469812871629</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activeCell="S17" sqref="S17"/>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31"/>
      <c r="B1" s="531"/>
      <c r="C1" s="531"/>
      <c r="D1" s="531"/>
      <c r="E1" s="531"/>
      <c r="F1" s="531"/>
      <c r="G1" s="531"/>
      <c r="H1" s="531"/>
      <c r="I1" s="531"/>
      <c r="J1" s="531"/>
      <c r="K1" s="531"/>
      <c r="L1" s="531"/>
      <c r="M1" s="531"/>
      <c r="N1" s="531"/>
      <c r="O1" s="531"/>
      <c r="P1" s="531"/>
    </row>
    <row r="2" spans="1:16">
      <c r="A2" s="531"/>
      <c r="B2" s="531"/>
      <c r="C2" s="531"/>
      <c r="D2" s="531"/>
      <c r="E2" s="531"/>
      <c r="F2" s="531"/>
      <c r="G2" s="531"/>
      <c r="H2" s="531"/>
      <c r="I2" s="531"/>
      <c r="J2" s="531"/>
      <c r="K2" s="531"/>
      <c r="L2" s="531"/>
      <c r="M2" s="531"/>
      <c r="N2" s="531"/>
      <c r="O2" s="531"/>
      <c r="P2" s="531"/>
    </row>
    <row r="3" spans="1:16">
      <c r="A3" s="531"/>
      <c r="B3" s="531"/>
      <c r="C3" s="531"/>
      <c r="D3" s="531"/>
      <c r="E3" s="531"/>
      <c r="F3" s="531"/>
      <c r="G3" s="531"/>
      <c r="H3" s="531"/>
      <c r="I3" s="531"/>
      <c r="J3" s="531"/>
      <c r="K3" s="531"/>
      <c r="L3" s="531"/>
      <c r="M3" s="531"/>
      <c r="N3" s="531"/>
      <c r="O3" s="531"/>
      <c r="P3" s="531"/>
    </row>
    <row r="4" spans="1:16">
      <c r="A4" s="531"/>
      <c r="B4" s="531"/>
      <c r="C4" s="531"/>
      <c r="D4" s="531"/>
      <c r="E4" s="531"/>
      <c r="F4" s="531"/>
      <c r="G4" s="531"/>
      <c r="H4" s="531"/>
      <c r="I4" s="531"/>
      <c r="J4" s="531"/>
      <c r="K4" s="531"/>
      <c r="L4" s="531"/>
      <c r="M4" s="531"/>
      <c r="N4" s="531"/>
      <c r="O4" s="531"/>
      <c r="P4" s="531"/>
    </row>
    <row r="5" spans="1:16">
      <c r="A5" s="531"/>
      <c r="B5" s="531"/>
      <c r="C5" s="531"/>
      <c r="D5" s="531"/>
      <c r="E5" s="531"/>
      <c r="F5" s="531"/>
      <c r="G5" s="531"/>
      <c r="H5" s="531"/>
      <c r="I5" s="531"/>
      <c r="J5" s="531"/>
      <c r="K5" s="531"/>
      <c r="L5" s="531"/>
      <c r="M5" s="531"/>
      <c r="N5" s="531"/>
      <c r="O5" s="531"/>
      <c r="P5" s="531"/>
    </row>
    <row r="6" spans="1:16">
      <c r="A6" s="531"/>
      <c r="B6" s="531"/>
      <c r="C6" s="531"/>
      <c r="D6" s="531"/>
      <c r="E6" s="531"/>
      <c r="F6" s="531"/>
      <c r="G6" s="531"/>
      <c r="H6" s="531"/>
      <c r="I6" s="531"/>
      <c r="J6" s="531"/>
      <c r="K6" s="531"/>
      <c r="L6" s="531"/>
      <c r="M6" s="531"/>
      <c r="N6" s="531"/>
      <c r="O6" s="531"/>
      <c r="P6" s="531"/>
    </row>
    <row r="7" spans="1:16">
      <c r="A7" s="531"/>
      <c r="B7" s="531"/>
      <c r="C7" s="531"/>
      <c r="D7" s="531"/>
      <c r="E7" s="531"/>
      <c r="F7" s="531"/>
      <c r="G7" s="531"/>
      <c r="H7" s="531"/>
      <c r="I7" s="531"/>
      <c r="J7" s="531"/>
      <c r="K7" s="531"/>
      <c r="L7" s="531"/>
      <c r="M7" s="531"/>
      <c r="N7" s="531"/>
      <c r="O7" s="531"/>
      <c r="P7" s="531"/>
    </row>
    <row r="8" spans="1:16">
      <c r="A8" s="531"/>
      <c r="B8" s="531"/>
      <c r="C8" s="531"/>
      <c r="D8" s="531"/>
      <c r="E8" s="531"/>
      <c r="F8" s="531"/>
      <c r="G8" s="531"/>
      <c r="H8" s="531"/>
      <c r="I8" s="531"/>
      <c r="J8" s="531"/>
      <c r="K8" s="531"/>
      <c r="L8" s="531"/>
      <c r="M8" s="531"/>
      <c r="N8" s="531"/>
      <c r="O8" s="531"/>
      <c r="P8" s="531"/>
    </row>
    <row r="9" spans="1:16" ht="2.25" customHeight="1">
      <c r="A9" s="531"/>
      <c r="B9" s="531"/>
      <c r="C9" s="531"/>
      <c r="D9" s="531"/>
      <c r="E9" s="531"/>
      <c r="F9" s="531"/>
      <c r="G9" s="531"/>
      <c r="H9" s="531"/>
      <c r="I9" s="531"/>
      <c r="J9" s="531"/>
      <c r="K9" s="531"/>
      <c r="L9" s="531"/>
      <c r="M9" s="531"/>
      <c r="N9" s="531"/>
      <c r="O9" s="531"/>
      <c r="P9" s="531"/>
    </row>
    <row r="10" spans="1:16" hidden="1">
      <c r="A10" s="531"/>
      <c r="B10" s="531"/>
      <c r="C10" s="531"/>
      <c r="D10" s="531"/>
      <c r="E10" s="531"/>
      <c r="F10" s="531"/>
      <c r="G10" s="531"/>
      <c r="H10" s="531"/>
      <c r="I10" s="531"/>
      <c r="J10" s="531"/>
      <c r="K10" s="531"/>
      <c r="L10" s="531"/>
      <c r="M10" s="531"/>
      <c r="N10" s="531"/>
      <c r="O10" s="531"/>
      <c r="P10" s="531"/>
    </row>
    <row r="11" spans="1:16">
      <c r="A11" s="532" t="s">
        <v>212</v>
      </c>
      <c r="B11" s="534">
        <v>2000</v>
      </c>
      <c r="C11" s="536" t="s">
        <v>219</v>
      </c>
      <c r="D11" s="536" t="s">
        <v>556</v>
      </c>
      <c r="E11" s="539" t="s">
        <v>213</v>
      </c>
      <c r="F11" s="540"/>
      <c r="G11" s="534"/>
      <c r="H11" s="543" t="s">
        <v>557</v>
      </c>
      <c r="I11" s="544"/>
      <c r="J11" s="544"/>
      <c r="K11" s="544"/>
      <c r="L11" s="544"/>
      <c r="M11" s="544"/>
      <c r="N11" s="544"/>
      <c r="O11" s="545"/>
    </row>
    <row r="12" spans="1:16">
      <c r="A12" s="533"/>
      <c r="B12" s="535"/>
      <c r="C12" s="537"/>
      <c r="D12" s="537"/>
      <c r="E12" s="541"/>
      <c r="F12" s="542"/>
      <c r="G12" s="535"/>
      <c r="H12" s="542" t="s">
        <v>214</v>
      </c>
      <c r="I12" s="535"/>
      <c r="J12" s="541" t="s">
        <v>215</v>
      </c>
      <c r="K12" s="535"/>
      <c r="L12" s="541" t="s">
        <v>216</v>
      </c>
      <c r="M12" s="542"/>
      <c r="N12" s="542"/>
      <c r="O12" s="535"/>
    </row>
    <row r="13" spans="1:16" ht="67" thickBot="1">
      <c r="A13" s="211" t="s">
        <v>217</v>
      </c>
      <c r="B13" s="211" t="s">
        <v>218</v>
      </c>
      <c r="C13" s="538"/>
      <c r="D13" s="538"/>
      <c r="E13" s="411" t="s">
        <v>558</v>
      </c>
      <c r="F13" s="435" t="s">
        <v>559</v>
      </c>
      <c r="G13" s="212" t="s">
        <v>308</v>
      </c>
      <c r="H13" s="423" t="s">
        <v>360</v>
      </c>
      <c r="I13" s="435" t="s">
        <v>560</v>
      </c>
      <c r="J13" s="411" t="s">
        <v>360</v>
      </c>
      <c r="K13" s="435" t="s">
        <v>560</v>
      </c>
      <c r="L13" s="411" t="s">
        <v>360</v>
      </c>
      <c r="M13" s="435" t="s">
        <v>560</v>
      </c>
      <c r="N13" s="212" t="s">
        <v>58</v>
      </c>
      <c r="O13" s="212" t="s">
        <v>561</v>
      </c>
    </row>
    <row r="14" spans="1:16" ht="13" thickTop="1">
      <c r="A14" s="443" t="s">
        <v>562</v>
      </c>
      <c r="B14" s="443" t="s">
        <v>563</v>
      </c>
      <c r="C14" s="444">
        <v>0.85</v>
      </c>
      <c r="D14" s="445">
        <v>40</v>
      </c>
      <c r="E14" s="433">
        <v>4.29</v>
      </c>
      <c r="F14" s="446">
        <v>1.53</v>
      </c>
      <c r="G14" s="434">
        <v>0</v>
      </c>
      <c r="H14" s="447">
        <f t="shared" ref="H14:H32" si="0">E14/D14</f>
        <v>0.10725</v>
      </c>
      <c r="I14" s="434">
        <f t="shared" ref="I14:I32" si="1">F14+G14*8760/1000*C14</f>
        <v>1.53</v>
      </c>
      <c r="J14" s="448">
        <f t="shared" ref="J14:J32" si="2">H14/C14</f>
        <v>0.12617647058823531</v>
      </c>
      <c r="K14" s="434">
        <f t="shared" ref="K14:K32" si="3">I14/C14</f>
        <v>1.8</v>
      </c>
      <c r="L14" s="448">
        <f t="shared" ref="L14:M31" si="4">J14/8760*1000</f>
        <v>1.4403706688154716E-2</v>
      </c>
      <c r="M14" s="434">
        <f t="shared" si="4"/>
        <v>0.20547945205479454</v>
      </c>
      <c r="N14" s="449">
        <f t="shared" ref="N14:N32" si="5">SUM(L14:M14)</f>
        <v>0.21988315874294925</v>
      </c>
      <c r="O14" s="554">
        <f>AVERAGE(N14:N15)</f>
        <v>0.20532702121944668</v>
      </c>
    </row>
    <row r="15" spans="1:16" ht="13" thickBot="1">
      <c r="A15" s="223" t="s">
        <v>564</v>
      </c>
      <c r="B15" s="223" t="s">
        <v>565</v>
      </c>
      <c r="C15" s="224">
        <v>0.85</v>
      </c>
      <c r="D15" s="225">
        <v>40</v>
      </c>
      <c r="E15" s="226">
        <v>8.5</v>
      </c>
      <c r="F15" s="432">
        <v>0.24</v>
      </c>
      <c r="G15" s="525">
        <v>0.13</v>
      </c>
      <c r="H15" s="414">
        <f t="shared" si="0"/>
        <v>0.21249999999999999</v>
      </c>
      <c r="I15" s="525">
        <f t="shared" si="1"/>
        <v>1.2079800000000001</v>
      </c>
      <c r="J15" s="427">
        <f t="shared" si="2"/>
        <v>0.25</v>
      </c>
      <c r="K15" s="525">
        <f t="shared" si="3"/>
        <v>1.4211529411764707</v>
      </c>
      <c r="L15" s="427">
        <f t="shared" si="4"/>
        <v>2.8538812785388126E-2</v>
      </c>
      <c r="M15" s="525">
        <f t="shared" si="4"/>
        <v>0.16223207091055603</v>
      </c>
      <c r="N15" s="419">
        <f t="shared" si="5"/>
        <v>0.19077088369594414</v>
      </c>
      <c r="O15" s="555"/>
    </row>
    <row r="16" spans="1:16">
      <c r="A16" s="227" t="s">
        <v>566</v>
      </c>
      <c r="B16" s="227" t="s">
        <v>567</v>
      </c>
      <c r="C16" s="228">
        <v>0.9</v>
      </c>
      <c r="D16" s="229">
        <v>40</v>
      </c>
      <c r="E16" s="230">
        <f>36000/5600</f>
        <v>6.4285714285714288</v>
      </c>
      <c r="F16" s="464">
        <f>10000/5600</f>
        <v>1.7857142857142858</v>
      </c>
      <c r="G16" s="230">
        <v>0</v>
      </c>
      <c r="H16" s="412">
        <f t="shared" si="0"/>
        <v>0.16071428571428573</v>
      </c>
      <c r="I16" s="526">
        <f t="shared" si="1"/>
        <v>1.7857142857142858</v>
      </c>
      <c r="J16" s="428">
        <f t="shared" si="2"/>
        <v>0.17857142857142858</v>
      </c>
      <c r="K16" s="526">
        <f t="shared" si="3"/>
        <v>1.9841269841269842</v>
      </c>
      <c r="L16" s="428">
        <f t="shared" si="4"/>
        <v>2.0384866275277233E-2</v>
      </c>
      <c r="M16" s="526">
        <f t="shared" si="4"/>
        <v>0.22649851416974706</v>
      </c>
      <c r="N16" s="421">
        <f t="shared" si="5"/>
        <v>0.24688338044502428</v>
      </c>
      <c r="O16" s="556">
        <f>AVERAGE(N16:N18)</f>
        <v>0.24750247638375492</v>
      </c>
    </row>
    <row r="17" spans="1:15">
      <c r="A17" s="217" t="s">
        <v>568</v>
      </c>
      <c r="B17" s="217" t="s">
        <v>312</v>
      </c>
      <c r="C17" s="218">
        <v>0.9</v>
      </c>
      <c r="D17" s="219">
        <v>40</v>
      </c>
      <c r="E17" s="216">
        <v>17.5</v>
      </c>
      <c r="F17" s="524">
        <v>1.7</v>
      </c>
      <c r="G17" s="216">
        <v>0</v>
      </c>
      <c r="H17" s="523">
        <f>E17/D17</f>
        <v>0.4375</v>
      </c>
      <c r="I17" s="527">
        <f>F17+G17*8760/1000*C17</f>
        <v>1.7</v>
      </c>
      <c r="J17" s="429">
        <f>H17/C17</f>
        <v>0.4861111111111111</v>
      </c>
      <c r="K17" s="527">
        <f>I17/C17</f>
        <v>1.8888888888888888</v>
      </c>
      <c r="L17" s="429">
        <f t="shared" si="4"/>
        <v>5.5492135971588023E-2</v>
      </c>
      <c r="M17" s="527">
        <f t="shared" si="4"/>
        <v>0.21562658548959918</v>
      </c>
      <c r="N17" s="420">
        <f>SUM(L17:M17)</f>
        <v>0.27111872146118721</v>
      </c>
      <c r="O17" s="557"/>
    </row>
    <row r="18" spans="1:15" ht="13" thickBot="1">
      <c r="A18" s="451" t="s">
        <v>569</v>
      </c>
      <c r="B18" s="451" t="s">
        <v>563</v>
      </c>
      <c r="C18" s="452">
        <v>0.9</v>
      </c>
      <c r="D18" s="453">
        <v>40</v>
      </c>
      <c r="E18" s="438">
        <v>4</v>
      </c>
      <c r="F18" s="450">
        <v>1.67</v>
      </c>
      <c r="G18" s="438">
        <v>0</v>
      </c>
      <c r="H18" s="454">
        <f>E18/D18</f>
        <v>0.1</v>
      </c>
      <c r="I18" s="439">
        <f>F18+G18*8760/1000*C18</f>
        <v>1.67</v>
      </c>
      <c r="J18" s="441">
        <f>H18/C18</f>
        <v>0.11111111111111112</v>
      </c>
      <c r="K18" s="439">
        <f>I18/C18</f>
        <v>1.8555555555555554</v>
      </c>
      <c r="L18" s="441">
        <f t="shared" si="4"/>
        <v>1.2683916793505836E-2</v>
      </c>
      <c r="M18" s="439">
        <f t="shared" si="4"/>
        <v>0.21182141045154743</v>
      </c>
      <c r="N18" s="442">
        <f>SUM(L18:M18)</f>
        <v>0.22450532724505326</v>
      </c>
      <c r="O18" s="555"/>
    </row>
    <row r="19" spans="1:15">
      <c r="A19" s="227" t="s">
        <v>570</v>
      </c>
      <c r="B19" s="227" t="s">
        <v>312</v>
      </c>
      <c r="C19" s="228">
        <v>0.85</v>
      </c>
      <c r="D19" s="229">
        <v>40</v>
      </c>
      <c r="E19" s="230">
        <v>21.3</v>
      </c>
      <c r="F19" s="464">
        <v>7.8</v>
      </c>
      <c r="G19" s="230">
        <v>0</v>
      </c>
      <c r="H19" s="412">
        <f>E19/D19</f>
        <v>0.53249999999999997</v>
      </c>
      <c r="I19" s="526">
        <f>F19+G19*8760/1000*C19</f>
        <v>7.8</v>
      </c>
      <c r="J19" s="428">
        <f>H19/C19</f>
        <v>0.62647058823529411</v>
      </c>
      <c r="K19" s="526">
        <f>I19/C19</f>
        <v>9.1764705882352935</v>
      </c>
      <c r="L19" s="428">
        <f t="shared" si="4"/>
        <v>7.1514907332796127E-2</v>
      </c>
      <c r="M19" s="526">
        <f t="shared" si="4"/>
        <v>1.0475423045930701</v>
      </c>
      <c r="N19" s="421">
        <f>SUM(L19:M19)</f>
        <v>1.1190572119258662</v>
      </c>
      <c r="O19" s="556">
        <f>AVERAGE(N19:N20)</f>
        <v>0.71885911899006172</v>
      </c>
    </row>
    <row r="20" spans="1:15" ht="13" thickBot="1">
      <c r="A20" s="451" t="s">
        <v>571</v>
      </c>
      <c r="B20" s="451" t="s">
        <v>563</v>
      </c>
      <c r="C20" s="452">
        <v>0.85</v>
      </c>
      <c r="D20" s="453">
        <v>40</v>
      </c>
      <c r="E20" s="438">
        <v>3.71</v>
      </c>
      <c r="F20" s="450">
        <v>2.2799999999999998</v>
      </c>
      <c r="G20" s="438">
        <v>0</v>
      </c>
      <c r="H20" s="454">
        <f t="shared" si="0"/>
        <v>9.2749999999999999E-2</v>
      </c>
      <c r="I20" s="439">
        <f t="shared" si="1"/>
        <v>2.2799999999999998</v>
      </c>
      <c r="J20" s="441">
        <f t="shared" si="2"/>
        <v>0.10911764705882353</v>
      </c>
      <c r="K20" s="439">
        <f t="shared" si="3"/>
        <v>2.6823529411764704</v>
      </c>
      <c r="L20" s="441">
        <f t="shared" si="4"/>
        <v>1.2456352403975288E-2</v>
      </c>
      <c r="M20" s="439">
        <f t="shared" si="4"/>
        <v>0.30620467365028203</v>
      </c>
      <c r="N20" s="442">
        <f t="shared" si="5"/>
        <v>0.31866102605425733</v>
      </c>
      <c r="O20" s="555"/>
    </row>
    <row r="21" spans="1:15" ht="13" thickBot="1">
      <c r="A21" s="231" t="s">
        <v>572</v>
      </c>
      <c r="B21" s="231" t="s">
        <v>563</v>
      </c>
      <c r="C21" s="232">
        <v>0.55000000000000004</v>
      </c>
      <c r="D21" s="233">
        <v>40</v>
      </c>
      <c r="E21" s="234">
        <v>5.71</v>
      </c>
      <c r="F21" s="462">
        <v>1.1399999999999999</v>
      </c>
      <c r="G21" s="234">
        <v>0</v>
      </c>
      <c r="H21" s="413">
        <f t="shared" si="0"/>
        <v>0.14274999999999999</v>
      </c>
      <c r="I21" s="235">
        <f t="shared" si="1"/>
        <v>1.1399999999999999</v>
      </c>
      <c r="J21" s="430">
        <f t="shared" si="2"/>
        <v>0.25954545454545452</v>
      </c>
      <c r="K21" s="235">
        <f t="shared" si="3"/>
        <v>2.0727272727272723</v>
      </c>
      <c r="L21" s="430">
        <f t="shared" si="4"/>
        <v>2.9628476546284761E-2</v>
      </c>
      <c r="M21" s="235">
        <f t="shared" si="4"/>
        <v>0.236612702366127</v>
      </c>
      <c r="N21" s="422">
        <f t="shared" si="5"/>
        <v>0.26624117891241178</v>
      </c>
      <c r="O21" s="235">
        <f>N21</f>
        <v>0.26624117891241178</v>
      </c>
    </row>
    <row r="22" spans="1:15">
      <c r="A22" s="236" t="s">
        <v>309</v>
      </c>
      <c r="B22" s="236" t="s">
        <v>573</v>
      </c>
      <c r="C22" s="237">
        <v>0.2</v>
      </c>
      <c r="D22" s="238">
        <v>25</v>
      </c>
      <c r="E22" s="239">
        <v>37</v>
      </c>
      <c r="F22" s="468">
        <v>1</v>
      </c>
      <c r="G22" s="239">
        <v>0</v>
      </c>
      <c r="H22" s="424">
        <f>E22/D22</f>
        <v>1.48</v>
      </c>
      <c r="I22" s="528">
        <f>F22+G22*8760/1000*C22</f>
        <v>1</v>
      </c>
      <c r="J22" s="431">
        <f>H22/C22</f>
        <v>7.3999999999999995</v>
      </c>
      <c r="K22" s="528">
        <f>I22/C22</f>
        <v>5</v>
      </c>
      <c r="L22" s="431">
        <f>J22/8760*1000</f>
        <v>0.84474885844748848</v>
      </c>
      <c r="M22" s="528">
        <f>K22/8760*1000</f>
        <v>0.57077625570776247</v>
      </c>
      <c r="N22" s="426">
        <f>SUM(L22:M22)</f>
        <v>1.415525114155251</v>
      </c>
      <c r="O22" s="561">
        <f>N39</f>
        <v>0.79313246811604099</v>
      </c>
    </row>
    <row r="23" spans="1:15">
      <c r="A23" s="455" t="s">
        <v>310</v>
      </c>
      <c r="B23" s="455" t="s">
        <v>221</v>
      </c>
      <c r="C23" s="456">
        <v>0.2</v>
      </c>
      <c r="D23" s="457">
        <v>25</v>
      </c>
      <c r="E23" s="458">
        <v>32.340000000000003</v>
      </c>
      <c r="F23" s="467">
        <v>0.37</v>
      </c>
      <c r="G23" s="458">
        <v>0</v>
      </c>
      <c r="H23" s="459">
        <f t="shared" si="0"/>
        <v>1.2936000000000001</v>
      </c>
      <c r="I23" s="522">
        <f t="shared" si="1"/>
        <v>0.37</v>
      </c>
      <c r="J23" s="460">
        <f t="shared" si="2"/>
        <v>6.468</v>
      </c>
      <c r="K23" s="522">
        <f t="shared" si="3"/>
        <v>1.8499999999999999</v>
      </c>
      <c r="L23" s="460">
        <f t="shared" si="4"/>
        <v>0.73835616438356166</v>
      </c>
      <c r="M23" s="522">
        <f t="shared" si="4"/>
        <v>0.21118721461187212</v>
      </c>
      <c r="N23" s="461">
        <f t="shared" si="5"/>
        <v>0.94954337899543373</v>
      </c>
      <c r="O23" s="562"/>
    </row>
    <row r="24" spans="1:15" ht="13" thickBot="1">
      <c r="A24" s="451" t="s">
        <v>311</v>
      </c>
      <c r="B24" s="451" t="s">
        <v>563</v>
      </c>
      <c r="C24" s="452">
        <v>0.2</v>
      </c>
      <c r="D24" s="451">
        <v>25</v>
      </c>
      <c r="E24" s="438">
        <v>7.14</v>
      </c>
      <c r="F24" s="450">
        <v>0.12</v>
      </c>
      <c r="G24" s="465">
        <v>0</v>
      </c>
      <c r="H24" s="454">
        <f t="shared" si="0"/>
        <v>0.28559999999999997</v>
      </c>
      <c r="I24" s="438">
        <f t="shared" si="1"/>
        <v>0.12</v>
      </c>
      <c r="J24" s="450">
        <f t="shared" si="2"/>
        <v>1.4279999999999997</v>
      </c>
      <c r="K24" s="438">
        <f t="shared" si="3"/>
        <v>0.6</v>
      </c>
      <c r="L24" s="450">
        <f t="shared" si="4"/>
        <v>0.16301369863013696</v>
      </c>
      <c r="M24" s="438">
        <f t="shared" si="4"/>
        <v>6.8493150684931503E-2</v>
      </c>
      <c r="N24" s="466">
        <f t="shared" si="5"/>
        <v>0.23150684931506846</v>
      </c>
      <c r="O24" s="563"/>
    </row>
    <row r="25" spans="1:15">
      <c r="A25" s="227" t="s">
        <v>434</v>
      </c>
      <c r="B25" s="227" t="s">
        <v>438</v>
      </c>
      <c r="C25" s="240">
        <v>0.4</v>
      </c>
      <c r="D25" s="229">
        <v>25</v>
      </c>
      <c r="E25" s="230">
        <f>10310/1000</f>
        <v>10.31</v>
      </c>
      <c r="F25" s="464">
        <v>1</v>
      </c>
      <c r="G25" s="230">
        <v>0</v>
      </c>
      <c r="H25" s="424">
        <f t="shared" si="0"/>
        <v>0.41240000000000004</v>
      </c>
      <c r="I25" s="528">
        <f t="shared" si="1"/>
        <v>1</v>
      </c>
      <c r="J25" s="431">
        <f t="shared" si="2"/>
        <v>1.0310000000000001</v>
      </c>
      <c r="K25" s="528">
        <f t="shared" si="3"/>
        <v>2.5</v>
      </c>
      <c r="L25" s="431">
        <f t="shared" si="4"/>
        <v>0.11769406392694066</v>
      </c>
      <c r="M25" s="528">
        <f t="shared" si="4"/>
        <v>0.28538812785388123</v>
      </c>
      <c r="N25" s="426">
        <f t="shared" si="5"/>
        <v>0.40308219178082189</v>
      </c>
      <c r="O25" s="556">
        <f>AVERAGE(N25:N26,N27)</f>
        <v>0.23028919330289191</v>
      </c>
    </row>
    <row r="26" spans="1:15">
      <c r="A26" s="214" t="s">
        <v>435</v>
      </c>
      <c r="B26" s="214" t="s">
        <v>437</v>
      </c>
      <c r="C26" s="220">
        <v>0.4</v>
      </c>
      <c r="D26" s="215">
        <v>25</v>
      </c>
      <c r="E26" s="216">
        <v>4.5</v>
      </c>
      <c r="F26" s="524">
        <v>0.38</v>
      </c>
      <c r="G26" s="527">
        <v>0</v>
      </c>
      <c r="H26" s="415">
        <f t="shared" si="0"/>
        <v>0.18</v>
      </c>
      <c r="I26" s="527">
        <f t="shared" si="1"/>
        <v>0.38</v>
      </c>
      <c r="J26" s="429">
        <f t="shared" si="2"/>
        <v>0.44999999999999996</v>
      </c>
      <c r="K26" s="527">
        <f t="shared" si="3"/>
        <v>0.95</v>
      </c>
      <c r="L26" s="429">
        <f t="shared" si="4"/>
        <v>5.1369863013698627E-2</v>
      </c>
      <c r="M26" s="527">
        <f t="shared" si="4"/>
        <v>0.10844748858447488</v>
      </c>
      <c r="N26" s="420">
        <f t="shared" si="5"/>
        <v>0.15981735159817351</v>
      </c>
      <c r="O26" s="557"/>
    </row>
    <row r="27" spans="1:15" ht="13" thickBot="1">
      <c r="A27" s="436" t="s">
        <v>436</v>
      </c>
      <c r="B27" s="436" t="s">
        <v>563</v>
      </c>
      <c r="C27" s="463">
        <v>0.4</v>
      </c>
      <c r="D27" s="436">
        <v>25</v>
      </c>
      <c r="E27" s="439">
        <v>5.71</v>
      </c>
      <c r="F27" s="441">
        <v>0.22</v>
      </c>
      <c r="G27" s="465">
        <v>0</v>
      </c>
      <c r="H27" s="440">
        <f t="shared" si="0"/>
        <v>0.22839999999999999</v>
      </c>
      <c r="I27" s="439">
        <f t="shared" si="1"/>
        <v>0.22</v>
      </c>
      <c r="J27" s="441">
        <f t="shared" si="2"/>
        <v>0.57099999999999995</v>
      </c>
      <c r="K27" s="439">
        <f t="shared" si="3"/>
        <v>0.54999999999999993</v>
      </c>
      <c r="L27" s="441">
        <f t="shared" si="4"/>
        <v>6.5182648401826485E-2</v>
      </c>
      <c r="M27" s="439">
        <f t="shared" si="4"/>
        <v>6.2785388127853878E-2</v>
      </c>
      <c r="N27" s="442">
        <f t="shared" si="5"/>
        <v>0.12796803652968036</v>
      </c>
      <c r="O27" s="555"/>
    </row>
    <row r="28" spans="1:15">
      <c r="A28" s="241" t="s">
        <v>574</v>
      </c>
      <c r="B28" s="241" t="s">
        <v>362</v>
      </c>
      <c r="C28" s="240">
        <v>0.35</v>
      </c>
      <c r="D28" s="229">
        <v>25</v>
      </c>
      <c r="E28" s="230">
        <v>10.1</v>
      </c>
      <c r="F28" s="464">
        <v>0.4</v>
      </c>
      <c r="G28" s="526">
        <v>0</v>
      </c>
      <c r="H28" s="425">
        <f t="shared" si="0"/>
        <v>0.40399999999999997</v>
      </c>
      <c r="I28" s="526">
        <f t="shared" si="1"/>
        <v>0.4</v>
      </c>
      <c r="J28" s="428">
        <f t="shared" si="2"/>
        <v>1.1542857142857144</v>
      </c>
      <c r="K28" s="526">
        <f t="shared" si="3"/>
        <v>1.142857142857143</v>
      </c>
      <c r="L28" s="428">
        <f t="shared" si="4"/>
        <v>0.13176777560339206</v>
      </c>
      <c r="M28" s="526">
        <f t="shared" si="4"/>
        <v>0.13046314416177432</v>
      </c>
      <c r="N28" s="421">
        <f t="shared" si="5"/>
        <v>0.26223091976516638</v>
      </c>
      <c r="O28" s="556">
        <f>AVERAGE(N28,N29,N30:N32)</f>
        <v>0.16974559686888452</v>
      </c>
    </row>
    <row r="29" spans="1:15">
      <c r="A29" s="214" t="s">
        <v>220</v>
      </c>
      <c r="B29" s="214" t="s">
        <v>221</v>
      </c>
      <c r="C29" s="220">
        <v>0.35</v>
      </c>
      <c r="D29" s="219">
        <v>25</v>
      </c>
      <c r="E29" s="216">
        <v>3.8</v>
      </c>
      <c r="F29" s="524">
        <v>0.14399999999999999</v>
      </c>
      <c r="G29" s="527">
        <v>0</v>
      </c>
      <c r="H29" s="415">
        <f t="shared" si="0"/>
        <v>0.152</v>
      </c>
      <c r="I29" s="527">
        <f t="shared" si="1"/>
        <v>0.14399999999999999</v>
      </c>
      <c r="J29" s="429">
        <f t="shared" si="2"/>
        <v>0.43428571428571427</v>
      </c>
      <c r="K29" s="527">
        <f t="shared" si="3"/>
        <v>0.41142857142857142</v>
      </c>
      <c r="L29" s="429">
        <f t="shared" si="4"/>
        <v>4.9575994781474238E-2</v>
      </c>
      <c r="M29" s="527">
        <f t="shared" si="4"/>
        <v>4.6966731898238752E-2</v>
      </c>
      <c r="N29" s="420">
        <f t="shared" si="5"/>
        <v>9.654272667971299E-2</v>
      </c>
      <c r="O29" s="557"/>
    </row>
    <row r="30" spans="1:15">
      <c r="A30" s="214" t="s">
        <v>361</v>
      </c>
      <c r="B30" s="214" t="s">
        <v>575</v>
      </c>
      <c r="C30" s="220">
        <v>0.35</v>
      </c>
      <c r="D30" s="215">
        <v>25</v>
      </c>
      <c r="E30" s="527">
        <v>10.96</v>
      </c>
      <c r="F30" s="429">
        <v>0.17499999999999999</v>
      </c>
      <c r="G30" s="527">
        <v>0</v>
      </c>
      <c r="H30" s="415">
        <f t="shared" si="0"/>
        <v>0.43840000000000001</v>
      </c>
      <c r="I30" s="527">
        <f t="shared" si="1"/>
        <v>0.17499999999999999</v>
      </c>
      <c r="J30" s="429">
        <f t="shared" si="2"/>
        <v>1.2525714285714287</v>
      </c>
      <c r="K30" s="527">
        <f t="shared" si="3"/>
        <v>0.5</v>
      </c>
      <c r="L30" s="429">
        <f t="shared" si="4"/>
        <v>0.14298760600130464</v>
      </c>
      <c r="M30" s="527">
        <f t="shared" si="4"/>
        <v>5.7077625570776253E-2</v>
      </c>
      <c r="N30" s="420">
        <f t="shared" si="5"/>
        <v>0.20006523157208089</v>
      </c>
      <c r="O30" s="557"/>
    </row>
    <row r="31" spans="1:15">
      <c r="A31" s="214" t="s">
        <v>576</v>
      </c>
      <c r="B31" s="214" t="s">
        <v>312</v>
      </c>
      <c r="C31" s="220">
        <v>0.35</v>
      </c>
      <c r="D31" s="215">
        <v>25</v>
      </c>
      <c r="E31" s="527">
        <v>7.4</v>
      </c>
      <c r="F31" s="429">
        <v>0.2</v>
      </c>
      <c r="G31" s="527">
        <v>0</v>
      </c>
      <c r="H31" s="415">
        <f t="shared" si="0"/>
        <v>0.29600000000000004</v>
      </c>
      <c r="I31" s="527">
        <f t="shared" si="1"/>
        <v>0.2</v>
      </c>
      <c r="J31" s="429">
        <f t="shared" si="2"/>
        <v>0.84571428571428586</v>
      </c>
      <c r="K31" s="527">
        <f t="shared" si="3"/>
        <v>0.57142857142857151</v>
      </c>
      <c r="L31" s="429">
        <f t="shared" si="4"/>
        <v>9.6542726679713003E-2</v>
      </c>
      <c r="M31" s="527">
        <f t="shared" si="4"/>
        <v>6.523157208088716E-2</v>
      </c>
      <c r="N31" s="420">
        <f t="shared" si="5"/>
        <v>0.16177429876060018</v>
      </c>
      <c r="O31" s="557"/>
    </row>
    <row r="32" spans="1:15" ht="13" thickBot="1">
      <c r="A32" s="436" t="s">
        <v>577</v>
      </c>
      <c r="B32" s="436" t="s">
        <v>563</v>
      </c>
      <c r="C32" s="463">
        <v>0.35</v>
      </c>
      <c r="D32" s="437">
        <v>25</v>
      </c>
      <c r="E32" s="439">
        <v>2.57</v>
      </c>
      <c r="F32" s="441">
        <v>0.28999999999999998</v>
      </c>
      <c r="G32" s="439">
        <v>0</v>
      </c>
      <c r="H32" s="440">
        <f t="shared" si="0"/>
        <v>0.10279999999999999</v>
      </c>
      <c r="I32" s="439">
        <f t="shared" si="1"/>
        <v>0.28999999999999998</v>
      </c>
      <c r="J32" s="441">
        <f t="shared" si="2"/>
        <v>0.29371428571428571</v>
      </c>
      <c r="K32" s="439">
        <f t="shared" si="3"/>
        <v>0.82857142857142851</v>
      </c>
      <c r="L32" s="441">
        <f>J32/8760*1000</f>
        <v>3.3529028049575992E-2</v>
      </c>
      <c r="M32" s="439">
        <f>K32/8760*1000</f>
        <v>9.4585779517286361E-2</v>
      </c>
      <c r="N32" s="442">
        <f t="shared" si="5"/>
        <v>0.12811480756686236</v>
      </c>
      <c r="O32" s="555"/>
    </row>
    <row r="33" spans="1:15" ht="23" thickBot="1">
      <c r="A33" s="231" t="s">
        <v>431</v>
      </c>
      <c r="B33" s="231" t="s">
        <v>432</v>
      </c>
      <c r="C33" s="232">
        <v>0.8</v>
      </c>
      <c r="D33" s="233">
        <v>40</v>
      </c>
      <c r="E33" s="234">
        <v>20.48</v>
      </c>
      <c r="F33" s="462">
        <v>0.31</v>
      </c>
      <c r="G33" s="234">
        <v>0.06</v>
      </c>
      <c r="H33" s="413">
        <v>0.51200000000000001</v>
      </c>
      <c r="I33" s="235">
        <v>0.73048000000000002</v>
      </c>
      <c r="J33" s="430">
        <v>0.64</v>
      </c>
      <c r="K33" s="235">
        <v>0.91310000000000002</v>
      </c>
      <c r="L33" s="430">
        <v>7.3059360730593603E-2</v>
      </c>
      <c r="M33" s="235">
        <v>0.10423515981735161</v>
      </c>
      <c r="N33" s="422">
        <v>0.1772945205479452</v>
      </c>
      <c r="O33" s="235">
        <f>N33</f>
        <v>0.1772945205479452</v>
      </c>
    </row>
    <row r="34" spans="1:15" ht="13" thickBot="1">
      <c r="A34" s="231" t="s">
        <v>225</v>
      </c>
      <c r="B34" s="231" t="s">
        <v>433</v>
      </c>
      <c r="C34" s="232">
        <v>0.9</v>
      </c>
      <c r="D34" s="233">
        <v>40</v>
      </c>
      <c r="E34" s="234">
        <v>15.2</v>
      </c>
      <c r="F34" s="462">
        <v>0.7</v>
      </c>
      <c r="G34" s="234">
        <v>0</v>
      </c>
      <c r="H34" s="416">
        <f>E34/D34</f>
        <v>0.38</v>
      </c>
      <c r="I34" s="235">
        <f>F34+G34*8760/1000*C34</f>
        <v>0.7</v>
      </c>
      <c r="J34" s="430">
        <f>H34/C34</f>
        <v>0.42222222222222222</v>
      </c>
      <c r="K34" s="235">
        <f>I34/C34</f>
        <v>0.77777777777777768</v>
      </c>
      <c r="L34" s="430">
        <f t="shared" ref="L34:M36" si="6">J34/8760*1000</f>
        <v>4.8198883815322169E-2</v>
      </c>
      <c r="M34" s="235">
        <f t="shared" si="6"/>
        <v>8.8787417554540837E-2</v>
      </c>
      <c r="N34" s="422">
        <f>SUM(L34:M34)</f>
        <v>0.13698630136986301</v>
      </c>
      <c r="O34" s="235">
        <f>N34</f>
        <v>0.13698630136986301</v>
      </c>
    </row>
    <row r="35" spans="1:15" ht="13" thickBot="1">
      <c r="A35" s="242" t="s">
        <v>142</v>
      </c>
      <c r="B35" s="242" t="s">
        <v>223</v>
      </c>
      <c r="C35" s="243">
        <v>0.8</v>
      </c>
      <c r="D35" s="244">
        <v>40</v>
      </c>
      <c r="E35" s="235">
        <v>8.5</v>
      </c>
      <c r="F35" s="430">
        <v>0.18</v>
      </c>
      <c r="G35" s="235">
        <v>5.8999999999999997E-2</v>
      </c>
      <c r="H35" s="416">
        <f>E35/D35</f>
        <v>0.21249999999999999</v>
      </c>
      <c r="I35" s="235">
        <v>0.59</v>
      </c>
      <c r="J35" s="430">
        <f>H35/C35</f>
        <v>0.265625</v>
      </c>
      <c r="K35" s="235">
        <f>I35/C35</f>
        <v>0.73749999999999993</v>
      </c>
      <c r="L35" s="430">
        <f t="shared" si="6"/>
        <v>3.0322488584474887E-2</v>
      </c>
      <c r="M35" s="235">
        <f t="shared" si="6"/>
        <v>8.4189497716894962E-2</v>
      </c>
      <c r="N35" s="422">
        <f>SUM(L35:M35)</f>
        <v>0.11451198630136986</v>
      </c>
      <c r="O35" s="235">
        <f>N35</f>
        <v>0.11451198630136986</v>
      </c>
    </row>
    <row r="36" spans="1:15" ht="13" thickBot="1">
      <c r="A36" s="242" t="s">
        <v>222</v>
      </c>
      <c r="B36" s="242" t="s">
        <v>312</v>
      </c>
      <c r="C36" s="243">
        <v>0.85</v>
      </c>
      <c r="D36" s="244">
        <v>40</v>
      </c>
      <c r="E36" s="235">
        <v>1.02</v>
      </c>
      <c r="F36" s="430">
        <v>0.1</v>
      </c>
      <c r="G36" s="235">
        <v>0.09</v>
      </c>
      <c r="H36" s="416">
        <f>E36/D36</f>
        <v>2.5500000000000002E-2</v>
      </c>
      <c r="I36" s="235">
        <f>F36+G36*8760/1000*C36</f>
        <v>0.77013999999999994</v>
      </c>
      <c r="J36" s="430">
        <f>H36/C36</f>
        <v>3.0000000000000002E-2</v>
      </c>
      <c r="K36" s="235">
        <f>I36/C36</f>
        <v>0.90604705882352932</v>
      </c>
      <c r="L36" s="430">
        <f t="shared" si="6"/>
        <v>3.4246575342465756E-3</v>
      </c>
      <c r="M36" s="235">
        <f t="shared" si="6"/>
        <v>0.10343002954606499</v>
      </c>
      <c r="N36" s="422">
        <f>SUM(L36:M36)</f>
        <v>0.10685468708031157</v>
      </c>
      <c r="O36" s="235">
        <f>N36</f>
        <v>0.10685468708031157</v>
      </c>
    </row>
    <row r="37" spans="1:15">
      <c r="A37" s="213" t="s">
        <v>427</v>
      </c>
      <c r="B37" s="213" t="s">
        <v>429</v>
      </c>
      <c r="C37" s="245">
        <v>1</v>
      </c>
      <c r="D37" s="222">
        <v>20</v>
      </c>
      <c r="E37" s="546" t="s">
        <v>0</v>
      </c>
      <c r="F37" s="547"/>
      <c r="G37" s="547"/>
      <c r="H37" s="547"/>
      <c r="I37" s="547"/>
      <c r="J37" s="547"/>
      <c r="K37" s="547"/>
      <c r="L37" s="547"/>
      <c r="M37" s="548"/>
      <c r="N37" s="418">
        <v>0.17</v>
      </c>
      <c r="O37" s="549">
        <f>AVERAGE(N37,N38)</f>
        <v>0.38</v>
      </c>
    </row>
    <row r="38" spans="1:15">
      <c r="A38" s="214" t="s">
        <v>428</v>
      </c>
      <c r="B38" s="214" t="s">
        <v>430</v>
      </c>
      <c r="C38" s="221">
        <v>1</v>
      </c>
      <c r="D38" s="215">
        <v>20</v>
      </c>
      <c r="E38" s="551" t="s">
        <v>0</v>
      </c>
      <c r="F38" s="552"/>
      <c r="G38" s="552"/>
      <c r="H38" s="552"/>
      <c r="I38" s="552"/>
      <c r="J38" s="552"/>
      <c r="K38" s="552"/>
      <c r="L38" s="552"/>
      <c r="M38" s="553"/>
      <c r="N38" s="420">
        <v>0.59</v>
      </c>
      <c r="O38" s="550"/>
    </row>
    <row r="39" spans="1:15">
      <c r="A39" s="81" t="s">
        <v>761</v>
      </c>
      <c r="B39" s="81" t="s">
        <v>762</v>
      </c>
      <c r="C39" s="564">
        <v>0.2</v>
      </c>
      <c r="D39" s="81">
        <v>25</v>
      </c>
      <c r="E39" s="417">
        <f>(97031+32490+15112+20185)/B40</f>
        <v>14.698366579021558</v>
      </c>
      <c r="F39" s="417">
        <f>(8989)/B40</f>
        <v>0.80163342097844159</v>
      </c>
      <c r="G39" s="81">
        <v>0</v>
      </c>
      <c r="H39" s="417">
        <f>E39/D39</f>
        <v>0.58793466316086229</v>
      </c>
      <c r="I39" s="417">
        <f>F39</f>
        <v>0.80163342097844159</v>
      </c>
      <c r="J39" s="417">
        <f>H39/C39</f>
        <v>2.9396733158043111</v>
      </c>
      <c r="K39" s="417">
        <f>I39/C39</f>
        <v>4.0081671048922081</v>
      </c>
      <c r="L39" s="417">
        <f>J39/8760*1000</f>
        <v>0.33557914563976154</v>
      </c>
      <c r="M39" s="417">
        <f>K39/8760*1000</f>
        <v>0.4575533224762795</v>
      </c>
      <c r="N39" s="81">
        <f>L39+M39</f>
        <v>0.79313246811604099</v>
      </c>
    </row>
    <row r="40" spans="1:15">
      <c r="B40" s="81">
        <f>173807/15.5</f>
        <v>11213.354838709678</v>
      </c>
    </row>
    <row r="41" spans="1:15">
      <c r="N41" s="565"/>
    </row>
  </sheetData>
  <mergeCells count="19">
    <mergeCell ref="E37:M37"/>
    <mergeCell ref="O37:O38"/>
    <mergeCell ref="E38:M38"/>
    <mergeCell ref="O14:O15"/>
    <mergeCell ref="O16:O18"/>
    <mergeCell ref="O19:O20"/>
    <mergeCell ref="O22:O24"/>
    <mergeCell ref="O25:O27"/>
    <mergeCell ref="O28:O32"/>
    <mergeCell ref="A1:P10"/>
    <mergeCell ref="A11:A12"/>
    <mergeCell ref="B11:B12"/>
    <mergeCell ref="C11:C13"/>
    <mergeCell ref="D11:D13"/>
    <mergeCell ref="E11:G12"/>
    <mergeCell ref="H11:O11"/>
    <mergeCell ref="H12:I12"/>
    <mergeCell ref="J12:K12"/>
    <mergeCell ref="L12:O1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58"/>
      <c r="C1" s="558"/>
      <c r="D1" s="558"/>
      <c r="E1" s="558"/>
      <c r="F1" s="558"/>
      <c r="G1" s="558"/>
      <c r="H1" s="558"/>
      <c r="I1" s="558"/>
      <c r="J1" s="558"/>
      <c r="K1" s="558"/>
      <c r="L1" s="558"/>
    </row>
    <row r="2" spans="1:12">
      <c r="B2" s="558"/>
      <c r="C2" s="558"/>
      <c r="D2" s="558"/>
      <c r="E2" s="558"/>
      <c r="F2" s="558"/>
      <c r="G2" s="558"/>
      <c r="H2" s="558"/>
      <c r="I2" s="558"/>
      <c r="J2" s="558"/>
      <c r="K2" s="558"/>
      <c r="L2" s="558"/>
    </row>
    <row r="3" spans="1:12">
      <c r="B3" s="558"/>
      <c r="C3" s="558"/>
      <c r="D3" s="558"/>
      <c r="E3" s="558"/>
      <c r="F3" s="558"/>
      <c r="G3" s="558"/>
      <c r="H3" s="558"/>
      <c r="I3" s="558"/>
      <c r="J3" s="558"/>
      <c r="K3" s="558"/>
      <c r="L3" s="558"/>
    </row>
    <row r="4" spans="1:12">
      <c r="B4" s="558"/>
      <c r="C4" s="558"/>
      <c r="D4" s="558"/>
      <c r="E4" s="558"/>
      <c r="F4" s="558"/>
      <c r="G4" s="558"/>
      <c r="H4" s="558"/>
      <c r="I4" s="558"/>
      <c r="J4" s="558"/>
      <c r="K4" s="558"/>
      <c r="L4" s="558"/>
    </row>
    <row r="5" spans="1:12">
      <c r="B5" s="558"/>
      <c r="C5" s="558"/>
      <c r="D5" s="558"/>
      <c r="E5" s="558"/>
      <c r="F5" s="558"/>
      <c r="G5" s="558"/>
      <c r="H5" s="558"/>
      <c r="I5" s="558"/>
      <c r="J5" s="558"/>
      <c r="K5" s="558"/>
      <c r="L5" s="558"/>
    </row>
    <row r="6" spans="1:12">
      <c r="B6" s="558"/>
      <c r="C6" s="558"/>
      <c r="D6" s="558"/>
      <c r="E6" s="558"/>
      <c r="F6" s="558"/>
      <c r="G6" s="558"/>
      <c r="H6" s="558"/>
      <c r="I6" s="558"/>
      <c r="J6" s="558"/>
      <c r="K6" s="558"/>
      <c r="L6" s="558"/>
    </row>
    <row r="7" spans="1:12">
      <c r="B7" s="558"/>
      <c r="C7" s="558"/>
      <c r="D7" s="558"/>
      <c r="E7" s="558"/>
      <c r="F7" s="558"/>
      <c r="G7" s="558"/>
      <c r="H7" s="558"/>
      <c r="I7" s="558"/>
      <c r="J7" s="558"/>
      <c r="K7" s="558"/>
      <c r="L7" s="558"/>
    </row>
    <row r="8" spans="1:12">
      <c r="B8" s="558"/>
      <c r="C8" s="558"/>
      <c r="D8" s="558"/>
      <c r="E8" s="558"/>
      <c r="F8" s="558"/>
      <c r="G8" s="558"/>
      <c r="H8" s="558"/>
      <c r="I8" s="558"/>
      <c r="J8" s="558"/>
      <c r="K8" s="558"/>
      <c r="L8" s="558"/>
    </row>
    <row r="9" spans="1:12" ht="48" customHeight="1">
      <c r="B9" s="558"/>
      <c r="C9" s="558"/>
      <c r="D9" s="558"/>
      <c r="E9" s="558"/>
      <c r="F9" s="558"/>
      <c r="G9" s="558"/>
      <c r="H9" s="558"/>
      <c r="I9" s="558"/>
      <c r="J9" s="558"/>
      <c r="K9" s="558"/>
      <c r="L9" s="558"/>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4" zoomScale="125" zoomScaleNormal="125" zoomScalePageLayoutView="125" workbookViewId="0">
      <pane xSplit="1" topLeftCell="B1" activePane="topRight" state="frozen"/>
      <selection activeCell="A33" sqref="A33"/>
      <selection pane="topRight" activeCell="G58" sqref="G58"/>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705</v>
      </c>
    </row>
    <row r="3" spans="1:37">
      <c r="A3" s="272" t="s">
        <v>657</v>
      </c>
    </row>
    <row r="4" spans="1:37">
      <c r="A4" s="272" t="s">
        <v>592</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582</v>
      </c>
      <c r="AB11" s="319" t="s">
        <v>583</v>
      </c>
      <c r="AC11" s="319" t="s">
        <v>584</v>
      </c>
      <c r="AD11" s="319" t="s">
        <v>585</v>
      </c>
      <c r="AE11" s="319" t="s">
        <v>586</v>
      </c>
      <c r="AF11" s="319" t="s">
        <v>587</v>
      </c>
      <c r="AG11" s="319" t="s">
        <v>588</v>
      </c>
      <c r="AH11" s="319" t="s">
        <v>589</v>
      </c>
      <c r="AI11" s="319" t="s">
        <v>590</v>
      </c>
      <c r="AJ11" s="319" t="s">
        <v>591</v>
      </c>
      <c r="AK11" s="319" t="s">
        <v>594</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759</v>
      </c>
    </row>
    <row r="35" spans="1:44" s="251" customFormat="1">
      <c r="A35" s="250" t="s">
        <v>745</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720</v>
      </c>
      <c r="G36" s="499">
        <v>141.45000200000001</v>
      </c>
      <c r="H36" s="499">
        <v>131.668001</v>
      </c>
      <c r="I36" s="499">
        <v>136.13143299999999</v>
      </c>
      <c r="J36" s="499">
        <v>135.50558899999999</v>
      </c>
      <c r="K36" s="499">
        <v>139.08894699999999</v>
      </c>
      <c r="L36" s="499">
        <v>129.973342</v>
      </c>
      <c r="M36" s="499">
        <v>127.687927</v>
      </c>
      <c r="N36" s="499">
        <v>130.53686400000001</v>
      </c>
      <c r="O36" s="499">
        <v>131.771399</v>
      </c>
      <c r="P36" s="499">
        <v>132.59962300000001</v>
      </c>
      <c r="Q36" s="499">
        <v>132.94786400000001</v>
      </c>
      <c r="R36" s="499">
        <v>133.311127</v>
      </c>
      <c r="S36" s="499">
        <v>134.07942199999999</v>
      </c>
      <c r="T36" s="499">
        <v>134.68943999999999</v>
      </c>
      <c r="U36" s="499">
        <v>135.03948200000002</v>
      </c>
      <c r="V36" s="499">
        <v>135.09406899999999</v>
      </c>
      <c r="W36" s="499">
        <v>134.889872</v>
      </c>
      <c r="X36" s="499">
        <v>134.63291900000002</v>
      </c>
      <c r="Y36" s="499">
        <v>134.708077</v>
      </c>
      <c r="Z36" s="499">
        <v>134.74132499999999</v>
      </c>
      <c r="AA36" s="499">
        <v>134.71441299999998</v>
      </c>
      <c r="AB36" s="499">
        <v>134.60071099999999</v>
      </c>
      <c r="AC36" s="499">
        <v>134.53027</v>
      </c>
      <c r="AD36" s="499">
        <v>134.40207100000001</v>
      </c>
      <c r="AE36" s="499">
        <v>134.31431599999999</v>
      </c>
      <c r="AF36" s="499">
        <v>134.20071300000001</v>
      </c>
      <c r="AG36" s="499">
        <v>134.08396500000001</v>
      </c>
      <c r="AH36" s="499">
        <v>133.96165500000001</v>
      </c>
      <c r="AI36" s="499">
        <v>133.85592700000001</v>
      </c>
      <c r="AJ36" s="499">
        <v>133.757946</v>
      </c>
      <c r="AK36" s="503">
        <v>0.03</v>
      </c>
      <c r="AL36" s="515" t="s">
        <v>68</v>
      </c>
      <c r="AM36" s="518">
        <v>0.17880554644527388</v>
      </c>
    </row>
    <row r="37" spans="1:44" s="251" customFormat="1">
      <c r="A37" s="501" t="s">
        <v>721</v>
      </c>
      <c r="G37" s="499">
        <v>0.61799999999999999</v>
      </c>
      <c r="H37" s="499">
        <v>0.276416</v>
      </c>
      <c r="I37" s="499">
        <v>0.54599399999999998</v>
      </c>
      <c r="J37" s="499">
        <v>0.54430699999999999</v>
      </c>
      <c r="K37" s="499">
        <v>0.55884</v>
      </c>
      <c r="L37" s="499">
        <v>0.524308</v>
      </c>
      <c r="M37" s="499">
        <v>0.51505999999999996</v>
      </c>
      <c r="N37" s="499">
        <v>0.52851999999999999</v>
      </c>
      <c r="O37" s="499">
        <v>0.53401399999999999</v>
      </c>
      <c r="P37" s="499">
        <v>0.54058799999999996</v>
      </c>
      <c r="Q37" s="499">
        <v>0.54065799999999997</v>
      </c>
      <c r="R37" s="499">
        <v>0.54078399999999993</v>
      </c>
      <c r="S37" s="499">
        <v>0.54392799999999997</v>
      </c>
      <c r="T37" s="499">
        <v>0.54686999999999997</v>
      </c>
      <c r="U37" s="499">
        <v>0.54838900000000002</v>
      </c>
      <c r="V37" s="499">
        <v>0.54842799999999992</v>
      </c>
      <c r="W37" s="499">
        <v>0.54787399999999997</v>
      </c>
      <c r="X37" s="499">
        <v>0.54687800000000009</v>
      </c>
      <c r="Y37" s="499">
        <v>0.54734300000000002</v>
      </c>
      <c r="Z37" s="499">
        <v>0.54786000000000001</v>
      </c>
      <c r="AA37" s="499">
        <v>0.54776400000000003</v>
      </c>
      <c r="AB37" s="499">
        <v>0.54759499999999994</v>
      </c>
      <c r="AC37" s="499">
        <v>0.54726200000000003</v>
      </c>
      <c r="AD37" s="499">
        <v>0.54694799999999999</v>
      </c>
      <c r="AE37" s="499">
        <v>0.54671900000000007</v>
      </c>
      <c r="AF37" s="499">
        <v>0.54613500000000004</v>
      </c>
      <c r="AG37" s="499">
        <v>0.5457010000000001</v>
      </c>
      <c r="AH37" s="499">
        <v>0.54547499999999993</v>
      </c>
      <c r="AI37" s="499">
        <v>0.54495700000000002</v>
      </c>
      <c r="AJ37" s="499">
        <v>0.54299499999999989</v>
      </c>
      <c r="AK37" s="503">
        <v>-3.7999999999999999E-2</v>
      </c>
      <c r="AL37" s="516" t="s">
        <v>69</v>
      </c>
      <c r="AM37" s="518">
        <v>3.4746116559776406E-2</v>
      </c>
    </row>
    <row r="38" spans="1:44" s="251" customFormat="1">
      <c r="A38" s="501" t="s">
        <v>722</v>
      </c>
      <c r="G38" s="499">
        <v>6.2477089999999995</v>
      </c>
      <c r="H38" s="499">
        <v>11.935669000000001</v>
      </c>
      <c r="I38" s="499">
        <v>3.7434159999999999</v>
      </c>
      <c r="J38" s="499">
        <v>5.7425550000000003</v>
      </c>
      <c r="K38" s="499">
        <v>5.442418</v>
      </c>
      <c r="L38" s="499">
        <v>14.115572999999999</v>
      </c>
      <c r="M38" s="499">
        <v>16.16752</v>
      </c>
      <c r="N38" s="499">
        <v>19.163057000000002</v>
      </c>
      <c r="O38" s="499">
        <v>20.689990000000002</v>
      </c>
      <c r="P38" s="499">
        <v>24.387097000000001</v>
      </c>
      <c r="Q38" s="499">
        <v>25.511628000000002</v>
      </c>
      <c r="R38" s="499">
        <v>25.932189000000001</v>
      </c>
      <c r="S38" s="499">
        <v>27.652376</v>
      </c>
      <c r="T38" s="499">
        <v>28.375037999999996</v>
      </c>
      <c r="U38" s="499">
        <v>28.711283999999999</v>
      </c>
      <c r="V38" s="499">
        <v>30.415917999999998</v>
      </c>
      <c r="W38" s="499">
        <v>31.926251999999998</v>
      </c>
      <c r="X38" s="499">
        <v>32.542359000000005</v>
      </c>
      <c r="Y38" s="499">
        <v>33.934286999999998</v>
      </c>
      <c r="Z38" s="499">
        <v>35.019849000000001</v>
      </c>
      <c r="AA38" s="499">
        <v>35.439497000000003</v>
      </c>
      <c r="AB38" s="499">
        <v>35.873134</v>
      </c>
      <c r="AC38" s="499">
        <v>36.199567999999999</v>
      </c>
      <c r="AD38" s="499">
        <v>35.409165999999999</v>
      </c>
      <c r="AE38" s="499">
        <v>36.135394000000005</v>
      </c>
      <c r="AF38" s="499">
        <v>35.925024999999998</v>
      </c>
      <c r="AG38" s="499">
        <v>36.058050000000001</v>
      </c>
      <c r="AH38" s="499">
        <v>36.559820000000002</v>
      </c>
      <c r="AI38" s="499">
        <v>38.624087000000003</v>
      </c>
      <c r="AJ38" s="499">
        <v>39.920868999999996</v>
      </c>
      <c r="AK38" s="503">
        <v>-4.0000000000000001E-3</v>
      </c>
      <c r="AL38" s="516" t="s">
        <v>76</v>
      </c>
      <c r="AM38" s="518">
        <v>9.6822984651741988E-4</v>
      </c>
    </row>
    <row r="39" spans="1:44" s="251" customFormat="1">
      <c r="A39" s="501" t="s">
        <v>723</v>
      </c>
      <c r="G39" s="499">
        <v>28.701999999999998</v>
      </c>
      <c r="H39" s="499">
        <v>26.608001000000002</v>
      </c>
      <c r="I39" s="499">
        <v>25.251725</v>
      </c>
      <c r="J39" s="499">
        <v>25.204146999999999</v>
      </c>
      <c r="K39" s="499">
        <v>26.000242</v>
      </c>
      <c r="L39" s="499">
        <v>22.438203999999999</v>
      </c>
      <c r="M39" s="499">
        <v>24.653748</v>
      </c>
      <c r="N39" s="499">
        <v>16.271992000000001</v>
      </c>
      <c r="O39" s="499">
        <v>16.271992000000001</v>
      </c>
      <c r="P39" s="499">
        <v>7.8926730000000003</v>
      </c>
      <c r="Q39" s="499">
        <v>7.8926730000000003</v>
      </c>
      <c r="R39" s="499">
        <v>7.8926730000000003</v>
      </c>
      <c r="S39" s="499">
        <v>7.8926730000000003</v>
      </c>
      <c r="T39" s="499">
        <v>7.8926730000000003</v>
      </c>
      <c r="U39" s="499">
        <v>7.8926730000000003</v>
      </c>
      <c r="V39" s="499">
        <v>7.8926730000000003</v>
      </c>
      <c r="W39" s="499">
        <v>7.8926730000000003</v>
      </c>
      <c r="X39" s="499">
        <v>7.8926730000000003</v>
      </c>
      <c r="Y39" s="499">
        <v>7.8926730000000003</v>
      </c>
      <c r="Z39" s="499">
        <v>7.8926730000000003</v>
      </c>
      <c r="AA39" s="499">
        <v>7.8926730000000003</v>
      </c>
      <c r="AB39" s="499">
        <v>7.8926730000000003</v>
      </c>
      <c r="AC39" s="499">
        <v>7.8926730000000003</v>
      </c>
      <c r="AD39" s="499">
        <v>7.8926730000000003</v>
      </c>
      <c r="AE39" s="499">
        <v>7.8926730000000003</v>
      </c>
      <c r="AF39" s="499">
        <v>7.8926730000000003</v>
      </c>
      <c r="AG39" s="499">
        <v>7.8926730000000003</v>
      </c>
      <c r="AH39" s="499">
        <v>7.8926730000000003</v>
      </c>
      <c r="AI39" s="499">
        <v>7.8926730000000003</v>
      </c>
      <c r="AJ39" s="499">
        <v>7.8926730000000003</v>
      </c>
      <c r="AK39" s="503">
        <v>-5.0000000000000001E-3</v>
      </c>
      <c r="AL39" s="516" t="s">
        <v>742</v>
      </c>
      <c r="AM39" s="518">
        <v>0.66358897989575572</v>
      </c>
    </row>
    <row r="40" spans="1:44" s="251" customFormat="1">
      <c r="A40" s="501" t="s">
        <v>724</v>
      </c>
      <c r="G40" s="499">
        <v>0.32730000000000004</v>
      </c>
      <c r="H40" s="499">
        <v>0.32730000000000004</v>
      </c>
      <c r="I40" s="499">
        <v>0.32730000000000004</v>
      </c>
      <c r="J40" s="499">
        <v>0.32730000000000004</v>
      </c>
      <c r="K40" s="499">
        <v>0.32730000000000004</v>
      </c>
      <c r="L40" s="499">
        <v>0.32730000000000004</v>
      </c>
      <c r="M40" s="499">
        <v>0.32730000000000004</v>
      </c>
      <c r="N40" s="499">
        <v>0.32730000000000004</v>
      </c>
      <c r="O40" s="499">
        <v>0.32936300000000002</v>
      </c>
      <c r="P40" s="499">
        <v>0.33053400000000005</v>
      </c>
      <c r="Q40" s="499">
        <v>0.33395200000000003</v>
      </c>
      <c r="R40" s="499">
        <v>0.33422199999999996</v>
      </c>
      <c r="S40" s="499">
        <v>0.33422199999999996</v>
      </c>
      <c r="T40" s="499">
        <v>0.33422199999999996</v>
      </c>
      <c r="U40" s="499">
        <v>0.33468500000000001</v>
      </c>
      <c r="V40" s="499">
        <v>0.33486299999999997</v>
      </c>
      <c r="W40" s="499">
        <v>0.33495999999999998</v>
      </c>
      <c r="X40" s="499">
        <v>0.33513699999999996</v>
      </c>
      <c r="Y40" s="499">
        <v>0.33533599999999997</v>
      </c>
      <c r="Z40" s="499">
        <v>0.33541799999999999</v>
      </c>
      <c r="AA40" s="499">
        <v>0.33560699999999999</v>
      </c>
      <c r="AB40" s="499">
        <v>0.33570099999999997</v>
      </c>
      <c r="AC40" s="499">
        <v>0.33602300000000002</v>
      </c>
      <c r="AD40" s="499">
        <v>0.336335</v>
      </c>
      <c r="AE40" s="499">
        <v>0.33652799999999999</v>
      </c>
      <c r="AF40" s="499">
        <v>0.336839</v>
      </c>
      <c r="AG40" s="499">
        <v>0.33718100000000001</v>
      </c>
      <c r="AH40" s="499">
        <v>0.337395</v>
      </c>
      <c r="AI40" s="499">
        <v>0.337642</v>
      </c>
      <c r="AJ40" s="499">
        <v>0.33789599999999997</v>
      </c>
      <c r="AK40" s="503">
        <v>1E-3</v>
      </c>
      <c r="AL40" s="517" t="s">
        <v>225</v>
      </c>
      <c r="AM40" s="518">
        <v>0</v>
      </c>
    </row>
    <row r="41" spans="1:44" s="251" customFormat="1">
      <c r="A41" s="501" t="s">
        <v>725</v>
      </c>
      <c r="G41" s="499">
        <v>43.981293999999998</v>
      </c>
      <c r="H41" s="499">
        <v>46.995975000000001</v>
      </c>
      <c r="I41" s="499">
        <v>45.707962999999999</v>
      </c>
      <c r="J41" s="499">
        <v>46.684384000000001</v>
      </c>
      <c r="K41" s="499">
        <v>53.611203999999994</v>
      </c>
      <c r="L41" s="499">
        <v>58.208902999999999</v>
      </c>
      <c r="M41" s="499">
        <v>58.449779999999997</v>
      </c>
      <c r="N41" s="499">
        <v>58.603072999999995</v>
      </c>
      <c r="O41" s="499">
        <v>58.653354</v>
      </c>
      <c r="P41" s="499">
        <v>58.770581999999997</v>
      </c>
      <c r="Q41" s="499">
        <v>58.784796</v>
      </c>
      <c r="R41" s="499">
        <v>58.873795000000001</v>
      </c>
      <c r="S41" s="499">
        <v>58.877427999999995</v>
      </c>
      <c r="T41" s="499">
        <v>59.033409999999996</v>
      </c>
      <c r="U41" s="499">
        <v>59.059998</v>
      </c>
      <c r="V41" s="499">
        <v>59.061321999999997</v>
      </c>
      <c r="W41" s="499">
        <v>59.674716000000004</v>
      </c>
      <c r="X41" s="499">
        <v>59.670787000000004</v>
      </c>
      <c r="Y41" s="499">
        <v>59.678868999999999</v>
      </c>
      <c r="Z41" s="499">
        <v>59.770778</v>
      </c>
      <c r="AA41" s="499">
        <v>59.765135000000001</v>
      </c>
      <c r="AB41" s="499">
        <v>59.845776999999998</v>
      </c>
      <c r="AC41" s="499">
        <v>59.886151000000005</v>
      </c>
      <c r="AD41" s="499">
        <v>59.938535999999999</v>
      </c>
      <c r="AE41" s="499">
        <v>59.993364</v>
      </c>
      <c r="AF41" s="499">
        <v>60.007967999999998</v>
      </c>
      <c r="AG41" s="499">
        <v>60.075592</v>
      </c>
      <c r="AH41" s="499">
        <v>60.120117</v>
      </c>
      <c r="AI41" s="499">
        <v>60.205210000000001</v>
      </c>
      <c r="AJ41" s="499">
        <v>60.325286999999996</v>
      </c>
      <c r="AK41" s="503">
        <v>2.1000000000000001E-2</v>
      </c>
      <c r="AL41" s="517" t="s">
        <v>379</v>
      </c>
      <c r="AM41" s="518">
        <v>0.13609623281477579</v>
      </c>
    </row>
    <row r="42" spans="1:44" s="251" customFormat="1">
      <c r="A42" s="501" t="s">
        <v>726</v>
      </c>
      <c r="G42" s="499">
        <v>0</v>
      </c>
      <c r="H42" s="499">
        <v>0</v>
      </c>
      <c r="I42" s="499">
        <v>0</v>
      </c>
      <c r="J42" s="499">
        <v>0</v>
      </c>
      <c r="K42" s="499">
        <v>0</v>
      </c>
      <c r="L42" s="499">
        <v>4.5900000000000003E-3</v>
      </c>
      <c r="M42" s="499">
        <v>9.4039999999999992E-3</v>
      </c>
      <c r="N42" s="499">
        <v>1.367E-2</v>
      </c>
      <c r="O42" s="499">
        <v>1.7524999999999999E-2</v>
      </c>
      <c r="P42" s="499">
        <v>2.1922000000000001E-2</v>
      </c>
      <c r="Q42" s="499">
        <v>3.3024999999999999E-2</v>
      </c>
      <c r="R42" s="499">
        <v>4.4802999999999996E-2</v>
      </c>
      <c r="S42" s="499">
        <v>5.7124000000000001E-2</v>
      </c>
      <c r="T42" s="499">
        <v>6.1447000000000002E-2</v>
      </c>
      <c r="U42" s="499">
        <v>6.6102999999999995E-2</v>
      </c>
      <c r="V42" s="499">
        <v>7.7407000000000004E-2</v>
      </c>
      <c r="W42" s="499">
        <v>8.7924000000000002E-2</v>
      </c>
      <c r="X42" s="499">
        <v>9.8524E-2</v>
      </c>
      <c r="Y42" s="499">
        <v>0.108677</v>
      </c>
      <c r="Z42" s="499">
        <v>0.11794499999999999</v>
      </c>
      <c r="AA42" s="499">
        <v>0.12769</v>
      </c>
      <c r="AB42" s="499">
        <v>0.137129</v>
      </c>
      <c r="AC42" s="499">
        <v>0.147067</v>
      </c>
      <c r="AD42" s="499">
        <v>0.15757499999999999</v>
      </c>
      <c r="AE42" s="499">
        <v>0.16792499999999999</v>
      </c>
      <c r="AF42" s="499">
        <v>0.178262</v>
      </c>
      <c r="AG42" s="499">
        <v>0.188668</v>
      </c>
      <c r="AH42" s="499">
        <v>0.19977200000000001</v>
      </c>
      <c r="AI42" s="499">
        <v>0.211593</v>
      </c>
      <c r="AJ42" s="499">
        <v>0.22320899999999999</v>
      </c>
      <c r="AK42" s="499" t="s">
        <v>41</v>
      </c>
      <c r="AL42" s="517" t="s">
        <v>743</v>
      </c>
      <c r="AM42" s="518">
        <v>0</v>
      </c>
    </row>
    <row r="43" spans="1:44" s="251" customFormat="1">
      <c r="A43" s="502" t="s">
        <v>727</v>
      </c>
      <c r="G43" s="500">
        <v>221.326313</v>
      </c>
      <c r="H43" s="500">
        <v>217.811364</v>
      </c>
      <c r="I43" s="500">
        <v>211.70782700000001</v>
      </c>
      <c r="J43" s="500">
        <v>214.008287</v>
      </c>
      <c r="K43" s="500">
        <v>225.028953</v>
      </c>
      <c r="L43" s="500">
        <v>225.59221600000001</v>
      </c>
      <c r="M43" s="500">
        <v>227.81075600000003</v>
      </c>
      <c r="N43" s="500">
        <v>225.44446599999998</v>
      </c>
      <c r="O43" s="500">
        <v>228.26763200000002</v>
      </c>
      <c r="P43" s="500">
        <v>224.54301099999998</v>
      </c>
      <c r="Q43" s="500">
        <v>226.04459799999998</v>
      </c>
      <c r="R43" s="500">
        <v>226.929588</v>
      </c>
      <c r="S43" s="500">
        <v>229.437186</v>
      </c>
      <c r="T43" s="500">
        <v>230.93310199999999</v>
      </c>
      <c r="U43" s="500">
        <v>231.65261000000001</v>
      </c>
      <c r="V43" s="500">
        <v>233.424654</v>
      </c>
      <c r="W43" s="500">
        <v>235.35425700000002</v>
      </c>
      <c r="X43" s="500">
        <v>235.71927399999998</v>
      </c>
      <c r="Y43" s="500">
        <v>237.205254</v>
      </c>
      <c r="Z43" s="500">
        <v>238.425839</v>
      </c>
      <c r="AA43" s="500">
        <v>238.82277500000001</v>
      </c>
      <c r="AB43" s="500">
        <v>239.23271600000001</v>
      </c>
      <c r="AC43" s="500">
        <v>239.53900499999997</v>
      </c>
      <c r="AD43" s="500">
        <v>238.68330399999999</v>
      </c>
      <c r="AE43" s="500">
        <v>239.38692700000001</v>
      </c>
      <c r="AF43" s="500">
        <v>239.08761999999999</v>
      </c>
      <c r="AG43" s="500">
        <v>239.18183200000001</v>
      </c>
      <c r="AH43" s="500">
        <v>239.61691500000001</v>
      </c>
      <c r="AI43" s="500">
        <v>241.672079</v>
      </c>
      <c r="AJ43" s="500">
        <v>243.00087500000001</v>
      </c>
      <c r="AK43" s="504">
        <v>1E-3</v>
      </c>
      <c r="AL43" s="517" t="s">
        <v>744</v>
      </c>
      <c r="AM43" s="518">
        <v>4.4199802826158395E-2</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0.13548790377238956</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582</v>
      </c>
      <c r="AB47" s="323" t="s">
        <v>583</v>
      </c>
      <c r="AC47" s="323" t="s">
        <v>584</v>
      </c>
      <c r="AD47" s="323" t="s">
        <v>585</v>
      </c>
      <c r="AE47" s="323" t="s">
        <v>586</v>
      </c>
      <c r="AF47" s="323" t="s">
        <v>587</v>
      </c>
      <c r="AG47" s="323" t="s">
        <v>588</v>
      </c>
      <c r="AH47" s="323" t="s">
        <v>589</v>
      </c>
      <c r="AI47" s="323" t="s">
        <v>590</v>
      </c>
      <c r="AJ47" s="323" t="s">
        <v>591</v>
      </c>
      <c r="AK47" s="323" t="s">
        <v>594</v>
      </c>
    </row>
    <row r="48" spans="1:44" s="255" customFormat="1">
      <c r="A48" s="254" t="s">
        <v>758</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757</v>
      </c>
      <c r="AN48" s="255">
        <v>2006</v>
      </c>
      <c r="AO48" s="255">
        <v>2007</v>
      </c>
      <c r="AP48" s="255">
        <v>2008</v>
      </c>
      <c r="AQ48" s="255">
        <v>2009</v>
      </c>
      <c r="AR48" s="255">
        <v>2010</v>
      </c>
    </row>
    <row r="49" spans="1:44" s="255" customFormat="1">
      <c r="A49" s="254" t="s">
        <v>68</v>
      </c>
      <c r="B49" s="505">
        <f>AN51</f>
        <v>28.879000000000001</v>
      </c>
      <c r="C49" s="505">
        <f t="shared" ref="C49:F49" si="0">AO51</f>
        <v>29.164000000000001</v>
      </c>
      <c r="D49" s="505">
        <f t="shared" si="0"/>
        <v>29.672000000000001</v>
      </c>
      <c r="E49" s="505">
        <f t="shared" si="0"/>
        <v>29.606999999999999</v>
      </c>
      <c r="F49" s="505">
        <f t="shared" si="0"/>
        <v>28.462</v>
      </c>
      <c r="G49" s="484">
        <f t="shared" ref="G49:AJ49" si="1">G36*$AM36</f>
        <v>25.292044902295086</v>
      </c>
      <c r="H49" s="484">
        <f t="shared" si="1"/>
        <v>23.542968868161868</v>
      </c>
      <c r="I49" s="484">
        <f t="shared" si="1"/>
        <v>24.341055265943186</v>
      </c>
      <c r="J49" s="484">
        <f t="shared" si="1"/>
        <v>24.229150887533692</v>
      </c>
      <c r="K49" s="484">
        <f t="shared" si="1"/>
        <v>24.869875172832735</v>
      </c>
      <c r="L49" s="484">
        <f t="shared" si="1"/>
        <v>23.239954439628466</v>
      </c>
      <c r="M49" s="484">
        <f t="shared" si="1"/>
        <v>22.831309561699243</v>
      </c>
      <c r="N49" s="484">
        <f t="shared" si="1"/>
        <v>23.340715298772402</v>
      </c>
      <c r="O49" s="484">
        <f t="shared" si="1"/>
        <v>23.561457004053217</v>
      </c>
      <c r="P49" s="484">
        <f t="shared" si="1"/>
        <v>23.709548048952307</v>
      </c>
      <c r="Q49" s="484">
        <f t="shared" si="1"/>
        <v>23.771815471251958</v>
      </c>
      <c r="R49" s="484">
        <f t="shared" si="1"/>
        <v>23.836768910470305</v>
      </c>
      <c r="S49" s="484">
        <f t="shared" si="1"/>
        <v>23.974144317776474</v>
      </c>
      <c r="T49" s="484">
        <f t="shared" si="1"/>
        <v>24.08321891960793</v>
      </c>
      <c r="U49" s="484">
        <f t="shared" si="1"/>
        <v>24.145808370696731</v>
      </c>
      <c r="V49" s="484">
        <f t="shared" si="1"/>
        <v>24.155568829060535</v>
      </c>
      <c r="W49" s="484">
        <f t="shared" si="1"/>
        <v>24.119057272893048</v>
      </c>
      <c r="X49" s="484">
        <f t="shared" si="1"/>
        <v>24.073112651317299</v>
      </c>
      <c r="Y49" s="484">
        <f t="shared" si="1"/>
        <v>24.08655131857703</v>
      </c>
      <c r="Z49" s="484">
        <f t="shared" si="1"/>
        <v>24.092496245385242</v>
      </c>
      <c r="AA49" s="484">
        <f t="shared" si="1"/>
        <v>24.087684230519304</v>
      </c>
      <c r="AB49" s="484">
        <f t="shared" si="1"/>
        <v>24.067353682277385</v>
      </c>
      <c r="AC49" s="484">
        <f t="shared" si="1"/>
        <v>24.054758440780237</v>
      </c>
      <c r="AD49" s="484">
        <f t="shared" si="1"/>
        <v>24.031835748531499</v>
      </c>
      <c r="AE49" s="484">
        <f t="shared" si="1"/>
        <v>24.016144667803193</v>
      </c>
      <c r="AF49" s="484">
        <f t="shared" si="1"/>
        <v>23.995831821310372</v>
      </c>
      <c r="AG49" s="484">
        <f t="shared" si="1"/>
        <v>23.974956631373978</v>
      </c>
      <c r="AH49" s="484">
        <f t="shared" si="1"/>
        <v>23.953086924988259</v>
      </c>
      <c r="AI49" s="484">
        <f t="shared" si="1"/>
        <v>23.934182172173692</v>
      </c>
      <c r="AJ49" s="484">
        <f t="shared" si="1"/>
        <v>23.916662625927437</v>
      </c>
      <c r="AK49"/>
    </row>
    <row r="50" spans="1:44" s="255" customFormat="1">
      <c r="A50" s="254" t="s">
        <v>69</v>
      </c>
      <c r="B50" s="505">
        <f t="shared" ref="B50:B51" si="2">AN52</f>
        <v>4.2000000000000003E-2</v>
      </c>
      <c r="C50" s="505">
        <f t="shared" ref="C50:C51" si="3">AO52</f>
        <v>5.0999999999999997E-2</v>
      </c>
      <c r="D50" s="505">
        <f t="shared" ref="D50:D51" si="4">AP52</f>
        <v>4.9000000000000002E-2</v>
      </c>
      <c r="E50" s="505">
        <f t="shared" ref="E50:E51" si="5">AQ52</f>
        <v>4.4999999999999998E-2</v>
      </c>
      <c r="F50" s="505">
        <f t="shared" ref="F50:F51" si="6">AR52</f>
        <v>3.7999999999999999E-2</v>
      </c>
      <c r="G50" s="484">
        <f t="shared" ref="G50:AJ50" si="7">G37*$AM37</f>
        <v>2.147310003394182E-2</v>
      </c>
      <c r="H50" s="484">
        <f t="shared" si="7"/>
        <v>9.604382554987155E-3</v>
      </c>
      <c r="I50" s="484">
        <f t="shared" si="7"/>
        <v>1.8971171164938558E-2</v>
      </c>
      <c r="J50" s="484">
        <f t="shared" si="7"/>
        <v>1.8912554466302217E-2</v>
      </c>
      <c r="K50" s="484">
        <f t="shared" si="7"/>
        <v>1.9417519778265446E-2</v>
      </c>
      <c r="L50" s="484">
        <f t="shared" si="7"/>
        <v>1.8217666881223248E-2</v>
      </c>
      <c r="M50" s="484">
        <f t="shared" si="7"/>
        <v>1.7896334795278433E-2</v>
      </c>
      <c r="N50" s="484">
        <f t="shared" si="7"/>
        <v>1.8364017524173024E-2</v>
      </c>
      <c r="O50" s="484">
        <f t="shared" si="7"/>
        <v>1.8554912688552437E-2</v>
      </c>
      <c r="P50" s="484">
        <f t="shared" si="7"/>
        <v>1.8783333658816407E-2</v>
      </c>
      <c r="Q50" s="484">
        <f t="shared" si="7"/>
        <v>1.878576588697559E-2</v>
      </c>
      <c r="R50" s="484">
        <f t="shared" si="7"/>
        <v>1.879014389766212E-2</v>
      </c>
      <c r="S50" s="484">
        <f t="shared" si="7"/>
        <v>1.8899385688126061E-2</v>
      </c>
      <c r="T50" s="484">
        <f t="shared" si="7"/>
        <v>1.9001608763044922E-2</v>
      </c>
      <c r="U50" s="484">
        <f t="shared" si="7"/>
        <v>1.9054388114099225E-2</v>
      </c>
      <c r="V50" s="484">
        <f t="shared" si="7"/>
        <v>1.9055743212645051E-2</v>
      </c>
      <c r="W50" s="484">
        <f t="shared" si="7"/>
        <v>1.9036493864070938E-2</v>
      </c>
      <c r="X50" s="484">
        <f t="shared" si="7"/>
        <v>1.9001886731977405E-2</v>
      </c>
      <c r="Y50" s="484">
        <f t="shared" si="7"/>
        <v>1.9018043676177699E-2</v>
      </c>
      <c r="Z50" s="484">
        <f t="shared" si="7"/>
        <v>1.9036007418439103E-2</v>
      </c>
      <c r="AA50" s="484">
        <f t="shared" si="7"/>
        <v>1.9032671791249366E-2</v>
      </c>
      <c r="AB50" s="484">
        <f t="shared" si="7"/>
        <v>1.9026799697550761E-2</v>
      </c>
      <c r="AC50" s="484">
        <f t="shared" si="7"/>
        <v>1.9015229240736356E-2</v>
      </c>
      <c r="AD50" s="484">
        <f t="shared" si="7"/>
        <v>1.9004318960136584E-2</v>
      </c>
      <c r="AE50" s="484">
        <f t="shared" si="7"/>
        <v>1.89963620994444E-2</v>
      </c>
      <c r="AF50" s="484">
        <f t="shared" si="7"/>
        <v>1.897607036737349E-2</v>
      </c>
      <c r="AG50" s="484">
        <f t="shared" si="7"/>
        <v>1.896099055278655E-2</v>
      </c>
      <c r="AH50" s="484">
        <f t="shared" si="7"/>
        <v>1.8953137930444033E-2</v>
      </c>
      <c r="AI50" s="484">
        <f t="shared" si="7"/>
        <v>1.8935139442066071E-2</v>
      </c>
      <c r="AJ50" s="484">
        <f t="shared" si="7"/>
        <v>1.8866967561375785E-2</v>
      </c>
      <c r="AK50"/>
      <c r="AM50" s="255" t="s">
        <v>756</v>
      </c>
      <c r="AN50" s="255">
        <v>28.986999999999998</v>
      </c>
      <c r="AO50" s="255">
        <v>29.283000000000001</v>
      </c>
      <c r="AP50" s="255">
        <v>29.721</v>
      </c>
      <c r="AQ50" s="255">
        <v>29.712</v>
      </c>
      <c r="AR50" s="255">
        <v>28.552</v>
      </c>
    </row>
    <row r="51" spans="1:44" s="255" customFormat="1">
      <c r="A51" s="254" t="s">
        <v>76</v>
      </c>
      <c r="B51" s="505">
        <f t="shared" si="2"/>
        <v>7.0000000000000001E-3</v>
      </c>
      <c r="C51" s="505">
        <f t="shared" si="3"/>
        <v>1.7000000000000001E-2</v>
      </c>
      <c r="D51" s="505">
        <f t="shared" si="4"/>
        <v>0</v>
      </c>
      <c r="E51" s="505">
        <f t="shared" si="5"/>
        <v>1.7000000000000001E-2</v>
      </c>
      <c r="F51" s="505">
        <f t="shared" si="6"/>
        <v>1.6E-2</v>
      </c>
      <c r="G51" s="484">
        <f t="shared" ref="G51:AJ51" si="8">G38*$AM38</f>
        <v>6.0492183261555022E-3</v>
      </c>
      <c r="H51" s="484">
        <f t="shared" si="8"/>
        <v>1.1556470963952728E-2</v>
      </c>
      <c r="I51" s="484">
        <f t="shared" si="8"/>
        <v>3.6244870991308537E-3</v>
      </c>
      <c r="J51" s="484">
        <f t="shared" si="8"/>
        <v>5.5601131462678427E-3</v>
      </c>
      <c r="K51" s="484">
        <f t="shared" si="8"/>
        <v>5.269511544823643E-3</v>
      </c>
      <c r="L51" s="484">
        <f t="shared" si="8"/>
        <v>1.3667119079295435E-2</v>
      </c>
      <c r="M51" s="484">
        <f t="shared" si="8"/>
        <v>1.5653875408167317E-2</v>
      </c>
      <c r="N51" s="484">
        <f t="shared" si="8"/>
        <v>1.8554243737914571E-2</v>
      </c>
      <c r="O51" s="484">
        <f t="shared" si="8"/>
        <v>2.0032665842146954E-2</v>
      </c>
      <c r="P51" s="484">
        <f t="shared" si="8"/>
        <v>2.3612315185315431E-2</v>
      </c>
      <c r="Q51" s="484">
        <f t="shared" si="8"/>
        <v>2.4701119662849512E-2</v>
      </c>
      <c r="R51" s="484">
        <f t="shared" si="8"/>
        <v>2.5108319375330725E-2</v>
      </c>
      <c r="S51" s="484">
        <f t="shared" si="8"/>
        <v>2.6773855770321986E-2</v>
      </c>
      <c r="T51" s="484">
        <f t="shared" si="8"/>
        <v>2.7473558687665954E-2</v>
      </c>
      <c r="U51" s="484">
        <f t="shared" si="8"/>
        <v>2.7799122100638052E-2</v>
      </c>
      <c r="V51" s="484">
        <f t="shared" si="8"/>
        <v>2.9449599616826427E-2</v>
      </c>
      <c r="W51" s="484">
        <f t="shared" si="8"/>
        <v>3.0911950073836469E-2</v>
      </c>
      <c r="X51" s="484">
        <f t="shared" si="8"/>
        <v>3.1508483259884784E-2</v>
      </c>
      <c r="Y51" s="484">
        <f t="shared" si="8"/>
        <v>3.2856189493688077E-2</v>
      </c>
      <c r="Z51" s="484">
        <f t="shared" si="8"/>
        <v>3.3907263022333219E-2</v>
      </c>
      <c r="AA51" s="484">
        <f t="shared" si="8"/>
        <v>3.4313578740964565E-2</v>
      </c>
      <c r="AB51" s="484">
        <f t="shared" si="8"/>
        <v>3.473343902691884E-2</v>
      </c>
      <c r="AC51" s="484">
        <f t="shared" si="8"/>
        <v>3.5049502168636906E-2</v>
      </c>
      <c r="AD51" s="484">
        <f t="shared" si="8"/>
        <v>3.428421136148984E-2</v>
      </c>
      <c r="AE51" s="484">
        <f t="shared" si="8"/>
        <v>3.4987366986466498E-2</v>
      </c>
      <c r="AF51" s="484">
        <f t="shared" si="8"/>
        <v>3.478368144188447E-2</v>
      </c>
      <c r="AG51" s="484">
        <f t="shared" si="8"/>
        <v>3.4912480217217455E-2</v>
      </c>
      <c r="AH51" s="484">
        <f t="shared" si="8"/>
        <v>3.5398308907304499E-2</v>
      </c>
      <c r="AI51" s="484">
        <f t="shared" si="8"/>
        <v>3.7396993827885479E-2</v>
      </c>
      <c r="AJ51" s="484">
        <f t="shared" si="8"/>
        <v>3.8652576864712018E-2</v>
      </c>
      <c r="AK51"/>
      <c r="AM51" s="255" t="s">
        <v>68</v>
      </c>
      <c r="AN51" s="255">
        <v>28.879000000000001</v>
      </c>
      <c r="AO51" s="255">
        <v>29.164000000000001</v>
      </c>
      <c r="AP51" s="255">
        <v>29.672000000000001</v>
      </c>
      <c r="AQ51" s="255">
        <v>29.606999999999999</v>
      </c>
      <c r="AR51" s="255">
        <v>28.462</v>
      </c>
    </row>
    <row r="52" spans="1:44" s="255" customFormat="1">
      <c r="A52" s="254" t="s">
        <v>71</v>
      </c>
      <c r="B52" s="506">
        <f>AN55</f>
        <v>0</v>
      </c>
      <c r="C52" s="506">
        <f t="shared" ref="C52:F52" si="9">AO55</f>
        <v>0</v>
      </c>
      <c r="D52" s="506">
        <f t="shared" si="9"/>
        <v>0</v>
      </c>
      <c r="E52" s="506">
        <f t="shared" si="9"/>
        <v>0</v>
      </c>
      <c r="F52" s="506">
        <f t="shared" si="9"/>
        <v>0</v>
      </c>
      <c r="G52" s="484">
        <f>G39*$AM40</f>
        <v>0</v>
      </c>
      <c r="H52" s="484">
        <f t="shared" ref="H52:AJ52" si="10">H39*$AM40</f>
        <v>0</v>
      </c>
      <c r="I52" s="484">
        <f t="shared" si="10"/>
        <v>0</v>
      </c>
      <c r="J52" s="484">
        <f t="shared" si="10"/>
        <v>0</v>
      </c>
      <c r="K52" s="484">
        <f t="shared" si="10"/>
        <v>0</v>
      </c>
      <c r="L52" s="484">
        <f t="shared" si="10"/>
        <v>0</v>
      </c>
      <c r="M52" s="484">
        <f t="shared" si="10"/>
        <v>0</v>
      </c>
      <c r="N52" s="484">
        <f t="shared" si="10"/>
        <v>0</v>
      </c>
      <c r="O52" s="484">
        <f t="shared" si="10"/>
        <v>0</v>
      </c>
      <c r="P52" s="484">
        <f t="shared" si="10"/>
        <v>0</v>
      </c>
      <c r="Q52" s="484">
        <f t="shared" si="10"/>
        <v>0</v>
      </c>
      <c r="R52" s="484">
        <f t="shared" si="10"/>
        <v>0</v>
      </c>
      <c r="S52" s="484">
        <f t="shared" si="10"/>
        <v>0</v>
      </c>
      <c r="T52" s="484">
        <f t="shared" si="10"/>
        <v>0</v>
      </c>
      <c r="U52" s="484">
        <f t="shared" si="10"/>
        <v>0</v>
      </c>
      <c r="V52" s="484">
        <f t="shared" si="10"/>
        <v>0</v>
      </c>
      <c r="W52" s="484">
        <f t="shared" si="10"/>
        <v>0</v>
      </c>
      <c r="X52" s="484">
        <f t="shared" si="10"/>
        <v>0</v>
      </c>
      <c r="Y52" s="484">
        <f t="shared" si="10"/>
        <v>0</v>
      </c>
      <c r="Z52" s="484">
        <f t="shared" si="10"/>
        <v>0</v>
      </c>
      <c r="AA52" s="484">
        <f t="shared" si="10"/>
        <v>0</v>
      </c>
      <c r="AB52" s="484">
        <f t="shared" si="10"/>
        <v>0</v>
      </c>
      <c r="AC52" s="484">
        <f t="shared" si="10"/>
        <v>0</v>
      </c>
      <c r="AD52" s="484">
        <f t="shared" si="10"/>
        <v>0</v>
      </c>
      <c r="AE52" s="484">
        <f t="shared" si="10"/>
        <v>0</v>
      </c>
      <c r="AF52" s="484">
        <f t="shared" si="10"/>
        <v>0</v>
      </c>
      <c r="AG52" s="484">
        <f t="shared" si="10"/>
        <v>0</v>
      </c>
      <c r="AH52" s="484">
        <f t="shared" si="10"/>
        <v>0</v>
      </c>
      <c r="AI52" s="484">
        <f t="shared" si="10"/>
        <v>0</v>
      </c>
      <c r="AJ52" s="484">
        <f t="shared" si="10"/>
        <v>0</v>
      </c>
      <c r="AK52"/>
      <c r="AM52" s="255" t="s">
        <v>69</v>
      </c>
      <c r="AN52" s="255">
        <v>4.2000000000000003E-2</v>
      </c>
      <c r="AO52" s="255">
        <v>5.0999999999999997E-2</v>
      </c>
      <c r="AP52" s="255">
        <v>4.9000000000000002E-2</v>
      </c>
      <c r="AQ52" s="255">
        <v>4.4999999999999998E-2</v>
      </c>
      <c r="AR52" s="255">
        <v>3.7999999999999999E-2</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748</v>
      </c>
      <c r="AN53" s="255">
        <v>7.0000000000000001E-3</v>
      </c>
      <c r="AO53" s="255">
        <v>1.7000000000000001E-2</v>
      </c>
      <c r="AP53" s="255">
        <v>0</v>
      </c>
      <c r="AQ53" s="255">
        <v>1.7000000000000001E-2</v>
      </c>
      <c r="AR53" s="255">
        <v>1.6E-2</v>
      </c>
    </row>
    <row r="54" spans="1:44" s="255" customFormat="1">
      <c r="A54" s="254" t="s">
        <v>628</v>
      </c>
      <c r="B54" s="506">
        <f>AN56</f>
        <v>1.8939999999999999</v>
      </c>
      <c r="C54" s="506">
        <f t="shared" ref="C54:F54" si="11">AO56</f>
        <v>1.94</v>
      </c>
      <c r="D54" s="506">
        <f t="shared" si="11"/>
        <v>2.9590000000000001</v>
      </c>
      <c r="E54" s="506">
        <f t="shared" si="11"/>
        <v>4.484</v>
      </c>
      <c r="F54" s="506">
        <f t="shared" si="11"/>
        <v>6.15</v>
      </c>
      <c r="G54" s="484">
        <f>EIA_RE_aeo2014!G79</f>
        <v>6.7770711529629484</v>
      </c>
      <c r="H54" s="484">
        <f>EIA_RE_aeo2014!H79</f>
        <v>7.1931892750126405</v>
      </c>
      <c r="I54" s="484">
        <f>EIA_RE_aeo2014!I79</f>
        <v>7.1473089893890442</v>
      </c>
      <c r="J54" s="484">
        <f>EIA_RE_aeo2014!J79</f>
        <v>7.2477868046041962</v>
      </c>
      <c r="K54" s="484">
        <f>EIA_RE_aeo2014!K79</f>
        <v>8.3733443903028153</v>
      </c>
      <c r="L54" s="484">
        <f>EIA_RE_aeo2014!L79</f>
        <v>9.1017578143145546</v>
      </c>
      <c r="M54" s="484">
        <f>EIA_RE_aeo2014!M79</f>
        <v>9.1434802810488733</v>
      </c>
      <c r="N54" s="484">
        <f>EIA_RE_aeo2014!N79</f>
        <v>9.1437808419000017</v>
      </c>
      <c r="O54" s="484">
        <f>EIA_RE_aeo2014!O79</f>
        <v>9.1439306409000025</v>
      </c>
      <c r="P54" s="484">
        <f>EIA_RE_aeo2014!P79</f>
        <v>9.1443995549000014</v>
      </c>
      <c r="Q54" s="484">
        <f>EIA_RE_aeo2014!Q79</f>
        <v>9.1435853179000013</v>
      </c>
      <c r="R54" s="484">
        <f>EIA_RE_aeo2014!R79</f>
        <v>9.143883015900002</v>
      </c>
      <c r="S54" s="484">
        <f>EIA_RE_aeo2014!S79</f>
        <v>9.143725175900002</v>
      </c>
      <c r="T54" s="484">
        <f>EIA_RE_aeo2014!T79</f>
        <v>9.1439374699000009</v>
      </c>
      <c r="U54" s="484">
        <f>EIA_RE_aeo2014!U79</f>
        <v>9.1438161809000018</v>
      </c>
      <c r="V54" s="484">
        <f>EIA_RE_aeo2014!V79</f>
        <v>9.143813594900001</v>
      </c>
      <c r="W54" s="484">
        <f>EIA_RE_aeo2014!W79</f>
        <v>9.2415191047333138</v>
      </c>
      <c r="X54" s="484">
        <f>EIA_RE_aeo2014!X79</f>
        <v>9.2413289837333146</v>
      </c>
      <c r="Y54" s="484">
        <f>EIA_RE_aeo2014!Y79</f>
        <v>9.2412081797333148</v>
      </c>
      <c r="Z54" s="484">
        <f>EIA_RE_aeo2014!Z79</f>
        <v>9.2515857087893991</v>
      </c>
      <c r="AA54" s="484">
        <f>EIA_RE_aeo2014!AA79</f>
        <v>9.2518892687893981</v>
      </c>
      <c r="AB54" s="484">
        <f>EIA_RE_aeo2014!AB79</f>
        <v>9.2642260388277045</v>
      </c>
      <c r="AC54" s="484">
        <f>EIA_RE_aeo2014!AC79</f>
        <v>9.2674592998277046</v>
      </c>
      <c r="AD54" s="484">
        <f>EIA_RE_aeo2014!AD79</f>
        <v>9.2743227978277041</v>
      </c>
      <c r="AE54" s="484">
        <f>EIA_RE_aeo2014!AE79</f>
        <v>9.2812467838277044</v>
      </c>
      <c r="AF54" s="484">
        <f>EIA_RE_aeo2014!AF79</f>
        <v>9.2807795208277053</v>
      </c>
      <c r="AG54" s="484">
        <f>EIA_RE_aeo2014!AG79</f>
        <v>9.2925871738277053</v>
      </c>
      <c r="AH54" s="484">
        <f>EIA_RE_aeo2014!AH79</f>
        <v>9.3006835998277051</v>
      </c>
      <c r="AI54" s="484">
        <f>EIA_RE_aeo2014!AI79</f>
        <v>9.3131945098277065</v>
      </c>
      <c r="AJ54" s="484">
        <f>EIA_RE_aeo2014!AJ79</f>
        <v>9.3333567128277046</v>
      </c>
      <c r="AK54"/>
      <c r="AM54" s="255" t="s">
        <v>749</v>
      </c>
      <c r="AN54" s="255">
        <v>5.8999999999999997E-2</v>
      </c>
      <c r="AO54" s="255">
        <v>5.2999999999999999E-2</v>
      </c>
      <c r="AP54" s="255">
        <v>0</v>
      </c>
      <c r="AQ54" s="255">
        <v>4.3999999999999997E-2</v>
      </c>
      <c r="AR54" s="255">
        <v>3.5999999999999997E-2</v>
      </c>
    </row>
    <row r="55" spans="1:44" s="255" customFormat="1">
      <c r="A55" s="254" t="s">
        <v>629</v>
      </c>
      <c r="B55" s="506">
        <f>AN58</f>
        <v>0</v>
      </c>
      <c r="C55" s="506">
        <f t="shared" ref="C55:F55" si="12">AO58</f>
        <v>1E-3</v>
      </c>
      <c r="D55" s="506">
        <f t="shared" si="12"/>
        <v>5.3999999999999999E-2</v>
      </c>
      <c r="E55" s="506">
        <f t="shared" si="12"/>
        <v>0</v>
      </c>
      <c r="F55" s="506">
        <f t="shared" si="12"/>
        <v>3.6999999999999998E-2</v>
      </c>
      <c r="G55" s="484">
        <f>G40*$AM43</f>
        <v>1.4466595465001644E-2</v>
      </c>
      <c r="H55" s="484">
        <f t="shared" ref="H55:AJ55" si="13">H40*$AM43</f>
        <v>1.4466595465001644E-2</v>
      </c>
      <c r="I55" s="484">
        <f t="shared" si="13"/>
        <v>1.4466595465001644E-2</v>
      </c>
      <c r="J55" s="484">
        <f t="shared" si="13"/>
        <v>1.4466595465001644E-2</v>
      </c>
      <c r="K55" s="484">
        <f t="shared" si="13"/>
        <v>1.4466595465001644E-2</v>
      </c>
      <c r="L55" s="484">
        <f t="shared" si="13"/>
        <v>1.4466595465001644E-2</v>
      </c>
      <c r="M55" s="484">
        <f t="shared" si="13"/>
        <v>1.4466595465001644E-2</v>
      </c>
      <c r="N55" s="484">
        <f t="shared" si="13"/>
        <v>1.4466595465001644E-2</v>
      </c>
      <c r="O55" s="484">
        <f t="shared" si="13"/>
        <v>1.4557779658232009E-2</v>
      </c>
      <c r="P55" s="484">
        <f t="shared" si="13"/>
        <v>1.4609537627341442E-2</v>
      </c>
      <c r="Q55" s="484">
        <f t="shared" si="13"/>
        <v>1.476061255340125E-2</v>
      </c>
      <c r="R55" s="484">
        <f t="shared" si="13"/>
        <v>1.477254650016431E-2</v>
      </c>
      <c r="S55" s="484">
        <f t="shared" si="13"/>
        <v>1.477254650016431E-2</v>
      </c>
      <c r="T55" s="484">
        <f t="shared" si="13"/>
        <v>1.477254650016431E-2</v>
      </c>
      <c r="U55" s="484">
        <f t="shared" si="13"/>
        <v>1.4793011008872823E-2</v>
      </c>
      <c r="V55" s="484">
        <f t="shared" si="13"/>
        <v>1.4800878573775877E-2</v>
      </c>
      <c r="W55" s="484">
        <f t="shared" si="13"/>
        <v>1.4805165954650016E-2</v>
      </c>
      <c r="X55" s="484">
        <f t="shared" si="13"/>
        <v>1.4812989319750244E-2</v>
      </c>
      <c r="Y55" s="484">
        <f t="shared" si="13"/>
        <v>1.4821785080512651E-2</v>
      </c>
      <c r="Z55" s="484">
        <f t="shared" si="13"/>
        <v>1.4825409464344396E-2</v>
      </c>
      <c r="AA55" s="484">
        <f t="shared" si="13"/>
        <v>1.483376322707854E-2</v>
      </c>
      <c r="AB55" s="484">
        <f t="shared" si="13"/>
        <v>1.4837918008544199E-2</v>
      </c>
      <c r="AC55" s="484">
        <f t="shared" si="13"/>
        <v>1.4852150345054223E-2</v>
      </c>
      <c r="AD55" s="484">
        <f t="shared" si="13"/>
        <v>1.4865940683535984E-2</v>
      </c>
      <c r="AE55" s="484">
        <f t="shared" si="13"/>
        <v>1.4874471245481432E-2</v>
      </c>
      <c r="AF55" s="484">
        <f t="shared" si="13"/>
        <v>1.4888217384160367E-2</v>
      </c>
      <c r="AG55" s="484">
        <f t="shared" si="13"/>
        <v>1.4903333716726913E-2</v>
      </c>
      <c r="AH55" s="484">
        <f t="shared" si="13"/>
        <v>1.4912792474531712E-2</v>
      </c>
      <c r="AI55" s="484">
        <f t="shared" si="13"/>
        <v>1.4923709825829773E-2</v>
      </c>
      <c r="AJ55" s="484">
        <f t="shared" si="13"/>
        <v>1.4934936575747616E-2</v>
      </c>
      <c r="AK55"/>
      <c r="AM55" s="255" t="s">
        <v>225</v>
      </c>
      <c r="AN55" s="255">
        <v>0</v>
      </c>
      <c r="AO55" s="255">
        <v>0</v>
      </c>
      <c r="AP55" s="255">
        <v>0</v>
      </c>
      <c r="AQ55" s="255">
        <v>0</v>
      </c>
      <c r="AR55" s="255">
        <v>0</v>
      </c>
    </row>
    <row r="56" spans="1:44" s="255" customFormat="1">
      <c r="A56" s="254" t="s">
        <v>82</v>
      </c>
      <c r="B56" s="506">
        <f>AN59</f>
        <v>30.881</v>
      </c>
      <c r="C56" s="506">
        <f t="shared" ref="C56" si="14">AO59</f>
        <v>31.224</v>
      </c>
      <c r="D56" s="506">
        <f t="shared" ref="D56" si="15">AP59</f>
        <v>32.734999999999999</v>
      </c>
      <c r="E56" s="506">
        <f t="shared" ref="E56" si="16">AQ59</f>
        <v>34.195999999999998</v>
      </c>
      <c r="F56" s="506">
        <f t="shared" ref="F56" si="17">AR59</f>
        <v>34.74</v>
      </c>
      <c r="G56" s="529">
        <f>G58</f>
        <v>32.111104969083129</v>
      </c>
      <c r="H56" s="529">
        <f t="shared" ref="H56:AJ56" si="18">H58</f>
        <v>30.771785592158452</v>
      </c>
      <c r="I56" s="529">
        <f t="shared" si="18"/>
        <v>31.525426509061305</v>
      </c>
      <c r="J56" s="529">
        <f t="shared" si="18"/>
        <v>31.515876955215457</v>
      </c>
      <c r="K56" s="529">
        <f t="shared" si="18"/>
        <v>33.282373189923639</v>
      </c>
      <c r="L56" s="529">
        <f t="shared" si="18"/>
        <v>32.388063635368539</v>
      </c>
      <c r="M56" s="529">
        <f t="shared" si="18"/>
        <v>32.022806648416562</v>
      </c>
      <c r="N56" s="529">
        <f t="shared" si="18"/>
        <v>32.535880997399495</v>
      </c>
      <c r="O56" s="529">
        <f t="shared" si="18"/>
        <v>32.758533003142155</v>
      </c>
      <c r="P56" s="529">
        <f t="shared" si="18"/>
        <v>32.910952790323783</v>
      </c>
      <c r="Q56" s="529">
        <f t="shared" si="18"/>
        <v>32.973648287255187</v>
      </c>
      <c r="R56" s="529">
        <f t="shared" si="18"/>
        <v>33.039322936143456</v>
      </c>
      <c r="S56" s="529">
        <f t="shared" si="18"/>
        <v>33.178315281635086</v>
      </c>
      <c r="T56" s="529">
        <f t="shared" si="18"/>
        <v>33.288404103458802</v>
      </c>
      <c r="U56" s="529">
        <f t="shared" si="18"/>
        <v>33.351271072820339</v>
      </c>
      <c r="V56" s="529">
        <f t="shared" si="18"/>
        <v>33.362688645363782</v>
      </c>
      <c r="W56" s="529">
        <f t="shared" si="18"/>
        <v>33.425329987518914</v>
      </c>
      <c r="X56" s="529">
        <f t="shared" si="18"/>
        <v>33.379764994362226</v>
      </c>
      <c r="Y56" s="529">
        <f t="shared" si="18"/>
        <v>33.394455516560726</v>
      </c>
      <c r="Z56" s="529">
        <f t="shared" si="18"/>
        <v>33.411850634079755</v>
      </c>
      <c r="AA56" s="529">
        <f t="shared" si="18"/>
        <v>33.407753513067995</v>
      </c>
      <c r="AB56" s="529">
        <f t="shared" si="18"/>
        <v>33.400177877838104</v>
      </c>
      <c r="AC56" s="529">
        <f t="shared" si="18"/>
        <v>33.391134622362372</v>
      </c>
      <c r="AD56" s="529">
        <f t="shared" si="18"/>
        <v>33.374313017364365</v>
      </c>
      <c r="AE56" s="529">
        <f t="shared" si="18"/>
        <v>33.366249651962292</v>
      </c>
      <c r="AF56" s="529">
        <f t="shared" si="18"/>
        <v>33.345259311331496</v>
      </c>
      <c r="AG56" s="529">
        <f t="shared" si="18"/>
        <v>33.336320609688414</v>
      </c>
      <c r="AH56" s="529">
        <f t="shared" si="18"/>
        <v>33.323034764128245</v>
      </c>
      <c r="AI56" s="529">
        <f t="shared" si="18"/>
        <v>33.318632525097179</v>
      </c>
      <c r="AJ56" s="529">
        <f t="shared" si="18"/>
        <v>33.322473819756979</v>
      </c>
      <c r="AK56"/>
      <c r="AM56" s="255" t="s">
        <v>750</v>
      </c>
      <c r="AN56" s="255">
        <v>1.8939999999999999</v>
      </c>
      <c r="AO56" s="255">
        <v>1.94</v>
      </c>
      <c r="AP56" s="255">
        <v>2.9590000000000001</v>
      </c>
      <c r="AQ56" s="255">
        <v>4.484</v>
      </c>
      <c r="AR56" s="255">
        <v>6.15</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751</v>
      </c>
      <c r="AN57" s="255">
        <v>0</v>
      </c>
      <c r="AO57" s="255">
        <v>0</v>
      </c>
      <c r="AP57" s="255">
        <v>0</v>
      </c>
      <c r="AQ57" s="255">
        <v>0</v>
      </c>
      <c r="AR57" s="255">
        <v>0</v>
      </c>
    </row>
    <row r="58" spans="1:44" s="255" customFormat="1">
      <c r="A58" s="254" t="s">
        <v>83</v>
      </c>
      <c r="B58" s="483">
        <f>SUM(B49:B52,B54,B55)</f>
        <v>30.822000000000003</v>
      </c>
      <c r="C58" s="483">
        <f t="shared" ref="C58:AJ58" si="19">SUM(C49:C52,C54,C55)</f>
        <v>31.173000000000002</v>
      </c>
      <c r="D58" s="483">
        <f t="shared" si="19"/>
        <v>32.734000000000002</v>
      </c>
      <c r="E58" s="483">
        <f t="shared" si="19"/>
        <v>34.152999999999999</v>
      </c>
      <c r="F58" s="483">
        <f t="shared" si="19"/>
        <v>34.702999999999996</v>
      </c>
      <c r="G58" s="483">
        <f t="shared" si="19"/>
        <v>32.111104969083129</v>
      </c>
      <c r="H58" s="483">
        <f t="shared" si="19"/>
        <v>30.771785592158452</v>
      </c>
      <c r="I58" s="483">
        <f t="shared" si="19"/>
        <v>31.525426509061305</v>
      </c>
      <c r="J58" s="483">
        <f t="shared" si="19"/>
        <v>31.515876955215457</v>
      </c>
      <c r="K58" s="483">
        <f t="shared" si="19"/>
        <v>33.282373189923639</v>
      </c>
      <c r="L58" s="483">
        <f t="shared" si="19"/>
        <v>32.388063635368539</v>
      </c>
      <c r="M58" s="483">
        <f t="shared" si="19"/>
        <v>32.022806648416562</v>
      </c>
      <c r="N58" s="483">
        <f t="shared" si="19"/>
        <v>32.535880997399495</v>
      </c>
      <c r="O58" s="483">
        <f t="shared" si="19"/>
        <v>32.758533003142155</v>
      </c>
      <c r="P58" s="483">
        <f t="shared" si="19"/>
        <v>32.910952790323783</v>
      </c>
      <c r="Q58" s="483">
        <f t="shared" si="19"/>
        <v>32.973648287255187</v>
      </c>
      <c r="R58" s="483">
        <f t="shared" si="19"/>
        <v>33.039322936143456</v>
      </c>
      <c r="S58" s="483">
        <f t="shared" si="19"/>
        <v>33.178315281635086</v>
      </c>
      <c r="T58" s="483">
        <f t="shared" si="19"/>
        <v>33.288404103458802</v>
      </c>
      <c r="U58" s="483">
        <f t="shared" si="19"/>
        <v>33.351271072820339</v>
      </c>
      <c r="V58" s="483">
        <f t="shared" si="19"/>
        <v>33.362688645363782</v>
      </c>
      <c r="W58" s="483">
        <f t="shared" si="19"/>
        <v>33.425329987518914</v>
      </c>
      <c r="X58" s="483">
        <f t="shared" si="19"/>
        <v>33.379764994362226</v>
      </c>
      <c r="Y58" s="483">
        <f t="shared" si="19"/>
        <v>33.394455516560726</v>
      </c>
      <c r="Z58" s="483">
        <f t="shared" si="19"/>
        <v>33.411850634079755</v>
      </c>
      <c r="AA58" s="483">
        <f t="shared" si="19"/>
        <v>33.407753513067995</v>
      </c>
      <c r="AB58" s="483">
        <f t="shared" si="19"/>
        <v>33.400177877838104</v>
      </c>
      <c r="AC58" s="483">
        <f t="shared" si="19"/>
        <v>33.391134622362372</v>
      </c>
      <c r="AD58" s="483">
        <f t="shared" si="19"/>
        <v>33.374313017364365</v>
      </c>
      <c r="AE58" s="483">
        <f t="shared" si="19"/>
        <v>33.366249651962292</v>
      </c>
      <c r="AF58" s="483">
        <f t="shared" si="19"/>
        <v>33.345259311331496</v>
      </c>
      <c r="AG58" s="483">
        <f t="shared" si="19"/>
        <v>33.336320609688414</v>
      </c>
      <c r="AH58" s="483">
        <f t="shared" si="19"/>
        <v>33.323034764128245</v>
      </c>
      <c r="AI58" s="483">
        <f t="shared" si="19"/>
        <v>33.318632525097179</v>
      </c>
      <c r="AJ58" s="483">
        <f t="shared" si="19"/>
        <v>33.322473819756979</v>
      </c>
      <c r="AK58" s="490">
        <v>8.9999999999999993E-3</v>
      </c>
      <c r="AM58" s="255" t="s">
        <v>744</v>
      </c>
      <c r="AN58" s="255">
        <v>0</v>
      </c>
      <c r="AO58" s="255">
        <v>1E-3</v>
      </c>
      <c r="AP58" s="255">
        <v>5.3999999999999999E-2</v>
      </c>
      <c r="AQ58" s="255">
        <v>0</v>
      </c>
      <c r="AR58" s="255">
        <v>3.6999999999999998E-2</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30.881</v>
      </c>
      <c r="AO59" s="5">
        <v>31.224</v>
      </c>
      <c r="AP59" s="5">
        <v>32.734999999999999</v>
      </c>
      <c r="AQ59" s="5">
        <v>34.195999999999998</v>
      </c>
      <c r="AR59" s="5">
        <v>34.74</v>
      </c>
    </row>
    <row r="60" spans="1:44" s="274" customFormat="1">
      <c r="A60" s="273" t="s">
        <v>331</v>
      </c>
      <c r="B60" s="367"/>
      <c r="C60" s="367"/>
      <c r="D60" s="367"/>
      <c r="E60" s="367">
        <f>E49/SUM(E49,E51)</f>
        <v>0.99942614096678373</v>
      </c>
      <c r="F60" s="367">
        <f t="shared" ref="F60:AJ60" si="20">F49/SUM(F49,F51)</f>
        <v>0.999438162792331</v>
      </c>
      <c r="G60" s="324">
        <f t="shared" si="20"/>
        <v>0.99976088244840455</v>
      </c>
      <c r="H60" s="324">
        <f t="shared" si="20"/>
        <v>0.99950937364274728</v>
      </c>
      <c r="I60" s="324">
        <f t="shared" si="20"/>
        <v>0.99985111789779535</v>
      </c>
      <c r="J60" s="324">
        <f t="shared" si="20"/>
        <v>0.99977057233543609</v>
      </c>
      <c r="K60" s="324">
        <f t="shared" si="20"/>
        <v>0.99978816157205574</v>
      </c>
      <c r="L60" s="324">
        <f t="shared" si="20"/>
        <v>0.99941225847144766</v>
      </c>
      <c r="M60" s="324">
        <f t="shared" si="20"/>
        <v>0.99931483781416919</v>
      </c>
      <c r="N60" s="324">
        <f t="shared" si="20"/>
        <v>0.99920570102998518</v>
      </c>
      <c r="O60" s="324">
        <f t="shared" si="20"/>
        <v>0.9991504919272457</v>
      </c>
      <c r="P60" s="324">
        <f t="shared" si="20"/>
        <v>0.99900509182835195</v>
      </c>
      <c r="Q60" s="324">
        <f t="shared" si="20"/>
        <v>0.99896198590375695</v>
      </c>
      <c r="R60" s="324">
        <f t="shared" si="20"/>
        <v>0.99894776428805332</v>
      </c>
      <c r="S60" s="324">
        <f t="shared" si="20"/>
        <v>0.99888446535350339</v>
      </c>
      <c r="T60" s="324">
        <f t="shared" si="20"/>
        <v>0.99886052386457169</v>
      </c>
      <c r="U60" s="324">
        <f t="shared" si="20"/>
        <v>0.99885002178061666</v>
      </c>
      <c r="V60" s="324">
        <f t="shared" si="20"/>
        <v>0.99878232056329941</v>
      </c>
      <c r="W60" s="324">
        <f t="shared" si="20"/>
        <v>0.99872000043609011</v>
      </c>
      <c r="X60" s="324">
        <f t="shared" si="20"/>
        <v>0.99869284470044262</v>
      </c>
      <c r="Y60" s="324">
        <f t="shared" si="20"/>
        <v>0.99863776962669193</v>
      </c>
      <c r="Z60" s="324">
        <f t="shared" si="20"/>
        <v>0.99859459935623984</v>
      </c>
      <c r="AA60" s="324">
        <f t="shared" si="20"/>
        <v>0.99857749847204647</v>
      </c>
      <c r="AB60" s="324">
        <f t="shared" si="20"/>
        <v>0.99855890326625629</v>
      </c>
      <c r="AC60" s="324">
        <f t="shared" si="20"/>
        <v>0.99854504850135617</v>
      </c>
      <c r="AD60" s="324">
        <f t="shared" si="20"/>
        <v>0.99857541592003085</v>
      </c>
      <c r="AE60" s="324">
        <f t="shared" si="20"/>
        <v>0.99854529229909605</v>
      </c>
      <c r="AF60" s="324">
        <f t="shared" si="20"/>
        <v>0.99855252640374947</v>
      </c>
      <c r="AG60" s="324">
        <f t="shared" si="20"/>
        <v>0.99854591126444903</v>
      </c>
      <c r="AH60" s="324">
        <f t="shared" si="20"/>
        <v>0.99852436247799059</v>
      </c>
      <c r="AI60" s="324">
        <f t="shared" si="20"/>
        <v>0.9984399445039096</v>
      </c>
      <c r="AJ60" s="324">
        <f t="shared" si="20"/>
        <v>0.99838647178976769</v>
      </c>
      <c r="AK60" s="324"/>
      <c r="AL60" s="274" t="s">
        <v>0</v>
      </c>
    </row>
    <row r="61" spans="1:44" s="265" customFormat="1">
      <c r="A61" s="262" t="s">
        <v>107</v>
      </c>
      <c r="B61" s="358">
        <f>B54/B58</f>
        <v>6.1449613912140669E-2</v>
      </c>
      <c r="C61" s="358">
        <f t="shared" ref="C61:AJ61" si="21">C54/C58</f>
        <v>6.2233342957046155E-2</v>
      </c>
      <c r="D61" s="358">
        <f t="shared" si="21"/>
        <v>9.0395307631209135E-2</v>
      </c>
      <c r="E61" s="358">
        <f t="shared" si="21"/>
        <v>0.13129154100664656</v>
      </c>
      <c r="F61" s="358">
        <f t="shared" si="21"/>
        <v>0.17721810794455814</v>
      </c>
      <c r="G61" s="309">
        <f t="shared" si="21"/>
        <v>0.21105069911135027</v>
      </c>
      <c r="H61" s="309">
        <f t="shared" si="21"/>
        <v>0.23375924200010267</v>
      </c>
      <c r="I61" s="309">
        <f t="shared" si="21"/>
        <v>0.22671569526060828</v>
      </c>
      <c r="J61" s="309">
        <f t="shared" si="21"/>
        <v>0.22997255684502804</v>
      </c>
      <c r="K61" s="309">
        <f t="shared" si="21"/>
        <v>0.25158495587201324</v>
      </c>
      <c r="L61" s="309">
        <f t="shared" si="21"/>
        <v>0.28102198133188849</v>
      </c>
      <c r="M61" s="309">
        <f t="shared" si="21"/>
        <v>0.28553025915050428</v>
      </c>
      <c r="N61" s="309">
        <f t="shared" si="21"/>
        <v>0.28103682954307707</v>
      </c>
      <c r="O61" s="309">
        <f t="shared" si="21"/>
        <v>0.27913126146469774</v>
      </c>
      <c r="P61" s="309">
        <f t="shared" si="21"/>
        <v>0.27785277482420884</v>
      </c>
      <c r="Q61" s="309">
        <f t="shared" si="21"/>
        <v>0.27729977702934788</v>
      </c>
      <c r="R61" s="309">
        <f t="shared" si="21"/>
        <v>0.2767575786456879</v>
      </c>
      <c r="S61" s="309">
        <f t="shared" si="21"/>
        <v>0.27559341389950714</v>
      </c>
      <c r="T61" s="309">
        <f t="shared" si="21"/>
        <v>0.27468837020486386</v>
      </c>
      <c r="U61" s="309">
        <f t="shared" si="21"/>
        <v>0.27416694736866465</v>
      </c>
      <c r="V61" s="309">
        <f t="shared" si="21"/>
        <v>0.27407304285623463</v>
      </c>
      <c r="W61" s="309">
        <f t="shared" si="21"/>
        <v>0.27648250916846939</v>
      </c>
      <c r="X61" s="309">
        <f t="shared" si="21"/>
        <v>0.27685422546546257</v>
      </c>
      <c r="Y61" s="309">
        <f t="shared" si="21"/>
        <v>0.27672881730772597</v>
      </c>
      <c r="Z61" s="309">
        <f t="shared" si="21"/>
        <v>0.27689533902539581</v>
      </c>
      <c r="AA61" s="309">
        <f t="shared" si="21"/>
        <v>0.27693838393444709</v>
      </c>
      <c r="AB61" s="309">
        <f t="shared" si="21"/>
        <v>0.27737055990275916</v>
      </c>
      <c r="AC61" s="309">
        <f t="shared" si="21"/>
        <v>0.27754250955046</v>
      </c>
      <c r="AD61" s="309">
        <f t="shared" si="21"/>
        <v>0.27788805099905289</v>
      </c>
      <c r="AE61" s="309">
        <f t="shared" si="21"/>
        <v>0.2781627207324413</v>
      </c>
      <c r="AF61" s="309">
        <f t="shared" si="21"/>
        <v>0.27832380711682997</v>
      </c>
      <c r="AG61" s="309">
        <f t="shared" si="21"/>
        <v>0.27875263388026794</v>
      </c>
      <c r="AH61" s="309">
        <f t="shared" si="21"/>
        <v>0.27910673999715518</v>
      </c>
      <c r="AI61" s="309">
        <f t="shared" si="21"/>
        <v>0.27951910999986462</v>
      </c>
      <c r="AJ61" s="309">
        <f t="shared" si="21"/>
        <v>0.28009195125524966</v>
      </c>
      <c r="AK61" s="309"/>
    </row>
    <row r="62" spans="1:44" s="275" customFormat="1">
      <c r="A62" s="264" t="s">
        <v>108</v>
      </c>
      <c r="B62" s="368">
        <f>(B54-EIA_RE_aeo2014!B73)/B56</f>
        <v>1.2078624396878339E-2</v>
      </c>
      <c r="C62" s="368">
        <f>(C54-EIA_RE_aeo2014!C73)/C56</f>
        <v>2.033692031770433E-2</v>
      </c>
      <c r="D62" s="368">
        <f>(D54-EIA_RE_aeo2014!D73)/D56</f>
        <v>5.2115472735604101E-2</v>
      </c>
      <c r="E62" s="368">
        <f>(E54-EIA_RE_aeo2014!E73)/E56</f>
        <v>8.7992747689788278E-2</v>
      </c>
      <c r="F62" s="368">
        <f>(F54-EIA_RE_aeo2014!F73)/F56</f>
        <v>0.11824985607369028</v>
      </c>
      <c r="G62" s="325">
        <f>(G54-EIA_RE_aeo2014!G73)/G56</f>
        <v>0.13499507118405377</v>
      </c>
      <c r="H62" s="325">
        <f>(H54-EIA_RE_aeo2014!H73)/H56</f>
        <v>0.16492168083327738</v>
      </c>
      <c r="I62" s="325">
        <f>(I54-EIA_RE_aeo2014!I73)/I56</f>
        <v>0.17051974048804289</v>
      </c>
      <c r="J62" s="325">
        <f>(J54-EIA_RE_aeo2014!J73)/J56</f>
        <v>0.17254243519313248</v>
      </c>
      <c r="K62" s="325">
        <f>(K54-EIA_RE_aeo2014!K73)/K56</f>
        <v>0.19608298695706597</v>
      </c>
      <c r="L62" s="325">
        <f>(L54-EIA_RE_aeo2014!L73)/L56</f>
        <v>0.22282922978510072</v>
      </c>
      <c r="M62" s="325">
        <f>(M54-EIA_RE_aeo2014!M73)/M56</f>
        <v>0.22549237789739618</v>
      </c>
      <c r="N62" s="325">
        <f>(N54-EIA_RE_aeo2014!N73)/N56</f>
        <v>0.22194568503238535</v>
      </c>
      <c r="O62" s="325">
        <f>(O54-EIA_RE_aeo2014!O73)/O56</f>
        <v>0.22044174549597012</v>
      </c>
      <c r="P62" s="325">
        <f>(P54-EIA_RE_aeo2014!P73)/P56</f>
        <v>0.21943506634737422</v>
      </c>
      <c r="Q62" s="325">
        <f>(Q54-EIA_RE_aeo2014!Q73)/Q56</f>
        <v>0.21899314292410363</v>
      </c>
      <c r="R62" s="325">
        <f>(R54-EIA_RE_aeo2014!R73)/R56</f>
        <v>0.21856684484899777</v>
      </c>
      <c r="S62" s="325">
        <f>(S54-EIA_RE_aeo2014!S73)/S56</f>
        <v>0.2176464557890635</v>
      </c>
      <c r="T62" s="325">
        <f>(T54-EIA_RE_aeo2014!T73)/T56</f>
        <v>0.21693304976881336</v>
      </c>
      <c r="U62" s="325">
        <f>(U54-EIA_RE_aeo2014!U73)/U56</f>
        <v>0.21652049540579441</v>
      </c>
      <c r="V62" s="325">
        <f>(V54-EIA_RE_aeo2014!V73)/V56</f>
        <v>0.21644631899604086</v>
      </c>
      <c r="W62" s="325">
        <f>(W54-EIA_RE_aeo2014!W73)/W56</f>
        <v>0.21600694089769648</v>
      </c>
      <c r="X62" s="325">
        <f>(X54-EIA_RE_aeo2014!X73)/X56</f>
        <v>0.21629610511995603</v>
      </c>
      <c r="Y62" s="325">
        <f>(Y54-EIA_RE_aeo2014!Y73)/Y56</f>
        <v>0.21619733702559146</v>
      </c>
      <c r="Z62" s="325">
        <f>(Z54-EIA_RE_aeo2014!Z73)/Z56</f>
        <v>0.21607268179082237</v>
      </c>
      <c r="AA62" s="325">
        <f>(AA54-EIA_RE_aeo2014!AK73)/AA56</f>
        <v>0.27693838393444709</v>
      </c>
      <c r="AB62" s="325">
        <f>(AB54-EIA_RE_aeo2014!AL73)/AB56</f>
        <v>0.27737055990275916</v>
      </c>
      <c r="AC62" s="325">
        <f>(AC54-EIA_RE_aeo2014!AM73)/AC56</f>
        <v>0.27754250955046</v>
      </c>
      <c r="AD62" s="325">
        <f>(AD54-EIA_RE_aeo2014!AN73)/AD56</f>
        <v>0.23231407920797403</v>
      </c>
      <c r="AE62" s="325">
        <f>(AE54-EIA_RE_aeo2014!AO73)/AE56</f>
        <v>0.23905134280977294</v>
      </c>
      <c r="AF62" s="325">
        <f>(AF54-EIA_RE_aeo2014!AP73)/AF56</f>
        <v>0.24074725123219176</v>
      </c>
      <c r="AG62" s="325">
        <f>(AG54-EIA_RE_aeo2014!AQ73)/AG56</f>
        <v>0.23450659913427005</v>
      </c>
      <c r="AH62" s="325">
        <f>(AH54-EIA_RE_aeo2014!AR73)/AH56</f>
        <v>0.21782780743732175</v>
      </c>
      <c r="AI62" s="325">
        <f>(AI54-EIA_RE_aeo2014!AS73)/AI56</f>
        <v>0.27951910999986462</v>
      </c>
      <c r="AJ62" s="325">
        <f>(AJ54-EIA_RE_aeo2014!AT73)/AJ56</f>
        <v>0.28009195125524966</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3.1953134437070636</v>
      </c>
      <c r="H64" s="481">
        <f t="shared" ref="H64:O64" si="22">H63/1000/H58</f>
        <v>5.3087906862196892</v>
      </c>
      <c r="I64" s="481">
        <f t="shared" si="22"/>
        <v>7.1680135241643255</v>
      </c>
      <c r="J64" s="481">
        <f t="shared" si="22"/>
        <v>9.1887582207378937</v>
      </c>
      <c r="K64" s="481">
        <f t="shared" si="22"/>
        <v>10.77354882068801</v>
      </c>
      <c r="L64" s="481">
        <f t="shared" si="22"/>
        <v>13.214919896433933</v>
      </c>
      <c r="M64" s="481">
        <f t="shared" si="22"/>
        <v>15.598545071210967</v>
      </c>
      <c r="N64" s="481">
        <f t="shared" si="22"/>
        <v>17.562567149162845</v>
      </c>
      <c r="O64" s="481">
        <f t="shared" si="22"/>
        <v>19.615720264468631</v>
      </c>
      <c r="P64" s="481">
        <f t="shared" ref="P64" si="23">P63/1000/P58</f>
        <v>21.658572970259712</v>
      </c>
      <c r="Q64" s="481">
        <f t="shared" ref="Q64" si="24">Q63/1000/Q58</f>
        <v>23.835141015493107</v>
      </c>
      <c r="R64" s="481">
        <f t="shared" ref="R64" si="25">R63/1000/R58</f>
        <v>26.073646622146981</v>
      </c>
      <c r="S64" s="481">
        <f t="shared" ref="S64" si="26">S63/1000/S58</f>
        <v>28.329673636873068</v>
      </c>
      <c r="T64" s="481">
        <f t="shared" ref="T64" si="27">T63/1000/T58</f>
        <v>30.600292614933743</v>
      </c>
      <c r="U64" s="481">
        <f t="shared" ref="U64" si="28">U63/1000/U58</f>
        <v>32.880700614246948</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0.66143033531654449</v>
      </c>
      <c r="I65" s="481">
        <f t="shared" si="29"/>
        <v>0.35021588678768595</v>
      </c>
      <c r="J65" s="481">
        <f t="shared" si="29"/>
        <v>0.28191139564139628</v>
      </c>
      <c r="K65" s="481">
        <f t="shared" si="29"/>
        <v>0.17247059525121025</v>
      </c>
      <c r="L65" s="481">
        <f t="shared" si="29"/>
        <v>0.22660788161630246</v>
      </c>
      <c r="M65" s="481">
        <f t="shared" si="29"/>
        <v>0.18037378913059163</v>
      </c>
      <c r="N65" s="481">
        <f t="shared" si="29"/>
        <v>0.12591059416026704</v>
      </c>
      <c r="O65" s="481">
        <f t="shared" si="29"/>
        <v>0.11690506848275048</v>
      </c>
      <c r="P65" s="481">
        <f t="shared" si="29"/>
        <v>0.10414365000358651</v>
      </c>
      <c r="Q65" s="481">
        <f t="shared" si="29"/>
        <v>0.10049452695808406</v>
      </c>
      <c r="R65" s="481">
        <f t="shared" si="29"/>
        <v>9.3916188924530394E-2</v>
      </c>
      <c r="S65" s="481">
        <f t="shared" si="29"/>
        <v>8.6525181821318964E-2</v>
      </c>
      <c r="T65" s="481">
        <f t="shared" si="29"/>
        <v>8.0149845958878405E-2</v>
      </c>
      <c r="U65" s="481">
        <f t="shared" si="29"/>
        <v>7.4522424605845308E-2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v>
      </c>
      <c r="C66" s="369">
        <f t="shared" ref="C66:AJ66" si="30">C52/C58</f>
        <v>0</v>
      </c>
      <c r="D66" s="369">
        <f t="shared" si="30"/>
        <v>0</v>
      </c>
      <c r="E66" s="369">
        <f t="shared" si="30"/>
        <v>0</v>
      </c>
      <c r="F66" s="369">
        <f t="shared" si="30"/>
        <v>0</v>
      </c>
      <c r="G66" s="326">
        <f t="shared" si="30"/>
        <v>0</v>
      </c>
      <c r="H66" s="326">
        <f t="shared" si="30"/>
        <v>0</v>
      </c>
      <c r="I66" s="326">
        <f t="shared" si="30"/>
        <v>0</v>
      </c>
      <c r="J66" s="326">
        <f t="shared" si="30"/>
        <v>0</v>
      </c>
      <c r="K66" s="326">
        <f t="shared" si="30"/>
        <v>0</v>
      </c>
      <c r="L66" s="326">
        <f t="shared" si="30"/>
        <v>0</v>
      </c>
      <c r="M66" s="326">
        <f t="shared" si="30"/>
        <v>0</v>
      </c>
      <c r="N66" s="326">
        <f t="shared" si="30"/>
        <v>0</v>
      </c>
      <c r="O66" s="326">
        <f t="shared" si="30"/>
        <v>0</v>
      </c>
      <c r="P66" s="326">
        <f t="shared" si="30"/>
        <v>0</v>
      </c>
      <c r="Q66" s="326">
        <f t="shared" si="30"/>
        <v>0</v>
      </c>
      <c r="R66" s="326">
        <f t="shared" si="30"/>
        <v>0</v>
      </c>
      <c r="S66" s="326">
        <f t="shared" si="30"/>
        <v>0</v>
      </c>
      <c r="T66" s="326">
        <f t="shared" si="30"/>
        <v>0</v>
      </c>
      <c r="U66" s="326">
        <f t="shared" si="30"/>
        <v>0</v>
      </c>
      <c r="V66" s="326">
        <f t="shared" si="30"/>
        <v>0</v>
      </c>
      <c r="W66" s="326">
        <f t="shared" si="30"/>
        <v>0</v>
      </c>
      <c r="X66" s="326">
        <f t="shared" si="30"/>
        <v>0</v>
      </c>
      <c r="Y66" s="326">
        <f t="shared" si="30"/>
        <v>0</v>
      </c>
      <c r="Z66" s="326">
        <f t="shared" si="30"/>
        <v>0</v>
      </c>
      <c r="AA66" s="326">
        <f t="shared" si="30"/>
        <v>0</v>
      </c>
      <c r="AB66" s="326">
        <f t="shared" si="30"/>
        <v>0</v>
      </c>
      <c r="AC66" s="326">
        <f t="shared" si="30"/>
        <v>0</v>
      </c>
      <c r="AD66" s="326">
        <f t="shared" si="30"/>
        <v>0</v>
      </c>
      <c r="AE66" s="326">
        <f t="shared" si="30"/>
        <v>0</v>
      </c>
      <c r="AF66" s="326">
        <f t="shared" si="30"/>
        <v>0</v>
      </c>
      <c r="AG66" s="326">
        <f t="shared" si="30"/>
        <v>0</v>
      </c>
      <c r="AH66" s="326">
        <f t="shared" si="30"/>
        <v>0</v>
      </c>
      <c r="AI66" s="326">
        <f t="shared" si="30"/>
        <v>0</v>
      </c>
      <c r="AJ66" s="326">
        <f t="shared" si="30"/>
        <v>0</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593</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593</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631</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630</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0" t="s">
        <v>632</v>
      </c>
      <c r="B109" s="560"/>
      <c r="C109" s="560"/>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560"/>
      <c r="AD109" s="560"/>
      <c r="AE109" s="560"/>
      <c r="AF109" s="560"/>
    </row>
    <row r="110" spans="1:38">
      <c r="A110" s="559" t="s">
        <v>633</v>
      </c>
      <c r="B110" s="559"/>
      <c r="C110" s="559"/>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59"/>
      <c r="AD110" s="559"/>
      <c r="AE110" s="559"/>
      <c r="AF110" s="559"/>
    </row>
    <row r="111" spans="1:38">
      <c r="A111" s="559" t="s">
        <v>634</v>
      </c>
      <c r="B111" s="559"/>
      <c r="C111" s="559"/>
      <c r="D111" s="559"/>
      <c r="E111" s="559"/>
      <c r="F111" s="559"/>
      <c r="G111" s="559"/>
      <c r="H111" s="559"/>
      <c r="I111" s="559"/>
      <c r="J111" s="559"/>
      <c r="K111" s="559"/>
      <c r="L111" s="559"/>
      <c r="M111" s="559"/>
      <c r="N111" s="559"/>
      <c r="O111" s="559"/>
      <c r="P111" s="559"/>
      <c r="Q111" s="559"/>
      <c r="R111" s="559"/>
      <c r="S111" s="559"/>
      <c r="T111" s="559"/>
      <c r="U111" s="559"/>
      <c r="V111" s="559"/>
      <c r="W111" s="559"/>
      <c r="X111" s="559"/>
      <c r="Y111" s="559"/>
      <c r="Z111" s="559"/>
      <c r="AA111" s="559"/>
      <c r="AB111" s="559"/>
      <c r="AC111" s="559"/>
      <c r="AD111" s="559"/>
      <c r="AE111" s="559"/>
      <c r="AF111" s="559"/>
    </row>
    <row r="112" spans="1:38">
      <c r="A112" s="559" t="s">
        <v>635</v>
      </c>
      <c r="B112" s="559"/>
      <c r="C112" s="559"/>
      <c r="D112" s="559"/>
      <c r="E112" s="559"/>
      <c r="F112" s="559"/>
      <c r="G112" s="559"/>
      <c r="H112" s="559"/>
      <c r="I112" s="559"/>
      <c r="J112" s="559"/>
      <c r="K112" s="559"/>
      <c r="L112" s="559"/>
      <c r="M112" s="559"/>
      <c r="N112" s="559"/>
      <c r="O112" s="559"/>
      <c r="P112" s="559"/>
      <c r="Q112" s="559"/>
      <c r="R112" s="559"/>
      <c r="S112" s="559"/>
      <c r="T112" s="559"/>
      <c r="U112" s="559"/>
      <c r="V112" s="559"/>
      <c r="W112" s="559"/>
      <c r="X112" s="559"/>
      <c r="Y112" s="559"/>
      <c r="Z112" s="559"/>
      <c r="AA112" s="559"/>
      <c r="AB112" s="559"/>
      <c r="AC112" s="559"/>
      <c r="AD112" s="559"/>
      <c r="AE112" s="559"/>
      <c r="AF112" s="559"/>
    </row>
    <row r="113" spans="1:32">
      <c r="A113" s="559" t="s">
        <v>636</v>
      </c>
      <c r="B113" s="559"/>
      <c r="C113" s="559"/>
      <c r="D113" s="559"/>
      <c r="E113" s="559"/>
      <c r="F113" s="559"/>
      <c r="G113" s="559"/>
      <c r="H113" s="559"/>
      <c r="I113" s="559"/>
      <c r="J113" s="559"/>
      <c r="K113" s="559"/>
      <c r="L113" s="559"/>
      <c r="M113" s="559"/>
      <c r="N113" s="559"/>
      <c r="O113" s="559"/>
      <c r="P113" s="559"/>
      <c r="Q113" s="559"/>
      <c r="R113" s="559"/>
      <c r="S113" s="559"/>
      <c r="T113" s="559"/>
      <c r="U113" s="559"/>
      <c r="V113" s="559"/>
      <c r="W113" s="559"/>
      <c r="X113" s="559"/>
      <c r="Y113" s="559"/>
      <c r="Z113" s="559"/>
      <c r="AA113" s="559"/>
      <c r="AB113" s="559"/>
      <c r="AC113" s="559"/>
      <c r="AD113" s="559"/>
      <c r="AE113" s="559"/>
      <c r="AF113" s="559"/>
    </row>
    <row r="114" spans="1:32">
      <c r="A114" s="559" t="s">
        <v>637</v>
      </c>
      <c r="B114" s="559"/>
      <c r="C114" s="559"/>
      <c r="D114" s="559"/>
      <c r="E114" s="559"/>
      <c r="F114" s="559"/>
      <c r="G114" s="559"/>
      <c r="H114" s="559"/>
      <c r="I114" s="559"/>
      <c r="J114" s="559"/>
      <c r="K114" s="559"/>
      <c r="L114" s="559"/>
      <c r="M114" s="559"/>
      <c r="N114" s="559"/>
      <c r="O114" s="559"/>
      <c r="P114" s="559"/>
      <c r="Q114" s="559"/>
      <c r="R114" s="559"/>
      <c r="S114" s="559"/>
      <c r="T114" s="559"/>
      <c r="U114" s="559"/>
      <c r="V114" s="559"/>
      <c r="W114" s="559"/>
      <c r="X114" s="559"/>
      <c r="Y114" s="559"/>
      <c r="Z114" s="559"/>
      <c r="AA114" s="559"/>
      <c r="AB114" s="559"/>
      <c r="AC114" s="559"/>
      <c r="AD114" s="559"/>
      <c r="AE114" s="559"/>
      <c r="AF114" s="559"/>
    </row>
    <row r="115" spans="1:32">
      <c r="A115" s="559" t="s">
        <v>638</v>
      </c>
      <c r="B115" s="559"/>
      <c r="C115" s="559"/>
      <c r="D115" s="559"/>
      <c r="E115" s="559"/>
      <c r="F115" s="559"/>
      <c r="G115" s="559"/>
      <c r="H115" s="559"/>
      <c r="I115" s="559"/>
      <c r="J115" s="559"/>
      <c r="K115" s="559"/>
      <c r="L115" s="559"/>
      <c r="M115" s="559"/>
      <c r="N115" s="559"/>
      <c r="O115" s="559"/>
      <c r="P115" s="559"/>
      <c r="Q115" s="559"/>
      <c r="R115" s="559"/>
      <c r="S115" s="559"/>
      <c r="T115" s="559"/>
      <c r="U115" s="559"/>
      <c r="V115" s="559"/>
      <c r="W115" s="559"/>
      <c r="X115" s="559"/>
      <c r="Y115" s="559"/>
      <c r="Z115" s="559"/>
      <c r="AA115" s="559"/>
      <c r="AB115" s="559"/>
      <c r="AC115" s="559"/>
      <c r="AD115" s="559"/>
      <c r="AE115" s="559"/>
      <c r="AF115" s="559"/>
    </row>
    <row r="116" spans="1:32">
      <c r="A116" s="559" t="s">
        <v>639</v>
      </c>
      <c r="B116" s="559"/>
      <c r="C116" s="559"/>
      <c r="D116" s="559"/>
      <c r="E116" s="559"/>
      <c r="F116" s="559"/>
      <c r="G116" s="559"/>
      <c r="H116" s="559"/>
      <c r="I116" s="559"/>
      <c r="J116" s="559"/>
      <c r="K116" s="559"/>
      <c r="L116" s="559"/>
      <c r="M116" s="559"/>
      <c r="N116" s="559"/>
      <c r="O116" s="559"/>
      <c r="P116" s="559"/>
      <c r="Q116" s="559"/>
      <c r="R116" s="559"/>
      <c r="S116" s="559"/>
      <c r="T116" s="559"/>
      <c r="U116" s="559"/>
      <c r="V116" s="559"/>
      <c r="W116" s="559"/>
      <c r="X116" s="559"/>
      <c r="Y116" s="559"/>
      <c r="Z116" s="559"/>
      <c r="AA116" s="559"/>
      <c r="AB116" s="559"/>
      <c r="AC116" s="559"/>
      <c r="AD116" s="559"/>
      <c r="AE116" s="559"/>
      <c r="AF116" s="559"/>
    </row>
    <row r="117" spans="1:32">
      <c r="A117" s="559" t="s">
        <v>640</v>
      </c>
      <c r="B117" s="559"/>
      <c r="C117" s="559"/>
      <c r="D117" s="559"/>
      <c r="E117" s="559"/>
      <c r="F117" s="559"/>
      <c r="G117" s="559"/>
      <c r="H117" s="559"/>
      <c r="I117" s="559"/>
      <c r="J117" s="559"/>
      <c r="K117" s="559"/>
      <c r="L117" s="559"/>
      <c r="M117" s="559"/>
      <c r="N117" s="559"/>
      <c r="O117" s="559"/>
      <c r="P117" s="559"/>
      <c r="Q117" s="559"/>
      <c r="R117" s="559"/>
      <c r="S117" s="559"/>
      <c r="T117" s="559"/>
      <c r="U117" s="559"/>
      <c r="V117" s="559"/>
      <c r="W117" s="559"/>
      <c r="X117" s="559"/>
      <c r="Y117" s="559"/>
      <c r="Z117" s="559"/>
      <c r="AA117" s="559"/>
      <c r="AB117" s="559"/>
      <c r="AC117" s="559"/>
      <c r="AD117" s="559"/>
      <c r="AE117" s="559"/>
      <c r="AF117" s="559"/>
    </row>
    <row r="118" spans="1:32">
      <c r="A118" s="559" t="s">
        <v>641</v>
      </c>
      <c r="B118" s="559"/>
      <c r="C118" s="559"/>
      <c r="D118" s="559"/>
      <c r="E118" s="559"/>
      <c r="F118" s="559"/>
      <c r="G118" s="559"/>
      <c r="H118" s="559"/>
      <c r="I118" s="559"/>
      <c r="J118" s="559"/>
      <c r="K118" s="559"/>
      <c r="L118" s="559"/>
      <c r="M118" s="559"/>
      <c r="N118" s="559"/>
      <c r="O118" s="559"/>
      <c r="P118" s="559"/>
      <c r="Q118" s="559"/>
      <c r="R118" s="559"/>
      <c r="S118" s="559"/>
      <c r="T118" s="559"/>
      <c r="U118" s="559"/>
      <c r="V118" s="559"/>
      <c r="W118" s="559"/>
      <c r="X118" s="559"/>
      <c r="Y118" s="559"/>
      <c r="Z118" s="559"/>
      <c r="AA118" s="559"/>
      <c r="AB118" s="559"/>
      <c r="AC118" s="559"/>
      <c r="AD118" s="559"/>
      <c r="AE118" s="559"/>
      <c r="AF118" s="559"/>
    </row>
    <row r="119" spans="1:32">
      <c r="A119" s="559" t="s">
        <v>642</v>
      </c>
      <c r="B119" s="559"/>
      <c r="C119" s="559"/>
      <c r="D119" s="559"/>
      <c r="E119" s="559"/>
      <c r="F119" s="559"/>
      <c r="G119" s="559"/>
      <c r="H119" s="559"/>
      <c r="I119" s="559"/>
      <c r="J119" s="559"/>
      <c r="K119" s="559"/>
      <c r="L119" s="559"/>
      <c r="M119" s="559"/>
      <c r="N119" s="559"/>
      <c r="O119" s="559"/>
      <c r="P119" s="559"/>
      <c r="Q119" s="559"/>
      <c r="R119" s="559"/>
      <c r="S119" s="559"/>
      <c r="T119" s="559"/>
      <c r="U119" s="559"/>
      <c r="V119" s="559"/>
      <c r="W119" s="559"/>
      <c r="X119" s="559"/>
      <c r="Y119" s="559"/>
      <c r="Z119" s="559"/>
      <c r="AA119" s="559"/>
      <c r="AB119" s="559"/>
      <c r="AC119" s="559"/>
      <c r="AD119" s="559"/>
      <c r="AE119" s="559"/>
      <c r="AF119" s="559"/>
    </row>
    <row r="120" spans="1:32">
      <c r="A120" s="559" t="s">
        <v>643</v>
      </c>
      <c r="B120" s="559"/>
      <c r="C120" s="559"/>
      <c r="D120" s="559"/>
      <c r="E120" s="559"/>
      <c r="F120" s="559"/>
      <c r="G120" s="559"/>
      <c r="H120" s="559"/>
      <c r="I120" s="559"/>
      <c r="J120" s="559"/>
      <c r="K120" s="559"/>
      <c r="L120" s="559"/>
      <c r="M120" s="559"/>
      <c r="N120" s="559"/>
      <c r="O120" s="559"/>
      <c r="P120" s="559"/>
      <c r="Q120" s="559"/>
      <c r="R120" s="559"/>
      <c r="S120" s="559"/>
      <c r="T120" s="559"/>
      <c r="U120" s="559"/>
      <c r="V120" s="559"/>
      <c r="W120" s="559"/>
      <c r="X120" s="559"/>
      <c r="Y120" s="559"/>
      <c r="Z120" s="559"/>
      <c r="AA120" s="559"/>
      <c r="AB120" s="559"/>
      <c r="AC120" s="559"/>
      <c r="AD120" s="559"/>
      <c r="AE120" s="559"/>
      <c r="AF120" s="559"/>
    </row>
    <row r="121" spans="1:32">
      <c r="A121" s="559" t="s">
        <v>644</v>
      </c>
      <c r="B121" s="559"/>
      <c r="C121" s="559"/>
      <c r="D121" s="559"/>
      <c r="E121" s="559"/>
      <c r="F121" s="559"/>
      <c r="G121" s="559"/>
      <c r="H121" s="559"/>
      <c r="I121" s="559"/>
      <c r="J121" s="559"/>
      <c r="K121" s="559"/>
      <c r="L121" s="559"/>
      <c r="M121" s="559"/>
      <c r="N121" s="559"/>
      <c r="O121" s="559"/>
      <c r="P121" s="559"/>
      <c r="Q121" s="559"/>
      <c r="R121" s="559"/>
      <c r="S121" s="559"/>
      <c r="T121" s="559"/>
      <c r="U121" s="559"/>
      <c r="V121" s="559"/>
      <c r="W121" s="559"/>
      <c r="X121" s="559"/>
      <c r="Y121" s="559"/>
      <c r="Z121" s="559"/>
      <c r="AA121" s="559"/>
      <c r="AB121" s="559"/>
      <c r="AC121" s="559"/>
      <c r="AD121" s="559"/>
      <c r="AE121" s="559"/>
      <c r="AF121" s="559"/>
    </row>
    <row r="122" spans="1:32">
      <c r="A122" s="559" t="s">
        <v>645</v>
      </c>
      <c r="B122" s="559"/>
      <c r="C122" s="559"/>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59"/>
      <c r="AB122" s="559"/>
      <c r="AC122" s="559"/>
      <c r="AD122" s="559"/>
      <c r="AE122" s="559"/>
      <c r="AF122" s="559"/>
    </row>
    <row r="123" spans="1:32">
      <c r="A123" s="559" t="s">
        <v>646</v>
      </c>
      <c r="B123" s="559"/>
      <c r="C123" s="559"/>
      <c r="D123" s="559"/>
      <c r="E123" s="559"/>
      <c r="F123" s="559"/>
      <c r="G123" s="559"/>
      <c r="H123" s="559"/>
      <c r="I123" s="559"/>
      <c r="J123" s="559"/>
      <c r="K123" s="559"/>
      <c r="L123" s="559"/>
      <c r="M123" s="559"/>
      <c r="N123" s="559"/>
      <c r="O123" s="559"/>
      <c r="P123" s="559"/>
      <c r="Q123" s="559"/>
      <c r="R123" s="559"/>
      <c r="S123" s="559"/>
      <c r="T123" s="559"/>
      <c r="U123" s="559"/>
      <c r="V123" s="559"/>
      <c r="W123" s="559"/>
      <c r="X123" s="559"/>
      <c r="Y123" s="559"/>
      <c r="Z123" s="559"/>
      <c r="AA123" s="559"/>
      <c r="AB123" s="559"/>
      <c r="AC123" s="559"/>
      <c r="AD123" s="559"/>
      <c r="AE123" s="559"/>
      <c r="AF123" s="559"/>
    </row>
    <row r="124" spans="1:32">
      <c r="A124" s="559" t="s">
        <v>647</v>
      </c>
      <c r="B124" s="559"/>
      <c r="C124" s="559"/>
      <c r="D124" s="559"/>
      <c r="E124" s="559"/>
      <c r="F124" s="559"/>
      <c r="G124" s="559"/>
      <c r="H124" s="559"/>
      <c r="I124" s="559"/>
      <c r="J124" s="559"/>
      <c r="K124" s="559"/>
      <c r="L124" s="559"/>
      <c r="M124" s="559"/>
      <c r="N124" s="559"/>
      <c r="O124" s="559"/>
      <c r="P124" s="559"/>
      <c r="Q124" s="559"/>
      <c r="R124" s="559"/>
      <c r="S124" s="559"/>
      <c r="T124" s="559"/>
      <c r="U124" s="559"/>
      <c r="V124" s="559"/>
      <c r="W124" s="559"/>
      <c r="X124" s="559"/>
      <c r="Y124" s="559"/>
      <c r="Z124" s="559"/>
      <c r="AA124" s="559"/>
      <c r="AB124" s="559"/>
      <c r="AC124" s="559"/>
      <c r="AD124" s="559"/>
      <c r="AE124" s="559"/>
      <c r="AF124" s="559"/>
    </row>
    <row r="125" spans="1:32">
      <c r="A125" s="559" t="s">
        <v>640</v>
      </c>
      <c r="B125" s="559"/>
      <c r="C125" s="559"/>
      <c r="D125" s="559"/>
      <c r="E125" s="559"/>
      <c r="F125" s="559"/>
      <c r="G125" s="559"/>
      <c r="H125" s="559"/>
      <c r="I125" s="559"/>
      <c r="J125" s="559"/>
      <c r="K125" s="559"/>
      <c r="L125" s="559"/>
      <c r="M125" s="559"/>
      <c r="N125" s="559"/>
      <c r="O125" s="559"/>
      <c r="P125" s="559"/>
      <c r="Q125" s="559"/>
      <c r="R125" s="559"/>
      <c r="S125" s="559"/>
      <c r="T125" s="559"/>
      <c r="U125" s="559"/>
      <c r="V125" s="559"/>
      <c r="W125" s="559"/>
      <c r="X125" s="559"/>
      <c r="Y125" s="559"/>
      <c r="Z125" s="559"/>
      <c r="AA125" s="559"/>
      <c r="AB125" s="559"/>
      <c r="AC125" s="559"/>
      <c r="AD125" s="559"/>
      <c r="AE125" s="559"/>
      <c r="AF125" s="559"/>
    </row>
    <row r="126" spans="1:32">
      <c r="A126" s="559" t="s">
        <v>648</v>
      </c>
      <c r="B126" s="559"/>
      <c r="C126" s="559"/>
      <c r="D126" s="559"/>
      <c r="E126" s="559"/>
      <c r="F126" s="559"/>
      <c r="G126" s="559"/>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row>
    <row r="127" spans="1:32">
      <c r="A127" s="559" t="s">
        <v>649</v>
      </c>
      <c r="B127" s="559"/>
      <c r="C127" s="559"/>
      <c r="D127" s="559"/>
      <c r="E127" s="559"/>
      <c r="F127" s="559"/>
      <c r="G127" s="559"/>
      <c r="H127" s="559"/>
      <c r="I127" s="559"/>
      <c r="J127" s="559"/>
      <c r="K127" s="559"/>
      <c r="L127" s="559"/>
      <c r="M127" s="559"/>
      <c r="N127" s="559"/>
      <c r="O127" s="559"/>
      <c r="P127" s="559"/>
      <c r="Q127" s="559"/>
      <c r="R127" s="559"/>
      <c r="S127" s="559"/>
      <c r="T127" s="559"/>
      <c r="U127" s="559"/>
      <c r="V127" s="559"/>
      <c r="W127" s="559"/>
      <c r="X127" s="559"/>
      <c r="Y127" s="559"/>
      <c r="Z127" s="559"/>
      <c r="AA127" s="559"/>
      <c r="AB127" s="559"/>
      <c r="AC127" s="559"/>
      <c r="AD127" s="559"/>
      <c r="AE127" s="559"/>
      <c r="AF127" s="559"/>
    </row>
    <row r="128" spans="1:32">
      <c r="A128" s="559" t="s">
        <v>650</v>
      </c>
      <c r="B128" s="559"/>
      <c r="C128" s="559"/>
      <c r="D128" s="559"/>
      <c r="E128" s="559"/>
      <c r="F128" s="559"/>
      <c r="G128" s="559"/>
      <c r="H128" s="559"/>
      <c r="I128" s="559"/>
      <c r="J128" s="559"/>
      <c r="K128" s="559"/>
      <c r="L128" s="559"/>
      <c r="M128" s="559"/>
      <c r="N128" s="559"/>
      <c r="O128" s="559"/>
      <c r="P128" s="559"/>
      <c r="Q128" s="559"/>
      <c r="R128" s="559"/>
      <c r="S128" s="559"/>
      <c r="T128" s="559"/>
      <c r="U128" s="559"/>
      <c r="V128" s="559"/>
      <c r="W128" s="559"/>
      <c r="X128" s="559"/>
      <c r="Y128" s="559"/>
      <c r="Z128" s="559"/>
      <c r="AA128" s="559"/>
      <c r="AB128" s="559"/>
      <c r="AC128" s="559"/>
      <c r="AD128" s="559"/>
      <c r="AE128" s="559"/>
      <c r="AF128" s="559"/>
    </row>
    <row r="129" spans="1:32">
      <c r="A129" s="559" t="s">
        <v>620</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row>
    <row r="130" spans="1:32">
      <c r="A130" s="559" t="s">
        <v>621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row>
    <row r="131" spans="1:32">
      <c r="A131" s="559" t="s">
        <v>622</v>
      </c>
      <c r="B131" s="559"/>
      <c r="C131" s="559"/>
      <c r="D131" s="559"/>
      <c r="E131" s="559"/>
      <c r="F131" s="559"/>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row>
    <row r="132" spans="1:32">
      <c r="A132" s="559" t="s">
        <v>651</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row>
    <row r="133" spans="1:32">
      <c r="A133" s="559" t="s">
        <v>652</v>
      </c>
      <c r="B133" s="559"/>
      <c r="C133" s="559"/>
      <c r="D133" s="559"/>
      <c r="E133" s="559"/>
      <c r="F133" s="559"/>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row>
    <row r="134" spans="1:32">
      <c r="A134" s="559" t="s">
        <v>653</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row>
    <row r="135" spans="1:32">
      <c r="A135" s="559" t="s">
        <v>654</v>
      </c>
      <c r="B135" s="559"/>
      <c r="C135" s="559"/>
      <c r="D135" s="559"/>
      <c r="E135" s="559"/>
      <c r="F135" s="559"/>
      <c r="G135" s="559"/>
      <c r="H135" s="559"/>
      <c r="I135" s="559"/>
      <c r="J135" s="559"/>
      <c r="K135" s="559"/>
      <c r="L135" s="559"/>
      <c r="M135" s="559"/>
      <c r="N135" s="559"/>
      <c r="O135" s="559"/>
      <c r="P135" s="559"/>
      <c r="Q135" s="559"/>
      <c r="R135" s="559"/>
      <c r="S135" s="559"/>
      <c r="T135" s="559"/>
      <c r="U135" s="559"/>
      <c r="V135" s="559"/>
      <c r="W135" s="559"/>
      <c r="X135" s="559"/>
      <c r="Y135" s="559"/>
      <c r="Z135" s="559"/>
      <c r="AA135" s="559"/>
      <c r="AB135" s="559"/>
      <c r="AC135" s="559"/>
      <c r="AD135" s="559"/>
      <c r="AE135" s="559"/>
      <c r="AF135" s="559"/>
    </row>
    <row r="136" spans="1:32">
      <c r="A136" s="559" t="s">
        <v>655</v>
      </c>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row>
    <row r="137" spans="1:32">
      <c r="A137" s="559" t="s">
        <v>656</v>
      </c>
      <c r="B137" s="559"/>
      <c r="C137" s="559"/>
      <c r="D137" s="559"/>
      <c r="E137" s="559"/>
      <c r="F137" s="559"/>
      <c r="G137" s="559"/>
      <c r="H137" s="559"/>
      <c r="I137" s="559"/>
      <c r="J137" s="559"/>
      <c r="K137" s="559"/>
      <c r="L137" s="559"/>
      <c r="M137" s="559"/>
      <c r="N137" s="559"/>
      <c r="O137" s="559"/>
      <c r="P137" s="559"/>
      <c r="Q137" s="559"/>
      <c r="R137" s="559"/>
      <c r="S137" s="559"/>
      <c r="T137" s="559"/>
      <c r="U137" s="559"/>
      <c r="V137" s="559"/>
      <c r="W137" s="559"/>
      <c r="X137" s="559"/>
      <c r="Y137" s="559"/>
      <c r="Z137" s="559"/>
      <c r="AA137" s="559"/>
      <c r="AB137" s="559"/>
      <c r="AC137" s="559"/>
      <c r="AD137" s="559"/>
      <c r="AE137" s="559"/>
      <c r="AF137" s="559"/>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C58" zoomScale="125" zoomScaleNormal="125" zoomScalePageLayoutView="125" workbookViewId="0">
      <selection activeCell="AM64" sqref="AM64"/>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705</v>
      </c>
    </row>
    <row r="3" spans="1:37">
      <c r="A3" s="272" t="s">
        <v>657</v>
      </c>
    </row>
    <row r="4" spans="1:37">
      <c r="A4" s="272" t="s">
        <v>658</v>
      </c>
    </row>
    <row r="6" spans="1:37">
      <c r="A6" s="6" t="s">
        <v>5</v>
      </c>
    </row>
    <row r="7" spans="1:37">
      <c r="A7" s="6" t="s">
        <v>6</v>
      </c>
    </row>
    <row r="8" spans="1:37">
      <c r="A8" s="78" t="s">
        <v>281</v>
      </c>
    </row>
    <row r="10" spans="1:37">
      <c r="AK10" s="300" t="s">
        <v>715</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582</v>
      </c>
      <c r="AB11" s="300" t="s">
        <v>583</v>
      </c>
      <c r="AC11" s="300" t="s">
        <v>584</v>
      </c>
      <c r="AD11" s="300" t="s">
        <v>585</v>
      </c>
      <c r="AE11" s="300" t="s">
        <v>586</v>
      </c>
      <c r="AF11" s="300" t="s">
        <v>587</v>
      </c>
      <c r="AG11" s="300" t="s">
        <v>588</v>
      </c>
      <c r="AH11" s="300" t="s">
        <v>589</v>
      </c>
      <c r="AI11" s="300" t="s">
        <v>590</v>
      </c>
      <c r="AJ11" s="300" t="s">
        <v>591</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659</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660</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661</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1E-4</v>
      </c>
      <c r="H33" s="499">
        <v>1E-4</v>
      </c>
      <c r="I33" s="499">
        <v>1E-4</v>
      </c>
      <c r="J33" s="499">
        <v>1E-4</v>
      </c>
      <c r="K33" s="499">
        <v>1E-4</v>
      </c>
      <c r="L33" s="499">
        <v>1E-4</v>
      </c>
      <c r="M33" s="499">
        <v>1E-4</v>
      </c>
      <c r="N33" s="499">
        <v>1E-4</v>
      </c>
      <c r="O33" s="499">
        <v>1E-4</v>
      </c>
      <c r="P33" s="499">
        <v>1E-4</v>
      </c>
      <c r="Q33" s="499">
        <v>1E-4</v>
      </c>
      <c r="R33" s="499">
        <v>1E-4</v>
      </c>
      <c r="S33" s="499">
        <v>1E-4</v>
      </c>
      <c r="T33" s="499">
        <v>1E-4</v>
      </c>
      <c r="U33" s="499">
        <v>1E-4</v>
      </c>
      <c r="V33" s="499">
        <v>1E-4</v>
      </c>
      <c r="W33" s="499">
        <v>1E-4</v>
      </c>
      <c r="X33" s="499">
        <v>1E-4</v>
      </c>
      <c r="Y33" s="499">
        <v>1E-4</v>
      </c>
      <c r="Z33" s="499">
        <v>1E-4</v>
      </c>
      <c r="AA33" s="499">
        <v>1E-4</v>
      </c>
      <c r="AB33" s="499">
        <v>1E-4</v>
      </c>
      <c r="AC33" s="499">
        <v>1E-4</v>
      </c>
      <c r="AD33" s="499">
        <v>1E-4</v>
      </c>
      <c r="AE33" s="499">
        <v>1E-4</v>
      </c>
      <c r="AF33" s="499">
        <v>1E-4</v>
      </c>
      <c r="AG33" s="499">
        <v>1E-4</v>
      </c>
      <c r="AH33" s="499">
        <v>1E-4</v>
      </c>
      <c r="AI33" s="499">
        <v>1E-4</v>
      </c>
      <c r="AJ33" s="499">
        <v>1E-4</v>
      </c>
      <c r="AK33"/>
    </row>
    <row r="34" spans="1:39" s="18" customFormat="1">
      <c r="A34" s="17" t="s">
        <v>662</v>
      </c>
      <c r="B34"/>
      <c r="C34"/>
      <c r="D34"/>
      <c r="E34"/>
      <c r="F34"/>
      <c r="G34" s="499">
        <v>1E-4</v>
      </c>
      <c r="H34" s="499">
        <v>1E-4</v>
      </c>
      <c r="I34" s="499">
        <v>1E-4</v>
      </c>
      <c r="J34" s="499">
        <v>1E-4</v>
      </c>
      <c r="K34" s="499">
        <v>1E-4</v>
      </c>
      <c r="L34" s="499">
        <v>1E-4</v>
      </c>
      <c r="M34" s="499">
        <v>1E-4</v>
      </c>
      <c r="N34" s="499">
        <v>1E-4</v>
      </c>
      <c r="O34" s="499">
        <v>1E-4</v>
      </c>
      <c r="P34" s="499">
        <v>1E-4</v>
      </c>
      <c r="Q34" s="499">
        <v>1E-4</v>
      </c>
      <c r="R34" s="499">
        <v>1E-4</v>
      </c>
      <c r="S34" s="499">
        <v>1E-4</v>
      </c>
      <c r="T34" s="499">
        <v>1E-4</v>
      </c>
      <c r="U34" s="499">
        <v>1E-4</v>
      </c>
      <c r="V34" s="499">
        <v>1E-4</v>
      </c>
      <c r="W34" s="499">
        <v>1E-4</v>
      </c>
      <c r="X34" s="499">
        <v>1E-4</v>
      </c>
      <c r="Y34" s="499">
        <v>1E-4</v>
      </c>
      <c r="Z34" s="499">
        <v>1E-4</v>
      </c>
      <c r="AA34" s="499">
        <v>1E-4</v>
      </c>
      <c r="AB34" s="499">
        <v>1E-4</v>
      </c>
      <c r="AC34" s="499">
        <v>1E-4</v>
      </c>
      <c r="AD34" s="499">
        <v>1E-4</v>
      </c>
      <c r="AE34" s="499">
        <v>1E-4</v>
      </c>
      <c r="AF34" s="499">
        <v>1E-4</v>
      </c>
      <c r="AG34" s="499">
        <v>1E-4</v>
      </c>
      <c r="AH34" s="499">
        <v>1E-4</v>
      </c>
      <c r="AI34" s="499">
        <v>1E-4</v>
      </c>
      <c r="AJ34" s="499">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663</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664</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662</v>
      </c>
      <c r="B54"/>
      <c r="C54"/>
      <c r="D54"/>
      <c r="E54"/>
      <c r="F54"/>
      <c r="G54" s="499">
        <v>1E-4</v>
      </c>
      <c r="H54" s="499">
        <v>1E-4</v>
      </c>
      <c r="I54" s="499">
        <v>1E-4</v>
      </c>
      <c r="J54" s="499">
        <v>1E-4</v>
      </c>
      <c r="K54" s="499">
        <v>1E-4</v>
      </c>
      <c r="L54" s="499">
        <v>1E-4</v>
      </c>
      <c r="M54" s="499">
        <v>1E-4</v>
      </c>
      <c r="N54" s="499">
        <v>1E-4</v>
      </c>
      <c r="O54" s="499">
        <v>1E-4</v>
      </c>
      <c r="P54" s="499">
        <v>1E-4</v>
      </c>
      <c r="Q54" s="499">
        <v>1E-4</v>
      </c>
      <c r="R54" s="499">
        <v>1E-4</v>
      </c>
      <c r="S54" s="499">
        <v>1E-4</v>
      </c>
      <c r="T54" s="499">
        <v>1E-4</v>
      </c>
      <c r="U54" s="499">
        <v>1E-4</v>
      </c>
      <c r="V54" s="499">
        <v>1E-4</v>
      </c>
      <c r="W54" s="499">
        <v>1E-4</v>
      </c>
      <c r="X54" s="499">
        <v>1E-4</v>
      </c>
      <c r="Y54" s="499">
        <v>1E-4</v>
      </c>
      <c r="Z54" s="499">
        <v>1E-4</v>
      </c>
      <c r="AA54" s="499">
        <v>1E-4</v>
      </c>
      <c r="AB54" s="499">
        <v>1E-4</v>
      </c>
      <c r="AC54" s="499">
        <v>1E-4</v>
      </c>
      <c r="AD54" s="499">
        <v>1E-4</v>
      </c>
      <c r="AE54" s="499">
        <v>1E-4</v>
      </c>
      <c r="AF54" s="499">
        <v>1E-4</v>
      </c>
      <c r="AG54" s="499">
        <v>1E-4</v>
      </c>
      <c r="AH54" s="499">
        <v>1E-4</v>
      </c>
      <c r="AI54" s="499">
        <v>1E-4</v>
      </c>
      <c r="AJ54" s="499">
        <v>1E-4</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746</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741</v>
      </c>
      <c r="AM59" s="18" t="s">
        <v>760</v>
      </c>
    </row>
    <row r="60" spans="1:39">
      <c r="A60" s="501" t="s">
        <v>734</v>
      </c>
      <c r="G60" s="499">
        <v>14.909055</v>
      </c>
      <c r="H60" s="499">
        <v>12.931285000000001</v>
      </c>
      <c r="I60" s="499">
        <v>10.815075</v>
      </c>
      <c r="J60" s="499">
        <v>11.049246</v>
      </c>
      <c r="K60" s="499">
        <v>11.276807999999999</v>
      </c>
      <c r="L60" s="499">
        <v>11.505815</v>
      </c>
      <c r="M60" s="499">
        <v>11.736761000000001</v>
      </c>
      <c r="N60" s="499">
        <v>11.736767</v>
      </c>
      <c r="O60" s="499">
        <v>11.736767</v>
      </c>
      <c r="P60" s="499">
        <v>11.736767</v>
      </c>
      <c r="Q60" s="499">
        <v>11.736767</v>
      </c>
      <c r="R60" s="499">
        <v>11.736767</v>
      </c>
      <c r="S60" s="499">
        <v>11.736767</v>
      </c>
      <c r="T60" s="499">
        <v>11.736767</v>
      </c>
      <c r="U60" s="499">
        <v>11.736767</v>
      </c>
      <c r="V60" s="499">
        <v>11.736767</v>
      </c>
      <c r="W60" s="499">
        <v>12.340114</v>
      </c>
      <c r="X60" s="499">
        <v>12.340114</v>
      </c>
      <c r="Y60" s="499">
        <v>12.340114</v>
      </c>
      <c r="Z60" s="499">
        <v>12.405933000000001</v>
      </c>
      <c r="AA60" s="499">
        <v>12.405933000000001</v>
      </c>
      <c r="AB60" s="499">
        <v>12.478134000000001</v>
      </c>
      <c r="AC60" s="499">
        <v>12.478134000000001</v>
      </c>
      <c r="AD60" s="499">
        <v>12.478134000000001</v>
      </c>
      <c r="AE60" s="499">
        <v>12.478134000000001</v>
      </c>
      <c r="AF60" s="499">
        <v>12.478134000000001</v>
      </c>
      <c r="AG60" s="499">
        <v>12.478134000000001</v>
      </c>
      <c r="AH60" s="499">
        <v>12.478134000000001</v>
      </c>
      <c r="AI60" s="499">
        <v>12.478134000000001</v>
      </c>
      <c r="AJ60" s="499">
        <v>12.478134000000001</v>
      </c>
      <c r="AK60" s="503">
        <v>4.0000000000000001E-3</v>
      </c>
      <c r="AL60" s="508" t="s">
        <v>728</v>
      </c>
      <c r="AM60" s="29">
        <v>9.9999999999999995E-7</v>
      </c>
    </row>
    <row r="61" spans="1:39">
      <c r="A61" s="501" t="s">
        <v>735</v>
      </c>
      <c r="G61" s="499">
        <v>1E-4</v>
      </c>
      <c r="H61" s="499">
        <v>1E-4</v>
      </c>
      <c r="I61" s="499">
        <v>1E-4</v>
      </c>
      <c r="J61" s="499">
        <v>1E-4</v>
      </c>
      <c r="K61" s="499">
        <v>1E-4</v>
      </c>
      <c r="L61" s="499">
        <v>1E-4</v>
      </c>
      <c r="M61" s="499">
        <v>1E-4</v>
      </c>
      <c r="N61" s="499">
        <v>1E-4</v>
      </c>
      <c r="O61" s="499">
        <v>1E-4</v>
      </c>
      <c r="P61" s="499">
        <v>1E-4</v>
      </c>
      <c r="Q61" s="499">
        <v>1E-4</v>
      </c>
      <c r="R61" s="499">
        <v>1E-4</v>
      </c>
      <c r="S61" s="499">
        <v>1E-4</v>
      </c>
      <c r="T61" s="499">
        <v>1E-4</v>
      </c>
      <c r="U61" s="499">
        <v>1E-4</v>
      </c>
      <c r="V61" s="499">
        <v>1E-4</v>
      </c>
      <c r="W61" s="499">
        <v>1E-4</v>
      </c>
      <c r="X61" s="499">
        <v>1E-4</v>
      </c>
      <c r="Y61" s="499">
        <v>1E-4</v>
      </c>
      <c r="Z61" s="499">
        <v>1E-4</v>
      </c>
      <c r="AA61" s="499">
        <v>1E-4</v>
      </c>
      <c r="AB61" s="499">
        <v>1E-4</v>
      </c>
      <c r="AC61" s="499">
        <v>1E-4</v>
      </c>
      <c r="AD61" s="499">
        <v>1E-4</v>
      </c>
      <c r="AE61" s="499">
        <v>1E-4</v>
      </c>
      <c r="AF61" s="499">
        <v>1E-4</v>
      </c>
      <c r="AG61" s="499">
        <v>1E-4</v>
      </c>
      <c r="AH61" s="499">
        <v>1E-4</v>
      </c>
      <c r="AI61" s="499">
        <v>1E-4</v>
      </c>
      <c r="AJ61" s="499">
        <v>1E-4</v>
      </c>
      <c r="AK61" s="499" t="s">
        <v>41</v>
      </c>
      <c r="AL61" s="508" t="s">
        <v>729</v>
      </c>
      <c r="AM61" s="29">
        <v>0.16380852118816036</v>
      </c>
    </row>
    <row r="62" spans="1:39">
      <c r="A62" s="501" t="s">
        <v>736</v>
      </c>
      <c r="G62" s="499">
        <v>1.775209</v>
      </c>
      <c r="H62" s="499">
        <v>1.9146299999999998</v>
      </c>
      <c r="I62" s="499">
        <v>0.74409800000000004</v>
      </c>
      <c r="J62" s="499">
        <v>0.80291299999999999</v>
      </c>
      <c r="K62" s="499">
        <v>0.81776599999999999</v>
      </c>
      <c r="L62" s="499">
        <v>0.81797900000000001</v>
      </c>
      <c r="M62" s="499">
        <v>0.81815899999999997</v>
      </c>
      <c r="N62" s="499">
        <v>0.81823699999999999</v>
      </c>
      <c r="O62" s="499">
        <v>0.81809300000000007</v>
      </c>
      <c r="P62" s="499">
        <v>0.81787100000000001</v>
      </c>
      <c r="Q62" s="499">
        <v>0.817743</v>
      </c>
      <c r="R62" s="499">
        <v>0.81761799999999996</v>
      </c>
      <c r="S62" s="499">
        <v>0.81747800000000004</v>
      </c>
      <c r="T62" s="499">
        <v>0.81734200000000001</v>
      </c>
      <c r="U62" s="499">
        <v>0.81720700000000002</v>
      </c>
      <c r="V62" s="499">
        <v>0.81703899999999996</v>
      </c>
      <c r="W62" s="499">
        <v>0.81685600000000003</v>
      </c>
      <c r="X62" s="499">
        <v>0.81664899999999996</v>
      </c>
      <c r="Y62" s="499">
        <v>0.81633699999999998</v>
      </c>
      <c r="Z62" s="499">
        <v>0.81569999999999998</v>
      </c>
      <c r="AA62" s="499">
        <v>0.81506500000000004</v>
      </c>
      <c r="AB62" s="499">
        <v>0.81443599999999994</v>
      </c>
      <c r="AC62" s="499">
        <v>0.81382200000000005</v>
      </c>
      <c r="AD62" s="499">
        <v>0.81324799999999997</v>
      </c>
      <c r="AE62" s="499">
        <v>0.81267800000000001</v>
      </c>
      <c r="AF62" s="499">
        <v>0.81212699999999993</v>
      </c>
      <c r="AG62" s="499">
        <v>0.81160100000000002</v>
      </c>
      <c r="AH62" s="499">
        <v>0.81105099999999997</v>
      </c>
      <c r="AI62" s="499">
        <v>0.81060200000000004</v>
      </c>
      <c r="AJ62" s="499">
        <v>0.81018199999999996</v>
      </c>
      <c r="AK62" s="503">
        <v>4.0000000000000001E-3</v>
      </c>
      <c r="AL62" s="508" t="s">
        <v>730</v>
      </c>
      <c r="AM62" s="29">
        <v>0</v>
      </c>
    </row>
    <row r="63" spans="1:39">
      <c r="A63" s="501" t="s">
        <v>737</v>
      </c>
      <c r="G63" s="499">
        <v>2.3493810000000002</v>
      </c>
      <c r="H63" s="499">
        <v>2.603402</v>
      </c>
      <c r="I63" s="499">
        <v>2.7478670000000003</v>
      </c>
      <c r="J63" s="499">
        <v>3.1163970000000001</v>
      </c>
      <c r="K63" s="499">
        <v>3.158188</v>
      </c>
      <c r="L63" s="499">
        <v>3.3551139999999999</v>
      </c>
      <c r="M63" s="499">
        <v>3.449058</v>
      </c>
      <c r="N63" s="499">
        <v>3.6791960000000001</v>
      </c>
      <c r="O63" s="499">
        <v>3.8289949999999999</v>
      </c>
      <c r="P63" s="499">
        <v>4.0644689999999999</v>
      </c>
      <c r="Q63" s="499">
        <v>4.2179120000000001</v>
      </c>
      <c r="R63" s="499">
        <v>4.4261699999999999</v>
      </c>
      <c r="S63" s="499">
        <v>4.5467300000000002</v>
      </c>
      <c r="T63" s="499">
        <v>4.800624</v>
      </c>
      <c r="U63" s="499">
        <v>4.9260549999999999</v>
      </c>
      <c r="V63" s="499">
        <v>5.046189</v>
      </c>
      <c r="W63" s="499">
        <v>5.1651989999999994</v>
      </c>
      <c r="X63" s="499">
        <v>5.2601979999999999</v>
      </c>
      <c r="Y63" s="499">
        <v>5.3672339999999998</v>
      </c>
      <c r="Z63" s="499">
        <v>5.4976099999999999</v>
      </c>
      <c r="AA63" s="499">
        <v>5.5981299999999994</v>
      </c>
      <c r="AB63" s="499">
        <v>5.6935210000000005</v>
      </c>
      <c r="AC63" s="499">
        <v>5.8199019999999999</v>
      </c>
      <c r="AD63" s="499">
        <v>5.9512400000000003</v>
      </c>
      <c r="AE63" s="499">
        <v>6.0712260000000002</v>
      </c>
      <c r="AF63" s="499">
        <v>6.197883</v>
      </c>
      <c r="AG63" s="499">
        <v>6.3079359999999998</v>
      </c>
      <c r="AH63" s="499">
        <v>6.4216420000000003</v>
      </c>
      <c r="AI63" s="499">
        <v>6.5493519999999998</v>
      </c>
      <c r="AJ63" s="499">
        <v>6.6573149999999996</v>
      </c>
      <c r="AK63" s="503">
        <v>1.7999999999999999E-2</v>
      </c>
      <c r="AL63" s="508" t="s">
        <v>143</v>
      </c>
      <c r="AM63" s="29">
        <v>0.16</v>
      </c>
    </row>
    <row r="64" spans="1:39">
      <c r="A64" s="501" t="s">
        <v>738</v>
      </c>
      <c r="G64" s="499">
        <v>1.6840000000000001E-2</v>
      </c>
      <c r="H64" s="499">
        <v>8.8283E-2</v>
      </c>
      <c r="I64" s="499">
        <v>0.19608100000000001</v>
      </c>
      <c r="J64" s="499">
        <v>0.33788499999999999</v>
      </c>
      <c r="K64" s="499">
        <v>0.54142999999999997</v>
      </c>
      <c r="L64" s="499">
        <v>0.77896499999999991</v>
      </c>
      <c r="M64" s="499">
        <v>0.78046799999999994</v>
      </c>
      <c r="N64" s="499">
        <v>0.78299600000000003</v>
      </c>
      <c r="O64" s="499">
        <v>0.78906900000000002</v>
      </c>
      <c r="P64" s="499">
        <v>0.80717900000000009</v>
      </c>
      <c r="Q64" s="499">
        <v>0.83154799999999995</v>
      </c>
      <c r="R64" s="499">
        <v>0.85978500000000002</v>
      </c>
      <c r="S64" s="499">
        <v>0.89041599999999999</v>
      </c>
      <c r="T64" s="499">
        <v>0.92307499999999998</v>
      </c>
      <c r="U64" s="499">
        <v>0.95984399999999992</v>
      </c>
      <c r="V64" s="499">
        <v>1.005951</v>
      </c>
      <c r="W64" s="499">
        <v>1.054063</v>
      </c>
      <c r="X64" s="499">
        <v>1.103118</v>
      </c>
      <c r="Y64" s="499">
        <v>1.1533150000000001</v>
      </c>
      <c r="Z64" s="499">
        <v>1.2054119999999999</v>
      </c>
      <c r="AA64" s="499">
        <v>1.2589570000000001</v>
      </c>
      <c r="AB64" s="499">
        <v>1.314284</v>
      </c>
      <c r="AC64" s="499">
        <v>1.371553</v>
      </c>
      <c r="AD64" s="499">
        <v>1.4316150000000001</v>
      </c>
      <c r="AE64" s="499">
        <v>1.504251</v>
      </c>
      <c r="AF64" s="499">
        <v>1.5801529999999999</v>
      </c>
      <c r="AG64" s="499">
        <v>1.658353</v>
      </c>
      <c r="AH64" s="499">
        <v>1.7381200000000001</v>
      </c>
      <c r="AI64" s="499">
        <v>1.819852</v>
      </c>
      <c r="AJ64" s="499">
        <v>1.906353</v>
      </c>
      <c r="AK64" s="503">
        <v>7.0000000000000007E-2</v>
      </c>
      <c r="AL64" s="508" t="s">
        <v>731</v>
      </c>
      <c r="AM64" s="29">
        <v>1E-3</v>
      </c>
    </row>
    <row r="65" spans="1:44">
      <c r="A65" s="501" t="s">
        <v>739</v>
      </c>
      <c r="G65" s="499">
        <v>27.077446999999999</v>
      </c>
      <c r="H65" s="499">
        <v>31.701445</v>
      </c>
      <c r="I65" s="499">
        <v>33.580373000000002</v>
      </c>
      <c r="J65" s="499">
        <v>33.966310999999997</v>
      </c>
      <c r="K65" s="499">
        <v>40.767806</v>
      </c>
      <c r="L65" s="499">
        <v>45.084701000000003</v>
      </c>
      <c r="M65" s="499">
        <v>45.108435999999998</v>
      </c>
      <c r="N65" s="499">
        <v>45.108870000000003</v>
      </c>
      <c r="O65" s="499">
        <v>45.108870000000003</v>
      </c>
      <c r="P65" s="499">
        <v>45.110329</v>
      </c>
      <c r="Q65" s="499">
        <v>45.104281</v>
      </c>
      <c r="R65" s="499">
        <v>45.104840000000003</v>
      </c>
      <c r="S65" s="499">
        <v>45.103100000000005</v>
      </c>
      <c r="T65" s="499">
        <v>45.10284</v>
      </c>
      <c r="U65" s="499">
        <v>45.101298</v>
      </c>
      <c r="V65" s="499">
        <v>45.100530999999997</v>
      </c>
      <c r="W65" s="499">
        <v>45.092737999999997</v>
      </c>
      <c r="X65" s="499">
        <v>45.090955999999998</v>
      </c>
      <c r="Y65" s="499">
        <v>45.089531999999998</v>
      </c>
      <c r="Z65" s="499">
        <v>45.086191000000007</v>
      </c>
      <c r="AA65" s="499">
        <v>45.08746</v>
      </c>
      <c r="AB65" s="499">
        <v>45.090049</v>
      </c>
      <c r="AC65" s="499">
        <v>45.109467000000002</v>
      </c>
      <c r="AD65" s="499">
        <v>45.151542999999997</v>
      </c>
      <c r="AE65" s="499">
        <v>45.194068000000001</v>
      </c>
      <c r="AF65" s="499">
        <v>45.190356000000001</v>
      </c>
      <c r="AG65" s="499">
        <v>45.263466000000001</v>
      </c>
      <c r="AH65" s="499">
        <v>45.313358000000001</v>
      </c>
      <c r="AI65" s="499">
        <v>45.390753000000004</v>
      </c>
      <c r="AJ65" s="499">
        <v>45.516092</v>
      </c>
      <c r="AK65" s="503">
        <v>7.2999999999999995E-2</v>
      </c>
      <c r="AL65" s="508" t="s">
        <v>732</v>
      </c>
      <c r="AM65" s="29">
        <v>0</v>
      </c>
    </row>
    <row r="66" spans="1:44">
      <c r="A66" s="502" t="s">
        <v>740</v>
      </c>
      <c r="G66" s="500">
        <v>46.127929999999999</v>
      </c>
      <c r="H66" s="500">
        <v>49.239046999999999</v>
      </c>
      <c r="I66" s="500">
        <v>48.083494000000002</v>
      </c>
      <c r="J66" s="500">
        <v>49.272750000000002</v>
      </c>
      <c r="K66" s="500">
        <v>56.561999999999998</v>
      </c>
      <c r="L66" s="500">
        <v>61.542572999999997</v>
      </c>
      <c r="M66" s="500">
        <v>61.892882</v>
      </c>
      <c r="N66" s="500">
        <v>62.126064</v>
      </c>
      <c r="O66" s="500">
        <v>62.281794000000005</v>
      </c>
      <c r="P66" s="500">
        <v>62.536614999999998</v>
      </c>
      <c r="Q66" s="500">
        <v>62.708250999999997</v>
      </c>
      <c r="R66" s="500">
        <v>62.945180999999998</v>
      </c>
      <c r="S66" s="500">
        <v>63.094489999999993</v>
      </c>
      <c r="T66" s="500">
        <v>63.380648999999998</v>
      </c>
      <c r="U66" s="500">
        <v>63.541173000000001</v>
      </c>
      <c r="V66" s="500">
        <v>63.706477</v>
      </c>
      <c r="W66" s="500">
        <v>64.468970999999996</v>
      </c>
      <c r="X66" s="500">
        <v>64.611034000000004</v>
      </c>
      <c r="Y66" s="500">
        <v>64.766531000000001</v>
      </c>
      <c r="Z66" s="500">
        <v>65.010843000000008</v>
      </c>
      <c r="AA66" s="500">
        <v>65.165544999999995</v>
      </c>
      <c r="AB66" s="500">
        <v>65.390426000000005</v>
      </c>
      <c r="AC66" s="500">
        <v>65.592880000000008</v>
      </c>
      <c r="AD66" s="500">
        <v>65.825783000000001</v>
      </c>
      <c r="AE66" s="500">
        <v>66.060359000000005</v>
      </c>
      <c r="AF66" s="500">
        <v>66.258655000000005</v>
      </c>
      <c r="AG66" s="500">
        <v>66.519492999999997</v>
      </c>
      <c r="AH66" s="500">
        <v>66.762304999999998</v>
      </c>
      <c r="AI66" s="500">
        <v>67.048692000000003</v>
      </c>
      <c r="AJ66" s="500">
        <v>67.36807499999999</v>
      </c>
      <c r="AK66" s="504">
        <v>2.1999999999999999E-2</v>
      </c>
      <c r="AL66" s="508" t="s">
        <v>733</v>
      </c>
      <c r="AM66" s="29">
        <v>3.5599328496551189E-2</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0.13609623281477579</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582</v>
      </c>
      <c r="AB70" s="319" t="s">
        <v>583</v>
      </c>
      <c r="AC70" s="319" t="s">
        <v>584</v>
      </c>
      <c r="AD70" s="319" t="s">
        <v>585</v>
      </c>
      <c r="AE70" s="319" t="s">
        <v>586</v>
      </c>
      <c r="AF70" s="319" t="s">
        <v>587</v>
      </c>
      <c r="AG70" s="319" t="s">
        <v>588</v>
      </c>
      <c r="AH70" s="319" t="s">
        <v>589</v>
      </c>
      <c r="AI70" s="319" t="s">
        <v>590</v>
      </c>
      <c r="AJ70" s="319" t="s">
        <v>591</v>
      </c>
      <c r="AK70" s="319" t="s">
        <v>594</v>
      </c>
      <c r="AM70" s="90" t="s">
        <v>747</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728</v>
      </c>
      <c r="AN72" s="18">
        <v>0</v>
      </c>
      <c r="AO72" s="18">
        <v>0</v>
      </c>
      <c r="AP72" s="18">
        <v>0</v>
      </c>
      <c r="AQ72" s="18">
        <v>0</v>
      </c>
      <c r="AR72" s="18">
        <v>0</v>
      </c>
    </row>
    <row r="73" spans="1:44" s="18" customFormat="1">
      <c r="A73" s="17" t="s">
        <v>49</v>
      </c>
      <c r="B73" s="491">
        <f>AN73</f>
        <v>1.5209999999999999</v>
      </c>
      <c r="C73" s="491">
        <f t="shared" ref="C73:F73" si="0">AO73</f>
        <v>1.3049999999999999</v>
      </c>
      <c r="D73" s="491">
        <f t="shared" si="0"/>
        <v>1.2529999999999999</v>
      </c>
      <c r="E73" s="491">
        <f t="shared" si="0"/>
        <v>1.4750000000000001</v>
      </c>
      <c r="F73" s="491">
        <f t="shared" si="0"/>
        <v>2.0419999999999998</v>
      </c>
      <c r="G73" s="484">
        <f t="shared" ref="G73:AJ73" si="1">G60*$AM61</f>
        <v>2.4422302518629482</v>
      </c>
      <c r="H73" s="484">
        <f t="shared" si="1"/>
        <v>2.1182546729126406</v>
      </c>
      <c r="I73" s="484">
        <f t="shared" si="1"/>
        <v>1.7716014422890434</v>
      </c>
      <c r="J73" s="484">
        <f t="shared" si="1"/>
        <v>1.8099606475041961</v>
      </c>
      <c r="K73" s="484">
        <f t="shared" si="1"/>
        <v>1.847237242202816</v>
      </c>
      <c r="L73" s="484">
        <f t="shared" si="1"/>
        <v>1.8847505402145532</v>
      </c>
      <c r="M73" s="484">
        <f t="shared" si="1"/>
        <v>1.9225814629488744</v>
      </c>
      <c r="N73" s="484">
        <f t="shared" si="1"/>
        <v>1.9225824458000014</v>
      </c>
      <c r="O73" s="484">
        <f t="shared" si="1"/>
        <v>1.9225824458000014</v>
      </c>
      <c r="P73" s="484">
        <f t="shared" si="1"/>
        <v>1.9225824458000014</v>
      </c>
      <c r="Q73" s="484">
        <f t="shared" si="1"/>
        <v>1.9225824458000014</v>
      </c>
      <c r="R73" s="484">
        <f t="shared" si="1"/>
        <v>1.9225824458000014</v>
      </c>
      <c r="S73" s="484">
        <f t="shared" si="1"/>
        <v>1.9225824458000014</v>
      </c>
      <c r="T73" s="484">
        <f t="shared" si="1"/>
        <v>1.9225824458000014</v>
      </c>
      <c r="U73" s="484">
        <f t="shared" si="1"/>
        <v>1.9225824458000014</v>
      </c>
      <c r="V73" s="484">
        <f t="shared" si="1"/>
        <v>1.9225824458000014</v>
      </c>
      <c r="W73" s="484">
        <f t="shared" si="1"/>
        <v>2.0214158256333143</v>
      </c>
      <c r="X73" s="484">
        <f t="shared" si="1"/>
        <v>2.0214158256333143</v>
      </c>
      <c r="Y73" s="484">
        <f t="shared" si="1"/>
        <v>2.0214158256333143</v>
      </c>
      <c r="Z73" s="484">
        <f t="shared" si="1"/>
        <v>2.032197538689398</v>
      </c>
      <c r="AA73" s="484">
        <f t="shared" si="1"/>
        <v>2.032197538689398</v>
      </c>
      <c r="AB73" s="484">
        <f t="shared" si="1"/>
        <v>2.0440246777277045</v>
      </c>
      <c r="AC73" s="484">
        <f t="shared" si="1"/>
        <v>2.0440246777277045</v>
      </c>
      <c r="AD73" s="484">
        <f t="shared" si="1"/>
        <v>2.0440246777277045</v>
      </c>
      <c r="AE73" s="484">
        <f t="shared" si="1"/>
        <v>2.0440246777277045</v>
      </c>
      <c r="AF73" s="484">
        <f t="shared" si="1"/>
        <v>2.0440246777277045</v>
      </c>
      <c r="AG73" s="484">
        <f t="shared" si="1"/>
        <v>2.0440246777277045</v>
      </c>
      <c r="AH73" s="484">
        <f t="shared" si="1"/>
        <v>2.0440246777277045</v>
      </c>
      <c r="AI73" s="484">
        <f t="shared" si="1"/>
        <v>2.0440246777277045</v>
      </c>
      <c r="AJ73" s="484">
        <f t="shared" si="1"/>
        <v>2.0440246777277045</v>
      </c>
      <c r="AK73" s="485"/>
      <c r="AM73" s="18" t="s">
        <v>729</v>
      </c>
      <c r="AN73" s="18">
        <v>1.5209999999999999</v>
      </c>
      <c r="AO73" s="18">
        <v>1.3049999999999999</v>
      </c>
      <c r="AP73" s="18">
        <v>1.2529999999999999</v>
      </c>
      <c r="AQ73" s="18">
        <v>1.4750000000000001</v>
      </c>
      <c r="AR73" s="18">
        <v>2.0419999999999998</v>
      </c>
    </row>
    <row r="74" spans="1:44" s="18" customFormat="1">
      <c r="A74" s="17" t="s">
        <v>50</v>
      </c>
      <c r="B74" s="491">
        <f>AN72</f>
        <v>0</v>
      </c>
      <c r="C74" s="491">
        <f t="shared" ref="C74:F74" si="2">AO72</f>
        <v>0</v>
      </c>
      <c r="D74" s="491">
        <f t="shared" si="2"/>
        <v>0</v>
      </c>
      <c r="E74" s="491">
        <f t="shared" si="2"/>
        <v>0</v>
      </c>
      <c r="F74" s="491">
        <f t="shared" si="2"/>
        <v>0</v>
      </c>
      <c r="G74" s="484">
        <f t="shared" ref="G74:AJ74" si="3">G61*$AM60</f>
        <v>1E-10</v>
      </c>
      <c r="H74" s="484">
        <f t="shared" si="3"/>
        <v>1E-10</v>
      </c>
      <c r="I74" s="484">
        <f t="shared" si="3"/>
        <v>1E-10</v>
      </c>
      <c r="J74" s="484">
        <f t="shared" si="3"/>
        <v>1E-10</v>
      </c>
      <c r="K74" s="484">
        <f t="shared" si="3"/>
        <v>1E-10</v>
      </c>
      <c r="L74" s="484">
        <f t="shared" si="3"/>
        <v>1E-10</v>
      </c>
      <c r="M74" s="484">
        <f t="shared" si="3"/>
        <v>1E-10</v>
      </c>
      <c r="N74" s="484">
        <f t="shared" si="3"/>
        <v>1E-10</v>
      </c>
      <c r="O74" s="484">
        <f t="shared" si="3"/>
        <v>1E-10</v>
      </c>
      <c r="P74" s="484">
        <f t="shared" si="3"/>
        <v>1E-10</v>
      </c>
      <c r="Q74" s="484">
        <f t="shared" si="3"/>
        <v>1E-10</v>
      </c>
      <c r="R74" s="484">
        <f t="shared" si="3"/>
        <v>1E-10</v>
      </c>
      <c r="S74" s="484">
        <f t="shared" si="3"/>
        <v>1E-10</v>
      </c>
      <c r="T74" s="484">
        <f t="shared" si="3"/>
        <v>1E-10</v>
      </c>
      <c r="U74" s="484">
        <f t="shared" si="3"/>
        <v>1E-10</v>
      </c>
      <c r="V74" s="484">
        <f t="shared" si="3"/>
        <v>1E-10</v>
      </c>
      <c r="W74" s="484">
        <f t="shared" si="3"/>
        <v>1E-10</v>
      </c>
      <c r="X74" s="484">
        <f t="shared" si="3"/>
        <v>1E-10</v>
      </c>
      <c r="Y74" s="484">
        <f t="shared" si="3"/>
        <v>1E-10</v>
      </c>
      <c r="Z74" s="484">
        <f t="shared" si="3"/>
        <v>1E-10</v>
      </c>
      <c r="AA74" s="484">
        <f t="shared" si="3"/>
        <v>1E-10</v>
      </c>
      <c r="AB74" s="484">
        <f t="shared" si="3"/>
        <v>1E-10</v>
      </c>
      <c r="AC74" s="484">
        <f t="shared" si="3"/>
        <v>1E-10</v>
      </c>
      <c r="AD74" s="484">
        <f t="shared" si="3"/>
        <v>1E-10</v>
      </c>
      <c r="AE74" s="484">
        <f t="shared" si="3"/>
        <v>1E-10</v>
      </c>
      <c r="AF74" s="484">
        <f t="shared" si="3"/>
        <v>1E-10</v>
      </c>
      <c r="AG74" s="484">
        <f t="shared" si="3"/>
        <v>1E-10</v>
      </c>
      <c r="AH74" s="484">
        <f t="shared" si="3"/>
        <v>1E-10</v>
      </c>
      <c r="AI74" s="484">
        <f t="shared" si="3"/>
        <v>1E-10</v>
      </c>
      <c r="AJ74" s="484">
        <f t="shared" si="3"/>
        <v>1E-10</v>
      </c>
      <c r="AK74" s="485"/>
      <c r="AM74" s="18" t="s">
        <v>752</v>
      </c>
      <c r="AN74" s="18">
        <v>0</v>
      </c>
      <c r="AO74" s="18">
        <v>0</v>
      </c>
      <c r="AP74" s="18">
        <v>0</v>
      </c>
      <c r="AQ74" s="18">
        <v>0</v>
      </c>
      <c r="AR74" s="18">
        <v>0</v>
      </c>
    </row>
    <row r="75" spans="1:44" s="18" customFormat="1">
      <c r="A75" s="17" t="s">
        <v>51</v>
      </c>
      <c r="B75" s="491">
        <v>1E-4</v>
      </c>
      <c r="C75" s="491">
        <v>1E-4</v>
      </c>
      <c r="D75" s="491">
        <v>1E-4</v>
      </c>
      <c r="E75" s="491">
        <v>1E-4</v>
      </c>
      <c r="F75" s="491">
        <v>1E-4</v>
      </c>
      <c r="G75" s="491">
        <v>1E-4</v>
      </c>
      <c r="H75" s="491">
        <v>1E-4</v>
      </c>
      <c r="I75" s="491">
        <v>1E-4</v>
      </c>
      <c r="J75" s="491">
        <v>1E-4</v>
      </c>
      <c r="K75" s="491">
        <v>1E-4</v>
      </c>
      <c r="L75" s="491">
        <v>1E-4</v>
      </c>
      <c r="M75" s="491">
        <v>1E-4</v>
      </c>
      <c r="N75" s="491">
        <v>1E-4</v>
      </c>
      <c r="O75" s="491">
        <v>1E-4</v>
      </c>
      <c r="P75" s="491">
        <v>1E-4</v>
      </c>
      <c r="Q75" s="491">
        <v>1E-4</v>
      </c>
      <c r="R75" s="491">
        <v>1E-4</v>
      </c>
      <c r="S75" s="491">
        <v>1E-4</v>
      </c>
      <c r="T75" s="491">
        <v>1E-4</v>
      </c>
      <c r="U75" s="491">
        <v>1E-4</v>
      </c>
      <c r="V75" s="491">
        <v>1E-4</v>
      </c>
      <c r="W75" s="491">
        <v>1E-4</v>
      </c>
      <c r="X75" s="491">
        <v>1E-4</v>
      </c>
      <c r="Y75" s="491">
        <v>1E-4</v>
      </c>
      <c r="Z75" s="491">
        <v>1E-4</v>
      </c>
      <c r="AA75" s="491">
        <v>1E-4</v>
      </c>
      <c r="AB75" s="491">
        <v>1E-4</v>
      </c>
      <c r="AC75" s="491">
        <v>1E-4</v>
      </c>
      <c r="AD75" s="491">
        <v>1E-4</v>
      </c>
      <c r="AE75" s="491">
        <v>1E-4</v>
      </c>
      <c r="AF75" s="491">
        <v>1E-4</v>
      </c>
      <c r="AG75" s="491">
        <v>1E-4</v>
      </c>
      <c r="AH75" s="491">
        <v>1E-4</v>
      </c>
      <c r="AI75" s="491">
        <v>1E-4</v>
      </c>
      <c r="AJ75" s="491">
        <v>1E-4</v>
      </c>
      <c r="AK75" s="485"/>
      <c r="AM75" s="18" t="s">
        <v>143</v>
      </c>
      <c r="AN75" s="18">
        <v>0.36899999999999999</v>
      </c>
      <c r="AO75" s="18">
        <v>0.621</v>
      </c>
      <c r="AP75" s="18">
        <v>1.6930000000000001</v>
      </c>
      <c r="AQ75" s="18">
        <v>2.9980000000000002</v>
      </c>
      <c r="AR75" s="18">
        <v>4.0960000000000001</v>
      </c>
    </row>
    <row r="76" spans="1:44" s="18" customFormat="1">
      <c r="A76" s="17" t="s">
        <v>56</v>
      </c>
      <c r="B76" s="492">
        <f>AN76</f>
        <v>0</v>
      </c>
      <c r="C76" s="492">
        <f t="shared" ref="C76:F76" si="4">AO76</f>
        <v>0</v>
      </c>
      <c r="D76" s="492">
        <f t="shared" si="4"/>
        <v>0</v>
      </c>
      <c r="E76" s="492">
        <f t="shared" si="4"/>
        <v>0</v>
      </c>
      <c r="F76" s="492">
        <f t="shared" si="4"/>
        <v>0</v>
      </c>
      <c r="G76" s="492">
        <f>G63*$AM64</f>
        <v>2.3493810000000002E-3</v>
      </c>
      <c r="H76" s="492">
        <f t="shared" ref="H76:AJ76" si="5">H63*$AM64</f>
        <v>2.6034019999999999E-3</v>
      </c>
      <c r="I76" s="492">
        <f t="shared" si="5"/>
        <v>2.7478670000000002E-3</v>
      </c>
      <c r="J76" s="492">
        <f t="shared" si="5"/>
        <v>3.1163970000000004E-3</v>
      </c>
      <c r="K76" s="492">
        <f t="shared" si="5"/>
        <v>3.1581880000000001E-3</v>
      </c>
      <c r="L76" s="492">
        <f t="shared" si="5"/>
        <v>3.3551140000000002E-3</v>
      </c>
      <c r="M76" s="492">
        <f t="shared" si="5"/>
        <v>3.4490580000000001E-3</v>
      </c>
      <c r="N76" s="492">
        <f t="shared" si="5"/>
        <v>3.679196E-3</v>
      </c>
      <c r="O76" s="492">
        <f t="shared" si="5"/>
        <v>3.828995E-3</v>
      </c>
      <c r="P76" s="492">
        <f t="shared" si="5"/>
        <v>4.0644690000000002E-3</v>
      </c>
      <c r="Q76" s="492">
        <f t="shared" si="5"/>
        <v>4.2179119999999999E-3</v>
      </c>
      <c r="R76" s="492">
        <f t="shared" si="5"/>
        <v>4.4261700000000001E-3</v>
      </c>
      <c r="S76" s="492">
        <f t="shared" si="5"/>
        <v>4.5467300000000006E-3</v>
      </c>
      <c r="T76" s="492">
        <f t="shared" si="5"/>
        <v>4.8006239999999999E-3</v>
      </c>
      <c r="U76" s="492">
        <f t="shared" si="5"/>
        <v>4.9260550000000004E-3</v>
      </c>
      <c r="V76" s="492">
        <f t="shared" si="5"/>
        <v>5.0461890000000004E-3</v>
      </c>
      <c r="W76" s="492">
        <f t="shared" si="5"/>
        <v>5.1651989999999997E-3</v>
      </c>
      <c r="X76" s="492">
        <f t="shared" si="5"/>
        <v>5.2601979999999998E-3</v>
      </c>
      <c r="Y76" s="492">
        <f t="shared" si="5"/>
        <v>5.3672340000000002E-3</v>
      </c>
      <c r="Z76" s="492">
        <f t="shared" si="5"/>
        <v>5.49761E-3</v>
      </c>
      <c r="AA76" s="492">
        <f t="shared" si="5"/>
        <v>5.5981299999999998E-3</v>
      </c>
      <c r="AB76" s="492">
        <f t="shared" si="5"/>
        <v>5.6935210000000009E-3</v>
      </c>
      <c r="AC76" s="492">
        <f t="shared" si="5"/>
        <v>5.8199020000000001E-3</v>
      </c>
      <c r="AD76" s="492">
        <f t="shared" si="5"/>
        <v>5.95124E-3</v>
      </c>
      <c r="AE76" s="492">
        <f t="shared" si="5"/>
        <v>6.0712260000000007E-3</v>
      </c>
      <c r="AF76" s="492">
        <f t="shared" si="5"/>
        <v>6.1978830000000004E-3</v>
      </c>
      <c r="AG76" s="492">
        <f t="shared" si="5"/>
        <v>6.3079360000000001E-3</v>
      </c>
      <c r="AH76" s="492">
        <f t="shared" si="5"/>
        <v>6.4216420000000008E-3</v>
      </c>
      <c r="AI76" s="492">
        <f t="shared" si="5"/>
        <v>6.5493519999999996E-3</v>
      </c>
      <c r="AJ76" s="492">
        <f t="shared" si="5"/>
        <v>6.6573149999999996E-3</v>
      </c>
      <c r="AK76" s="485"/>
      <c r="AM76" s="18" t="s">
        <v>753</v>
      </c>
      <c r="AN76" s="18">
        <v>0</v>
      </c>
      <c r="AO76" s="18">
        <v>0</v>
      </c>
      <c r="AP76" s="18">
        <v>0</v>
      </c>
      <c r="AQ76" s="18">
        <v>0</v>
      </c>
      <c r="AR76" s="18">
        <v>0</v>
      </c>
    </row>
    <row r="77" spans="1:44" s="18" customFormat="1">
      <c r="A77" s="17" t="s">
        <v>52</v>
      </c>
      <c r="B77" s="491">
        <f>AN74</f>
        <v>0</v>
      </c>
      <c r="C77" s="491">
        <f t="shared" ref="C77:F77" si="6">AO74</f>
        <v>0</v>
      </c>
      <c r="D77" s="491">
        <f t="shared" si="6"/>
        <v>0</v>
      </c>
      <c r="E77" s="491">
        <f t="shared" si="6"/>
        <v>0</v>
      </c>
      <c r="F77" s="491">
        <f t="shared" si="6"/>
        <v>0</v>
      </c>
      <c r="G77" s="484">
        <f t="shared" ref="G77:AJ77" si="7">G64*$AM62</f>
        <v>0</v>
      </c>
      <c r="H77" s="484">
        <f t="shared" si="7"/>
        <v>0</v>
      </c>
      <c r="I77" s="484">
        <f t="shared" si="7"/>
        <v>0</v>
      </c>
      <c r="J77" s="484">
        <f t="shared" si="7"/>
        <v>0</v>
      </c>
      <c r="K77" s="484">
        <f t="shared" si="7"/>
        <v>0</v>
      </c>
      <c r="L77" s="484">
        <f t="shared" si="7"/>
        <v>0</v>
      </c>
      <c r="M77" s="484">
        <f t="shared" si="7"/>
        <v>0</v>
      </c>
      <c r="N77" s="484">
        <f t="shared" si="7"/>
        <v>0</v>
      </c>
      <c r="O77" s="484">
        <f t="shared" si="7"/>
        <v>0</v>
      </c>
      <c r="P77" s="484">
        <f t="shared" si="7"/>
        <v>0</v>
      </c>
      <c r="Q77" s="484">
        <f t="shared" si="7"/>
        <v>0</v>
      </c>
      <c r="R77" s="484">
        <f t="shared" si="7"/>
        <v>0</v>
      </c>
      <c r="S77" s="484">
        <f t="shared" si="7"/>
        <v>0</v>
      </c>
      <c r="T77" s="484">
        <f t="shared" si="7"/>
        <v>0</v>
      </c>
      <c r="U77" s="484">
        <f t="shared" si="7"/>
        <v>0</v>
      </c>
      <c r="V77" s="484">
        <f t="shared" si="7"/>
        <v>0</v>
      </c>
      <c r="W77" s="484">
        <f t="shared" si="7"/>
        <v>0</v>
      </c>
      <c r="X77" s="484">
        <f t="shared" si="7"/>
        <v>0</v>
      </c>
      <c r="Y77" s="484">
        <f t="shared" si="7"/>
        <v>0</v>
      </c>
      <c r="Z77" s="484">
        <f t="shared" si="7"/>
        <v>0</v>
      </c>
      <c r="AA77" s="484">
        <f t="shared" si="7"/>
        <v>0</v>
      </c>
      <c r="AB77" s="484">
        <f t="shared" si="7"/>
        <v>0</v>
      </c>
      <c r="AC77" s="484">
        <f t="shared" si="7"/>
        <v>0</v>
      </c>
      <c r="AD77" s="484">
        <f t="shared" si="7"/>
        <v>0</v>
      </c>
      <c r="AE77" s="484">
        <f t="shared" si="7"/>
        <v>0</v>
      </c>
      <c r="AF77" s="484">
        <f t="shared" si="7"/>
        <v>0</v>
      </c>
      <c r="AG77" s="484">
        <f t="shared" si="7"/>
        <v>0</v>
      </c>
      <c r="AH77" s="484">
        <f t="shared" si="7"/>
        <v>0</v>
      </c>
      <c r="AI77" s="484">
        <f t="shared" si="7"/>
        <v>0</v>
      </c>
      <c r="AJ77" s="484">
        <f t="shared" si="7"/>
        <v>0</v>
      </c>
      <c r="AK77" s="485"/>
      <c r="AM77" s="18" t="s">
        <v>754</v>
      </c>
      <c r="AN77" s="18">
        <v>0</v>
      </c>
      <c r="AO77" s="18">
        <v>0</v>
      </c>
      <c r="AP77" s="18">
        <v>0</v>
      </c>
      <c r="AQ77" s="18">
        <v>0</v>
      </c>
      <c r="AR77" s="18">
        <v>0</v>
      </c>
    </row>
    <row r="78" spans="1:44" s="18" customFormat="1">
      <c r="A78" s="17" t="s">
        <v>53</v>
      </c>
      <c r="B78" s="491">
        <f>AN75</f>
        <v>0.36899999999999999</v>
      </c>
      <c r="C78" s="491">
        <f t="shared" ref="C78:F78" si="8">AO75</f>
        <v>0.621</v>
      </c>
      <c r="D78" s="491">
        <f t="shared" si="8"/>
        <v>1.6930000000000001</v>
      </c>
      <c r="E78" s="491">
        <f t="shared" si="8"/>
        <v>2.9980000000000002</v>
      </c>
      <c r="F78" s="491">
        <f t="shared" si="8"/>
        <v>4.0960000000000001</v>
      </c>
      <c r="G78" s="484">
        <f t="shared" ref="G78:AJ78" si="9">G65*$AM63</f>
        <v>4.3323915199999998</v>
      </c>
      <c r="H78" s="484">
        <f t="shared" si="9"/>
        <v>5.0722312000000001</v>
      </c>
      <c r="I78" s="484">
        <f t="shared" si="9"/>
        <v>5.3728596800000004</v>
      </c>
      <c r="J78" s="484">
        <f t="shared" si="9"/>
        <v>5.4346097599999998</v>
      </c>
      <c r="K78" s="484">
        <f t="shared" si="9"/>
        <v>6.5228489600000001</v>
      </c>
      <c r="L78" s="484">
        <f t="shared" si="9"/>
        <v>7.2135521600000008</v>
      </c>
      <c r="M78" s="484">
        <f t="shared" si="9"/>
        <v>7.2173497599999994</v>
      </c>
      <c r="N78" s="484">
        <f t="shared" si="9"/>
        <v>7.217419200000001</v>
      </c>
      <c r="O78" s="484">
        <f t="shared" si="9"/>
        <v>7.217419200000001</v>
      </c>
      <c r="P78" s="484">
        <f t="shared" si="9"/>
        <v>7.2176526399999998</v>
      </c>
      <c r="Q78" s="484">
        <f t="shared" si="9"/>
        <v>7.2166849600000003</v>
      </c>
      <c r="R78" s="484">
        <f t="shared" si="9"/>
        <v>7.2167744000000003</v>
      </c>
      <c r="S78" s="484">
        <f t="shared" si="9"/>
        <v>7.2164960000000011</v>
      </c>
      <c r="T78" s="484">
        <f t="shared" si="9"/>
        <v>7.2164543999999999</v>
      </c>
      <c r="U78" s="484">
        <f t="shared" si="9"/>
        <v>7.2162076800000001</v>
      </c>
      <c r="V78" s="484">
        <f t="shared" si="9"/>
        <v>7.2160849599999999</v>
      </c>
      <c r="W78" s="484">
        <f t="shared" si="9"/>
        <v>7.2148380799999998</v>
      </c>
      <c r="X78" s="484">
        <f t="shared" si="9"/>
        <v>7.2145529599999998</v>
      </c>
      <c r="Y78" s="484">
        <f t="shared" si="9"/>
        <v>7.2143251199999998</v>
      </c>
      <c r="Z78" s="484">
        <f t="shared" si="9"/>
        <v>7.2137905600000014</v>
      </c>
      <c r="AA78" s="484">
        <f t="shared" si="9"/>
        <v>7.2139936000000002</v>
      </c>
      <c r="AB78" s="484">
        <f t="shared" si="9"/>
        <v>7.2144078399999998</v>
      </c>
      <c r="AC78" s="484">
        <f t="shared" si="9"/>
        <v>7.2175147200000005</v>
      </c>
      <c r="AD78" s="484">
        <f t="shared" si="9"/>
        <v>7.2242468799999999</v>
      </c>
      <c r="AE78" s="484">
        <f t="shared" si="9"/>
        <v>7.2310508800000006</v>
      </c>
      <c r="AF78" s="484">
        <f t="shared" si="9"/>
        <v>7.2304569600000006</v>
      </c>
      <c r="AG78" s="484">
        <f t="shared" si="9"/>
        <v>7.2421545600000004</v>
      </c>
      <c r="AH78" s="484">
        <f t="shared" si="9"/>
        <v>7.2501372800000006</v>
      </c>
      <c r="AI78" s="484">
        <f t="shared" si="9"/>
        <v>7.2625204800000009</v>
      </c>
      <c r="AJ78" s="484">
        <f t="shared" si="9"/>
        <v>7.2825747200000004</v>
      </c>
      <c r="AK78" s="485"/>
      <c r="AM78" s="18" t="s">
        <v>755</v>
      </c>
      <c r="AN78" s="18">
        <v>4.0000000000000001E-3</v>
      </c>
      <c r="AO78" s="18">
        <v>1.4E-2</v>
      </c>
      <c r="AP78" s="18">
        <v>1.2999999999999999E-2</v>
      </c>
      <c r="AQ78" s="18">
        <v>1.2E-2</v>
      </c>
      <c r="AR78" s="18">
        <v>1.2E-2</v>
      </c>
    </row>
    <row r="79" spans="1:44" s="18" customFormat="1">
      <c r="A79" s="17" t="s">
        <v>54</v>
      </c>
      <c r="B79" s="493">
        <f>AN79</f>
        <v>1.8939999999999999</v>
      </c>
      <c r="C79" s="493">
        <f t="shared" ref="C79:F79" si="10">AO79</f>
        <v>1.94</v>
      </c>
      <c r="D79" s="493">
        <f t="shared" si="10"/>
        <v>2.9590000000000001</v>
      </c>
      <c r="E79" s="493">
        <f t="shared" si="10"/>
        <v>4.484</v>
      </c>
      <c r="F79" s="493">
        <f t="shared" si="10"/>
        <v>6.15</v>
      </c>
      <c r="G79" s="486">
        <f>SUM(G73:G78)</f>
        <v>6.7770711529629484</v>
      </c>
      <c r="H79" s="486">
        <f t="shared" ref="H79:AJ79" si="11">SUM(H73:H78)</f>
        <v>7.1931892750126405</v>
      </c>
      <c r="I79" s="486">
        <f t="shared" si="11"/>
        <v>7.1473089893890442</v>
      </c>
      <c r="J79" s="486">
        <f t="shared" si="11"/>
        <v>7.2477868046041962</v>
      </c>
      <c r="K79" s="486">
        <f t="shared" si="11"/>
        <v>8.3733443903028153</v>
      </c>
      <c r="L79" s="486">
        <f t="shared" si="11"/>
        <v>9.1017578143145546</v>
      </c>
      <c r="M79" s="486">
        <f t="shared" si="11"/>
        <v>9.1434802810488733</v>
      </c>
      <c r="N79" s="486">
        <f t="shared" si="11"/>
        <v>9.1437808419000017</v>
      </c>
      <c r="O79" s="486">
        <f t="shared" si="11"/>
        <v>9.1439306409000025</v>
      </c>
      <c r="P79" s="486">
        <f t="shared" si="11"/>
        <v>9.1443995549000014</v>
      </c>
      <c r="Q79" s="486">
        <f t="shared" si="11"/>
        <v>9.1435853179000013</v>
      </c>
      <c r="R79" s="486">
        <f t="shared" si="11"/>
        <v>9.143883015900002</v>
      </c>
      <c r="S79" s="486">
        <f t="shared" si="11"/>
        <v>9.143725175900002</v>
      </c>
      <c r="T79" s="486">
        <f t="shared" si="11"/>
        <v>9.1439374699000009</v>
      </c>
      <c r="U79" s="486">
        <f t="shared" si="11"/>
        <v>9.1438161809000018</v>
      </c>
      <c r="V79" s="486">
        <f t="shared" si="11"/>
        <v>9.143813594900001</v>
      </c>
      <c r="W79" s="486">
        <f t="shared" si="11"/>
        <v>9.2415191047333138</v>
      </c>
      <c r="X79" s="486">
        <f t="shared" si="11"/>
        <v>9.2413289837333146</v>
      </c>
      <c r="Y79" s="486">
        <f t="shared" si="11"/>
        <v>9.2412081797333148</v>
      </c>
      <c r="Z79" s="486">
        <f t="shared" si="11"/>
        <v>9.2515857087893991</v>
      </c>
      <c r="AA79" s="486">
        <f t="shared" si="11"/>
        <v>9.2518892687893981</v>
      </c>
      <c r="AB79" s="486">
        <f t="shared" si="11"/>
        <v>9.2642260388277045</v>
      </c>
      <c r="AC79" s="486">
        <f t="shared" si="11"/>
        <v>9.2674592998277046</v>
      </c>
      <c r="AD79" s="486">
        <f t="shared" si="11"/>
        <v>9.2743227978277041</v>
      </c>
      <c r="AE79" s="486">
        <f t="shared" si="11"/>
        <v>9.2812467838277044</v>
      </c>
      <c r="AF79" s="486">
        <f t="shared" si="11"/>
        <v>9.2807795208277053</v>
      </c>
      <c r="AG79" s="486">
        <f t="shared" si="11"/>
        <v>9.2925871738277053</v>
      </c>
      <c r="AH79" s="486">
        <f t="shared" si="11"/>
        <v>9.3006835998277051</v>
      </c>
      <c r="AI79" s="486">
        <f t="shared" si="11"/>
        <v>9.3131945098277065</v>
      </c>
      <c r="AJ79" s="486">
        <f t="shared" si="11"/>
        <v>9.3333567128277046</v>
      </c>
      <c r="AK79" s="487"/>
      <c r="AM79" s="18" t="s">
        <v>58</v>
      </c>
      <c r="AN79" s="18">
        <v>1.8939999999999999</v>
      </c>
      <c r="AO79" s="18">
        <v>1.94</v>
      </c>
      <c r="AP79" s="18">
        <v>2.9590000000000001</v>
      </c>
      <c r="AQ79" s="18">
        <v>4.484</v>
      </c>
      <c r="AR79" s="18">
        <v>6.15</v>
      </c>
    </row>
    <row r="80" spans="1:44" s="255" customFormat="1">
      <c r="A80" s="254" t="s">
        <v>57</v>
      </c>
      <c r="B80" s="474">
        <f>B79*1000</f>
        <v>1894</v>
      </c>
      <c r="C80" s="474">
        <f t="shared" ref="C80:AJ80" si="12">C79*1000</f>
        <v>1940</v>
      </c>
      <c r="D80" s="474">
        <f t="shared" si="12"/>
        <v>2959</v>
      </c>
      <c r="E80" s="474">
        <f t="shared" si="12"/>
        <v>4484</v>
      </c>
      <c r="F80" s="474">
        <f t="shared" si="12"/>
        <v>6150</v>
      </c>
      <c r="G80" s="276">
        <f t="shared" si="12"/>
        <v>6777.071152962948</v>
      </c>
      <c r="H80" s="276">
        <f t="shared" si="12"/>
        <v>7193.1892750126408</v>
      </c>
      <c r="I80" s="276">
        <f t="shared" si="12"/>
        <v>7147.3089893890447</v>
      </c>
      <c r="J80" s="276">
        <f t="shared" si="12"/>
        <v>7247.7868046041958</v>
      </c>
      <c r="K80" s="276">
        <f t="shared" si="12"/>
        <v>8373.3443903028146</v>
      </c>
      <c r="L80" s="276">
        <f t="shared" si="12"/>
        <v>9101.7578143145547</v>
      </c>
      <c r="M80" s="276">
        <f t="shared" si="12"/>
        <v>9143.4802810488727</v>
      </c>
      <c r="N80" s="276">
        <f t="shared" si="12"/>
        <v>9143.7808419000012</v>
      </c>
      <c r="O80" s="276">
        <f t="shared" si="12"/>
        <v>9143.9306409000019</v>
      </c>
      <c r="P80" s="276">
        <f t="shared" si="12"/>
        <v>9144.399554900001</v>
      </c>
      <c r="Q80" s="276">
        <f t="shared" si="12"/>
        <v>9143.5853179000005</v>
      </c>
      <c r="R80" s="276">
        <f t="shared" si="12"/>
        <v>9143.8830159000026</v>
      </c>
      <c r="S80" s="276">
        <f t="shared" si="12"/>
        <v>9143.7251759000028</v>
      </c>
      <c r="T80" s="276">
        <f t="shared" si="12"/>
        <v>9143.9374699</v>
      </c>
      <c r="U80" s="276">
        <f t="shared" si="12"/>
        <v>9143.8161809000012</v>
      </c>
      <c r="V80" s="276">
        <f t="shared" si="12"/>
        <v>9143.8135949000007</v>
      </c>
      <c r="W80" s="276">
        <f t="shared" si="12"/>
        <v>9241.5191047333137</v>
      </c>
      <c r="X80" s="276">
        <f t="shared" si="12"/>
        <v>9241.3289837333141</v>
      </c>
      <c r="Y80" s="276">
        <f t="shared" si="12"/>
        <v>9241.208179733314</v>
      </c>
      <c r="Z80" s="276">
        <f t="shared" si="12"/>
        <v>9251.5857087893983</v>
      </c>
      <c r="AA80" s="276">
        <f t="shared" si="12"/>
        <v>9251.8892687893986</v>
      </c>
      <c r="AB80" s="276">
        <f t="shared" si="12"/>
        <v>9264.2260388277045</v>
      </c>
      <c r="AC80" s="276">
        <f t="shared" si="12"/>
        <v>9267.4592998277039</v>
      </c>
      <c r="AD80" s="276">
        <f t="shared" si="12"/>
        <v>9274.3227978277046</v>
      </c>
      <c r="AE80" s="276">
        <f t="shared" si="12"/>
        <v>9281.2467838277043</v>
      </c>
      <c r="AF80" s="276">
        <f t="shared" si="12"/>
        <v>9280.7795208277057</v>
      </c>
      <c r="AG80" s="276">
        <f t="shared" si="12"/>
        <v>9292.5871738277056</v>
      </c>
      <c r="AH80" s="276">
        <f t="shared" si="12"/>
        <v>9300.6835998277056</v>
      </c>
      <c r="AI80" s="276">
        <f t="shared" si="12"/>
        <v>9313.1945098277065</v>
      </c>
      <c r="AJ80" s="276">
        <f t="shared" si="12"/>
        <v>9333.3567128277045</v>
      </c>
      <c r="AK80" s="321"/>
    </row>
    <row r="81" spans="1:37" s="256" customFormat="1">
      <c r="A81" s="257" t="s">
        <v>339</v>
      </c>
      <c r="B81" s="260">
        <f t="shared" ref="B81:Q82" si="13">B74/SUM(B$74:B$78)</f>
        <v>0</v>
      </c>
      <c r="C81" s="260">
        <f>C74/SUM(C$74:C$78)</f>
        <v>0</v>
      </c>
      <c r="D81" s="260">
        <f t="shared" si="13"/>
        <v>0</v>
      </c>
      <c r="E81" s="260">
        <f t="shared" si="13"/>
        <v>0</v>
      </c>
      <c r="F81" s="260">
        <f t="shared" si="13"/>
        <v>0</v>
      </c>
      <c r="G81" s="260">
        <f t="shared" si="13"/>
        <v>2.3068897401661089E-11</v>
      </c>
      <c r="H81" s="260">
        <f t="shared" si="13"/>
        <v>1.9704687417768924E-11</v>
      </c>
      <c r="I81" s="260">
        <f t="shared" si="13"/>
        <v>1.8602202430812365E-11</v>
      </c>
      <c r="J81" s="260">
        <f t="shared" si="13"/>
        <v>1.838970152979847E-11</v>
      </c>
      <c r="K81" s="260">
        <f t="shared" si="13"/>
        <v>1.5323070512122045E-11</v>
      </c>
      <c r="L81" s="260">
        <f t="shared" si="13"/>
        <v>1.3856158959250949E-11</v>
      </c>
      <c r="M81" s="260">
        <f t="shared" si="13"/>
        <v>1.3848691488286568E-11</v>
      </c>
      <c r="N81" s="260">
        <f t="shared" si="13"/>
        <v>1.3848116962692459E-11</v>
      </c>
      <c r="O81" s="260">
        <f t="shared" si="13"/>
        <v>1.3847829698594835E-11</v>
      </c>
      <c r="P81" s="260">
        <f t="shared" si="13"/>
        <v>1.3846930556299043E-11</v>
      </c>
      <c r="Q81" s="260">
        <f t="shared" si="13"/>
        <v>1.3848491929891473E-11</v>
      </c>
      <c r="R81" s="260">
        <f t="shared" ref="R81:AJ82" si="14">R74/SUM(R$74:R$78)</f>
        <v>1.3847921026034125E-11</v>
      </c>
      <c r="S81" s="260">
        <f t="shared" si="14"/>
        <v>1.3848223714394739E-11</v>
      </c>
      <c r="T81" s="260">
        <f t="shared" si="14"/>
        <v>1.3847816603153788E-11</v>
      </c>
      <c r="U81" s="260">
        <f t="shared" si="14"/>
        <v>1.384804919330245E-11</v>
      </c>
      <c r="V81" s="260">
        <f t="shared" si="14"/>
        <v>1.384805415243677E-11</v>
      </c>
      <c r="W81" s="260">
        <f t="shared" si="14"/>
        <v>1.3850217390860537E-11</v>
      </c>
      <c r="X81" s="260">
        <f t="shared" si="14"/>
        <v>1.385058210676818E-11</v>
      </c>
      <c r="Y81" s="260">
        <f t="shared" si="14"/>
        <v>1.3850813859378056E-11</v>
      </c>
      <c r="Z81" s="260">
        <f t="shared" si="14"/>
        <v>1.385158930976485E-11</v>
      </c>
      <c r="AA81" s="260">
        <f t="shared" si="14"/>
        <v>1.3851006904226215E-11</v>
      </c>
      <c r="AB81" s="260">
        <f t="shared" si="14"/>
        <v>1.3850029244165701E-11</v>
      </c>
      <c r="AC81" s="260">
        <f t="shared" si="14"/>
        <v>1.384382987201841E-11</v>
      </c>
      <c r="AD81" s="260">
        <f t="shared" si="14"/>
        <v>1.3830688353223386E-11</v>
      </c>
      <c r="AE81" s="260">
        <f t="shared" si="14"/>
        <v>1.3817456274516366E-11</v>
      </c>
      <c r="AF81" s="260">
        <f t="shared" si="14"/>
        <v>1.3818348440440343E-11</v>
      </c>
      <c r="AG81" s="260">
        <f t="shared" si="14"/>
        <v>1.379583883753555E-11</v>
      </c>
      <c r="AH81" s="260">
        <f t="shared" si="14"/>
        <v>1.3780446493833702E-11</v>
      </c>
      <c r="AI81" s="260">
        <f t="shared" si="14"/>
        <v>1.3756729077701416E-11</v>
      </c>
      <c r="AJ81" s="260">
        <f t="shared" si="14"/>
        <v>1.3718678133809024E-11</v>
      </c>
      <c r="AK81" s="322"/>
    </row>
    <row r="82" spans="1:37" s="256" customFormat="1">
      <c r="A82" s="257" t="s">
        <v>340</v>
      </c>
      <c r="B82" s="260">
        <f t="shared" si="13"/>
        <v>2.70929287455974E-4</v>
      </c>
      <c r="C82" s="260">
        <f t="shared" ref="C82:AA82" si="15">C75/SUM(C$74:C$78)</f>
        <v>1.6100466913540493E-4</v>
      </c>
      <c r="D82" s="260">
        <f t="shared" si="15"/>
        <v>5.9063256747977086E-5</v>
      </c>
      <c r="E82" s="260">
        <f t="shared" si="15"/>
        <v>3.3354457823288082E-5</v>
      </c>
      <c r="F82" s="260">
        <f t="shared" si="15"/>
        <v>2.4413466468103806E-5</v>
      </c>
      <c r="G82" s="260">
        <f t="shared" si="15"/>
        <v>2.3068897401661089E-5</v>
      </c>
      <c r="H82" s="260">
        <f t="shared" si="15"/>
        <v>1.9704687417768924E-5</v>
      </c>
      <c r="I82" s="260">
        <f t="shared" si="15"/>
        <v>1.8602202430812367E-5</v>
      </c>
      <c r="J82" s="260">
        <f t="shared" si="15"/>
        <v>1.8389701529798469E-5</v>
      </c>
      <c r="K82" s="260">
        <f t="shared" si="15"/>
        <v>1.5323070512122043E-5</v>
      </c>
      <c r="L82" s="260">
        <f t="shared" si="15"/>
        <v>1.385615895925095E-5</v>
      </c>
      <c r="M82" s="260">
        <f t="shared" si="15"/>
        <v>1.3848691488286568E-5</v>
      </c>
      <c r="N82" s="260">
        <f t="shared" si="15"/>
        <v>1.384811696269246E-5</v>
      </c>
      <c r="O82" s="260">
        <f t="shared" si="15"/>
        <v>1.3847829698594835E-5</v>
      </c>
      <c r="P82" s="261">
        <f t="shared" si="15"/>
        <v>1.3846930556299042E-5</v>
      </c>
      <c r="Q82" s="260">
        <f t="shared" si="15"/>
        <v>1.3848491929891472E-5</v>
      </c>
      <c r="R82" s="260">
        <f t="shared" si="15"/>
        <v>1.3847921026034124E-5</v>
      </c>
      <c r="S82" s="260">
        <f t="shared" si="15"/>
        <v>1.3848223714394739E-5</v>
      </c>
      <c r="T82" s="260">
        <f t="shared" si="15"/>
        <v>1.3847816603153788E-5</v>
      </c>
      <c r="U82" s="260">
        <f t="shared" si="15"/>
        <v>1.3848049193302452E-5</v>
      </c>
      <c r="V82" s="260">
        <f t="shared" si="15"/>
        <v>1.384805415243677E-5</v>
      </c>
      <c r="W82" s="260">
        <f t="shared" si="15"/>
        <v>1.3850217390860536E-5</v>
      </c>
      <c r="X82" s="260">
        <f t="shared" si="15"/>
        <v>1.3850582106768181E-5</v>
      </c>
      <c r="Y82" s="260">
        <f t="shared" si="15"/>
        <v>1.3850813859378056E-5</v>
      </c>
      <c r="Z82" s="260">
        <f t="shared" si="15"/>
        <v>1.3851589309764851E-5</v>
      </c>
      <c r="AA82" s="260">
        <f t="shared" si="15"/>
        <v>1.3851006904226214E-5</v>
      </c>
      <c r="AB82" s="260">
        <f t="shared" si="14"/>
        <v>1.3850029244165703E-5</v>
      </c>
      <c r="AC82" s="260">
        <f t="shared" si="14"/>
        <v>1.3843829872018411E-5</v>
      </c>
      <c r="AD82" s="260">
        <f t="shared" si="14"/>
        <v>1.3830688353223386E-5</v>
      </c>
      <c r="AE82" s="260">
        <f t="shared" si="14"/>
        <v>1.3817456274516366E-5</v>
      </c>
      <c r="AF82" s="260">
        <f t="shared" si="14"/>
        <v>1.3818348440440343E-5</v>
      </c>
      <c r="AG82" s="260">
        <f t="shared" si="14"/>
        <v>1.379583883753555E-5</v>
      </c>
      <c r="AH82" s="260">
        <f t="shared" si="14"/>
        <v>1.3780446493833702E-5</v>
      </c>
      <c r="AI82" s="260">
        <f t="shared" si="14"/>
        <v>1.3756729077701416E-5</v>
      </c>
      <c r="AJ82" s="260">
        <f t="shared" si="14"/>
        <v>1.3718678133809025E-5</v>
      </c>
      <c r="AK82" s="322"/>
    </row>
    <row r="83" spans="1:37" s="256" customFormat="1">
      <c r="A83" s="257" t="s">
        <v>336</v>
      </c>
      <c r="B83" s="260">
        <f>B76/SUM(B$74:B$78)</f>
        <v>0</v>
      </c>
      <c r="C83" s="260">
        <f t="shared" ref="C83:AJ83" si="16">C76/SUM(C$74:C$78)</f>
        <v>0</v>
      </c>
      <c r="D83" s="260">
        <f t="shared" si="16"/>
        <v>0</v>
      </c>
      <c r="E83" s="260">
        <f t="shared" si="16"/>
        <v>0</v>
      </c>
      <c r="F83" s="260">
        <f t="shared" si="16"/>
        <v>0</v>
      </c>
      <c r="G83" s="260">
        <f t="shared" si="16"/>
        <v>5.4197629246411933E-4</v>
      </c>
      <c r="H83" s="260">
        <f t="shared" si="16"/>
        <v>5.1299222632794443E-4</v>
      </c>
      <c r="I83" s="260">
        <f t="shared" si="16"/>
        <v>5.1116378186949083E-4</v>
      </c>
      <c r="J83" s="260">
        <f t="shared" si="16"/>
        <v>5.7309610678359362E-4</v>
      </c>
      <c r="K83" s="260">
        <f t="shared" si="16"/>
        <v>4.8393137414537695E-4</v>
      </c>
      <c r="L83" s="260">
        <f t="shared" si="16"/>
        <v>4.6488992910408291E-4</v>
      </c>
      <c r="M83" s="260">
        <f t="shared" si="16"/>
        <v>4.7764940167206694E-4</v>
      </c>
      <c r="N83" s="260">
        <f t="shared" si="16"/>
        <v>5.0949936536670245E-4</v>
      </c>
      <c r="O83" s="260">
        <f t="shared" si="16"/>
        <v>5.3023270676771125E-4</v>
      </c>
      <c r="P83" s="261">
        <f t="shared" si="16"/>
        <v>5.6280419991230218E-4</v>
      </c>
      <c r="Q83" s="260">
        <f t="shared" si="16"/>
        <v>5.8411720292992394E-4</v>
      </c>
      <c r="R83" s="260">
        <f t="shared" si="16"/>
        <v>6.1293252607801454E-4</v>
      </c>
      <c r="S83" s="260">
        <f t="shared" si="16"/>
        <v>6.2964134208949997E-4</v>
      </c>
      <c r="T83" s="260">
        <f t="shared" si="16"/>
        <v>6.647816073269855E-4</v>
      </c>
      <c r="U83" s="260">
        <f t="shared" si="16"/>
        <v>6.8216251968913509E-4</v>
      </c>
      <c r="V83" s="260">
        <f t="shared" si="16"/>
        <v>6.9879898535430752E-4</v>
      </c>
      <c r="W83" s="260">
        <f t="shared" si="16"/>
        <v>7.1539129017055448E-4</v>
      </c>
      <c r="X83" s="260">
        <f t="shared" si="16"/>
        <v>7.2856804296857767E-4</v>
      </c>
      <c r="Y83" s="260">
        <f t="shared" si="16"/>
        <v>7.4340559073725126E-4</v>
      </c>
      <c r="Z83" s="260">
        <f t="shared" si="16"/>
        <v>7.6150635905256341E-4</v>
      </c>
      <c r="AA83" s="260">
        <f t="shared" si="16"/>
        <v>7.7539737280755896E-4</v>
      </c>
      <c r="AB83" s="260">
        <f t="shared" si="16"/>
        <v>7.8855432352271557E-4</v>
      </c>
      <c r="AC83" s="260">
        <f t="shared" si="16"/>
        <v>8.0569733159819689E-4</v>
      </c>
      <c r="AD83" s="260">
        <f t="shared" si="16"/>
        <v>8.2309745755237138E-4</v>
      </c>
      <c r="AE83" s="260">
        <f t="shared" si="16"/>
        <v>8.3888899787706904E-4</v>
      </c>
      <c r="AF83" s="260">
        <f t="shared" si="16"/>
        <v>8.564450688708172E-4</v>
      </c>
      <c r="AG83" s="260">
        <f t="shared" si="16"/>
        <v>8.7023268453488643E-4</v>
      </c>
      <c r="AH83" s="260">
        <f t="shared" si="16"/>
        <v>8.8493093983555251E-4</v>
      </c>
      <c r="AI83" s="260">
        <f t="shared" si="16"/>
        <v>9.0097661098501914E-4</v>
      </c>
      <c r="AJ83" s="260">
        <f t="shared" si="16"/>
        <v>9.1329561720378814E-4</v>
      </c>
      <c r="AK83" s="322"/>
    </row>
    <row r="84" spans="1:37" s="256" customFormat="1">
      <c r="A84" s="257" t="s">
        <v>338</v>
      </c>
      <c r="B84" s="260">
        <f>B77/SUM(B$74:B$78)</f>
        <v>0</v>
      </c>
      <c r="C84" s="260">
        <f t="shared" ref="C84:AJ84" si="17">C77/SUM(C$74:C$78)</f>
        <v>0</v>
      </c>
      <c r="D84" s="260">
        <f t="shared" si="17"/>
        <v>0</v>
      </c>
      <c r="E84" s="260">
        <f t="shared" si="17"/>
        <v>0</v>
      </c>
      <c r="F84" s="260">
        <f t="shared" si="17"/>
        <v>0</v>
      </c>
      <c r="G84" s="260">
        <f t="shared" si="17"/>
        <v>0</v>
      </c>
      <c r="H84" s="260">
        <f t="shared" si="17"/>
        <v>0</v>
      </c>
      <c r="I84" s="260">
        <f t="shared" si="17"/>
        <v>0</v>
      </c>
      <c r="J84" s="260">
        <f t="shared" si="17"/>
        <v>0</v>
      </c>
      <c r="K84" s="260">
        <f t="shared" si="17"/>
        <v>0</v>
      </c>
      <c r="L84" s="260">
        <f t="shared" si="17"/>
        <v>0</v>
      </c>
      <c r="M84" s="260">
        <f t="shared" si="17"/>
        <v>0</v>
      </c>
      <c r="N84" s="260">
        <f t="shared" si="17"/>
        <v>0</v>
      </c>
      <c r="O84" s="260">
        <f t="shared" si="17"/>
        <v>0</v>
      </c>
      <c r="P84" s="261">
        <f t="shared" si="17"/>
        <v>0</v>
      </c>
      <c r="Q84" s="260">
        <f t="shared" si="17"/>
        <v>0</v>
      </c>
      <c r="R84" s="260">
        <f t="shared" si="17"/>
        <v>0</v>
      </c>
      <c r="S84" s="260">
        <f t="shared" si="17"/>
        <v>0</v>
      </c>
      <c r="T84" s="260">
        <f t="shared" si="17"/>
        <v>0</v>
      </c>
      <c r="U84" s="260">
        <f t="shared" si="17"/>
        <v>0</v>
      </c>
      <c r="V84" s="260">
        <f t="shared" si="17"/>
        <v>0</v>
      </c>
      <c r="W84" s="260">
        <f t="shared" si="17"/>
        <v>0</v>
      </c>
      <c r="X84" s="260">
        <f t="shared" si="17"/>
        <v>0</v>
      </c>
      <c r="Y84" s="260">
        <f t="shared" si="17"/>
        <v>0</v>
      </c>
      <c r="Z84" s="260">
        <f t="shared" si="17"/>
        <v>0</v>
      </c>
      <c r="AA84" s="260">
        <f t="shared" si="17"/>
        <v>0</v>
      </c>
      <c r="AB84" s="260">
        <f t="shared" si="17"/>
        <v>0</v>
      </c>
      <c r="AC84" s="260">
        <f t="shared" si="17"/>
        <v>0</v>
      </c>
      <c r="AD84" s="260">
        <f t="shared" si="17"/>
        <v>0</v>
      </c>
      <c r="AE84" s="260">
        <f t="shared" si="17"/>
        <v>0</v>
      </c>
      <c r="AF84" s="260">
        <f t="shared" si="17"/>
        <v>0</v>
      </c>
      <c r="AG84" s="260">
        <f t="shared" si="17"/>
        <v>0</v>
      </c>
      <c r="AH84" s="260">
        <f t="shared" si="17"/>
        <v>0</v>
      </c>
      <c r="AI84" s="260">
        <f t="shared" si="17"/>
        <v>0</v>
      </c>
      <c r="AJ84" s="260">
        <f t="shared" si="17"/>
        <v>0</v>
      </c>
      <c r="AK84" s="322"/>
    </row>
    <row r="85" spans="1:37" s="256" customFormat="1">
      <c r="A85" s="257" t="s">
        <v>337</v>
      </c>
      <c r="B85" s="260">
        <f>B78/SUM(B$74:B$78)</f>
        <v>0.99972907071254402</v>
      </c>
      <c r="C85" s="260">
        <f t="shared" ref="C85:AJ85" si="18">C78/SUM(C$74:C$78)</f>
        <v>0.99983899533086462</v>
      </c>
      <c r="D85" s="260">
        <f t="shared" si="18"/>
        <v>0.99994093674325202</v>
      </c>
      <c r="E85" s="260">
        <f t="shared" si="18"/>
        <v>0.99996664554217662</v>
      </c>
      <c r="F85" s="260">
        <f t="shared" si="18"/>
        <v>0.99997558653353191</v>
      </c>
      <c r="G85" s="260">
        <f t="shared" si="18"/>
        <v>0.99943495478706534</v>
      </c>
      <c r="H85" s="260">
        <f t="shared" si="18"/>
        <v>0.99946730306654963</v>
      </c>
      <c r="I85" s="260">
        <f t="shared" si="18"/>
        <v>0.99947023399709756</v>
      </c>
      <c r="J85" s="260">
        <f t="shared" si="18"/>
        <v>0.9994085141732969</v>
      </c>
      <c r="K85" s="260">
        <f t="shared" si="18"/>
        <v>0.99950074554001944</v>
      </c>
      <c r="L85" s="260">
        <f t="shared" si="18"/>
        <v>0.99952125389808044</v>
      </c>
      <c r="M85" s="260">
        <f t="shared" si="18"/>
        <v>0.99950850189299101</v>
      </c>
      <c r="N85" s="260">
        <f t="shared" si="18"/>
        <v>0.99947665250382245</v>
      </c>
      <c r="O85" s="260">
        <f t="shared" si="18"/>
        <v>0.99945591944968593</v>
      </c>
      <c r="P85" s="261">
        <f t="shared" si="18"/>
        <v>0.99942334885568451</v>
      </c>
      <c r="Q85" s="260">
        <f t="shared" si="18"/>
        <v>0.9994020342912916</v>
      </c>
      <c r="R85" s="260">
        <f t="shared" si="18"/>
        <v>0.99937321953904801</v>
      </c>
      <c r="S85" s="260">
        <f t="shared" si="18"/>
        <v>0.9993565104203479</v>
      </c>
      <c r="T85" s="260">
        <f t="shared" si="18"/>
        <v>0.99932137056222203</v>
      </c>
      <c r="U85" s="260">
        <f t="shared" si="18"/>
        <v>0.9993039894172695</v>
      </c>
      <c r="V85" s="260">
        <f t="shared" si="18"/>
        <v>0.99928735294664517</v>
      </c>
      <c r="W85" s="260">
        <f t="shared" si="18"/>
        <v>0.99927075847858837</v>
      </c>
      <c r="X85" s="260">
        <f t="shared" si="18"/>
        <v>0.99925758136107412</v>
      </c>
      <c r="Y85" s="260">
        <f t="shared" si="18"/>
        <v>0.99924274358155252</v>
      </c>
      <c r="Z85" s="260">
        <f t="shared" si="18"/>
        <v>0.99922464203778616</v>
      </c>
      <c r="AA85" s="260">
        <f t="shared" si="18"/>
        <v>0.99921075160643724</v>
      </c>
      <c r="AB85" s="260">
        <f t="shared" si="18"/>
        <v>0.99919759563338306</v>
      </c>
      <c r="AC85" s="260">
        <f t="shared" si="18"/>
        <v>0.99918045882468598</v>
      </c>
      <c r="AD85" s="260">
        <f t="shared" si="18"/>
        <v>0.99916307184026376</v>
      </c>
      <c r="AE85" s="260">
        <f t="shared" si="18"/>
        <v>0.99914729353203091</v>
      </c>
      <c r="AF85" s="260">
        <f t="shared" si="18"/>
        <v>0.99912973656887039</v>
      </c>
      <c r="AG85" s="260">
        <f t="shared" si="18"/>
        <v>0.99911597146283182</v>
      </c>
      <c r="AH85" s="260">
        <f t="shared" si="18"/>
        <v>0.99910128859989011</v>
      </c>
      <c r="AI85" s="260">
        <f t="shared" si="18"/>
        <v>0.99908526664618058</v>
      </c>
      <c r="AJ85" s="260">
        <f t="shared" si="18"/>
        <v>0.99907298569094372</v>
      </c>
      <c r="AK85" s="322"/>
    </row>
    <row r="86" spans="1:37" s="256" customFormat="1">
      <c r="A86" s="256" t="s">
        <v>341</v>
      </c>
      <c r="B86" s="260">
        <f>SUM(B81:B85)</f>
        <v>1</v>
      </c>
      <c r="C86" s="260">
        <f t="shared" ref="C86:AJ86" si="19">SUM(C81:C85)</f>
        <v>1</v>
      </c>
      <c r="D86" s="260">
        <f t="shared" si="19"/>
        <v>1</v>
      </c>
      <c r="E86" s="260">
        <f t="shared" si="19"/>
        <v>0.99999999999999989</v>
      </c>
      <c r="F86" s="260">
        <f t="shared" si="19"/>
        <v>1</v>
      </c>
      <c r="G86" s="260">
        <f t="shared" si="19"/>
        <v>1</v>
      </c>
      <c r="H86" s="260">
        <f t="shared" si="19"/>
        <v>1</v>
      </c>
      <c r="I86" s="260">
        <f t="shared" si="19"/>
        <v>1</v>
      </c>
      <c r="J86" s="260">
        <f t="shared" si="19"/>
        <v>1</v>
      </c>
      <c r="K86" s="260">
        <f t="shared" si="19"/>
        <v>1</v>
      </c>
      <c r="L86" s="260">
        <f t="shared" si="19"/>
        <v>0.99999999999999989</v>
      </c>
      <c r="M86" s="260">
        <f t="shared" si="19"/>
        <v>1</v>
      </c>
      <c r="N86" s="260">
        <f t="shared" si="19"/>
        <v>1</v>
      </c>
      <c r="O86" s="260">
        <f t="shared" si="19"/>
        <v>1</v>
      </c>
      <c r="P86" s="260">
        <f t="shared" si="19"/>
        <v>1</v>
      </c>
      <c r="Q86" s="260">
        <f t="shared" si="19"/>
        <v>0.99999999999999989</v>
      </c>
      <c r="R86" s="260">
        <f t="shared" si="19"/>
        <v>1</v>
      </c>
      <c r="S86" s="260">
        <f t="shared" si="19"/>
        <v>1</v>
      </c>
      <c r="T86" s="260">
        <f t="shared" si="19"/>
        <v>1</v>
      </c>
      <c r="U86" s="260">
        <f t="shared" si="19"/>
        <v>1</v>
      </c>
      <c r="V86" s="260">
        <f t="shared" si="19"/>
        <v>1</v>
      </c>
      <c r="W86" s="260">
        <f t="shared" si="19"/>
        <v>1</v>
      </c>
      <c r="X86" s="260">
        <f t="shared" si="19"/>
        <v>1</v>
      </c>
      <c r="Y86" s="260">
        <f t="shared" si="19"/>
        <v>1</v>
      </c>
      <c r="Z86" s="260">
        <f t="shared" si="19"/>
        <v>1</v>
      </c>
      <c r="AA86" s="260">
        <f t="shared" si="19"/>
        <v>1</v>
      </c>
      <c r="AB86" s="260">
        <f t="shared" si="19"/>
        <v>1</v>
      </c>
      <c r="AC86" s="260">
        <f t="shared" si="19"/>
        <v>1</v>
      </c>
      <c r="AD86" s="260">
        <f t="shared" si="19"/>
        <v>1</v>
      </c>
      <c r="AE86" s="260">
        <f t="shared" si="19"/>
        <v>1</v>
      </c>
      <c r="AF86" s="260">
        <f t="shared" si="19"/>
        <v>1</v>
      </c>
      <c r="AG86" s="260">
        <f t="shared" si="19"/>
        <v>1</v>
      </c>
      <c r="AH86" s="260">
        <f t="shared" si="19"/>
        <v>1</v>
      </c>
      <c r="AI86" s="260">
        <f t="shared" si="19"/>
        <v>1</v>
      </c>
      <c r="AJ86" s="260">
        <f t="shared" si="19"/>
        <v>1</v>
      </c>
      <c r="AK86" s="322"/>
    </row>
    <row r="87" spans="1:37">
      <c r="A87" s="560" t="s">
        <v>632</v>
      </c>
      <c r="B87" s="560"/>
      <c r="C87" s="560"/>
      <c r="D87" s="560"/>
      <c r="E87" s="560"/>
      <c r="F87" s="560"/>
      <c r="G87" s="560"/>
      <c r="H87" s="560"/>
      <c r="I87" s="560"/>
      <c r="J87" s="560"/>
      <c r="K87" s="560"/>
      <c r="L87" s="560"/>
      <c r="M87" s="560"/>
      <c r="N87" s="560"/>
      <c r="O87" s="560"/>
      <c r="P87" s="560"/>
      <c r="Q87" s="560"/>
      <c r="R87" s="560"/>
      <c r="S87" s="560"/>
      <c r="T87" s="560"/>
      <c r="U87" s="560"/>
      <c r="V87" s="560"/>
      <c r="W87" s="560"/>
      <c r="X87" s="560"/>
      <c r="Y87" s="560"/>
      <c r="Z87" s="560"/>
      <c r="AA87" s="560"/>
      <c r="AB87" s="560"/>
      <c r="AC87" s="560"/>
      <c r="AD87" s="560"/>
      <c r="AE87" s="560"/>
      <c r="AF87" s="560"/>
    </row>
    <row r="88" spans="1:37">
      <c r="A88" s="559" t="s">
        <v>665</v>
      </c>
      <c r="B88" s="559"/>
      <c r="C88" s="559"/>
      <c r="D88" s="559"/>
      <c r="E88" s="559"/>
      <c r="F88" s="559"/>
      <c r="G88" s="559"/>
      <c r="H88" s="559"/>
      <c r="I88" s="559"/>
      <c r="J88" s="559"/>
      <c r="K88" s="559"/>
      <c r="L88" s="559"/>
      <c r="M88" s="559"/>
      <c r="N88" s="559"/>
      <c r="O88" s="559"/>
      <c r="P88" s="559"/>
      <c r="Q88" s="559"/>
      <c r="R88" s="559"/>
      <c r="S88" s="559"/>
      <c r="T88" s="559"/>
      <c r="U88" s="559"/>
      <c r="V88" s="559"/>
      <c r="W88" s="559"/>
      <c r="X88" s="559"/>
      <c r="Y88" s="559"/>
      <c r="Z88" s="559"/>
      <c r="AA88" s="559"/>
      <c r="AB88" s="559"/>
      <c r="AC88" s="559"/>
      <c r="AD88" s="559"/>
      <c r="AE88" s="559"/>
      <c r="AF88" s="559"/>
    </row>
    <row r="89" spans="1:37">
      <c r="A89" s="559" t="s">
        <v>666</v>
      </c>
      <c r="B89" s="559"/>
      <c r="C89" s="559"/>
      <c r="D89" s="559"/>
      <c r="E89" s="559"/>
      <c r="F89" s="559"/>
      <c r="G89" s="559"/>
      <c r="H89" s="559"/>
      <c r="I89" s="559"/>
      <c r="J89" s="559"/>
      <c r="K89" s="559"/>
      <c r="L89" s="559"/>
      <c r="M89" s="559"/>
      <c r="N89" s="559"/>
      <c r="O89" s="559"/>
      <c r="P89" s="559"/>
      <c r="Q89" s="559"/>
      <c r="R89" s="559"/>
      <c r="S89" s="559"/>
      <c r="T89" s="559"/>
      <c r="U89" s="559"/>
      <c r="V89" s="559"/>
      <c r="W89" s="559"/>
      <c r="X89" s="559"/>
      <c r="Y89" s="559"/>
      <c r="Z89" s="559"/>
      <c r="AA89" s="559"/>
      <c r="AB89" s="559"/>
      <c r="AC89" s="559"/>
      <c r="AD89" s="559"/>
      <c r="AE89" s="559"/>
      <c r="AF89" s="559"/>
    </row>
    <row r="90" spans="1:37">
      <c r="A90" s="559" t="s">
        <v>667</v>
      </c>
      <c r="B90" s="559"/>
      <c r="C90" s="559"/>
      <c r="D90" s="559"/>
      <c r="E90" s="559"/>
      <c r="F90" s="559"/>
      <c r="G90" s="559"/>
      <c r="H90" s="559"/>
      <c r="I90" s="559"/>
      <c r="J90" s="559"/>
      <c r="K90" s="559"/>
      <c r="L90" s="559"/>
      <c r="M90" s="559"/>
      <c r="N90" s="559"/>
      <c r="O90" s="559"/>
      <c r="P90" s="559"/>
      <c r="Q90" s="559"/>
      <c r="R90" s="559"/>
      <c r="S90" s="559"/>
      <c r="T90" s="559"/>
      <c r="U90" s="559"/>
      <c r="V90" s="559"/>
      <c r="W90" s="559"/>
      <c r="X90" s="559"/>
      <c r="Y90" s="559"/>
      <c r="Z90" s="559"/>
      <c r="AA90" s="559"/>
      <c r="AB90" s="559"/>
      <c r="AC90" s="559"/>
      <c r="AD90" s="559"/>
      <c r="AE90" s="559"/>
      <c r="AF90" s="559"/>
    </row>
    <row r="91" spans="1:37">
      <c r="A91" s="559" t="s">
        <v>668</v>
      </c>
      <c r="B91" s="559"/>
      <c r="C91" s="559"/>
      <c r="D91" s="559"/>
      <c r="E91" s="559"/>
      <c r="F91" s="559"/>
      <c r="G91" s="559"/>
      <c r="H91" s="559"/>
      <c r="I91" s="559"/>
      <c r="J91" s="559"/>
      <c r="K91" s="559"/>
      <c r="L91" s="559"/>
      <c r="M91" s="559"/>
      <c r="N91" s="559"/>
      <c r="O91" s="559"/>
      <c r="P91" s="559"/>
      <c r="Q91" s="559"/>
      <c r="R91" s="559"/>
      <c r="S91" s="559"/>
      <c r="T91" s="559"/>
      <c r="U91" s="559"/>
      <c r="V91" s="559"/>
      <c r="W91" s="559"/>
      <c r="X91" s="559"/>
      <c r="Y91" s="559"/>
      <c r="Z91" s="559"/>
      <c r="AA91" s="559"/>
      <c r="AB91" s="559"/>
      <c r="AC91" s="559"/>
      <c r="AD91" s="559"/>
      <c r="AE91" s="559"/>
      <c r="AF91" s="559"/>
    </row>
    <row r="92" spans="1:37">
      <c r="A92" s="559" t="s">
        <v>669</v>
      </c>
      <c r="B92" s="559"/>
      <c r="C92" s="559"/>
      <c r="D92" s="559"/>
      <c r="E92" s="559"/>
      <c r="F92" s="559"/>
      <c r="G92" s="559"/>
      <c r="H92" s="559"/>
      <c r="I92" s="559"/>
      <c r="J92" s="559"/>
      <c r="K92" s="559"/>
      <c r="L92" s="559"/>
      <c r="M92" s="559"/>
      <c r="N92" s="559"/>
      <c r="O92" s="559"/>
      <c r="P92" s="559"/>
      <c r="Q92" s="559"/>
      <c r="R92" s="559"/>
      <c r="S92" s="559"/>
      <c r="T92" s="559"/>
      <c r="U92" s="559"/>
      <c r="V92" s="559"/>
      <c r="W92" s="559"/>
      <c r="X92" s="559"/>
      <c r="Y92" s="559"/>
      <c r="Z92" s="559"/>
      <c r="AA92" s="559"/>
      <c r="AB92" s="559"/>
      <c r="AC92" s="559"/>
      <c r="AD92" s="559"/>
      <c r="AE92" s="559"/>
      <c r="AF92" s="559"/>
    </row>
    <row r="93" spans="1:37">
      <c r="A93" s="559" t="s">
        <v>670</v>
      </c>
      <c r="B93" s="559"/>
      <c r="C93" s="559"/>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c r="AC93" s="559"/>
      <c r="AD93" s="559"/>
      <c r="AE93" s="559"/>
      <c r="AF93" s="559"/>
    </row>
    <row r="94" spans="1:37">
      <c r="A94" s="559" t="s">
        <v>671</v>
      </c>
      <c r="B94" s="559"/>
      <c r="C94" s="559"/>
      <c r="D94" s="559"/>
      <c r="E94" s="559"/>
      <c r="F94" s="559"/>
      <c r="G94" s="559"/>
      <c r="H94" s="559"/>
      <c r="I94" s="559"/>
      <c r="J94" s="559"/>
      <c r="K94" s="559"/>
      <c r="L94" s="559"/>
      <c r="M94" s="559"/>
      <c r="N94" s="559"/>
      <c r="O94" s="559"/>
      <c r="P94" s="559"/>
      <c r="Q94" s="559"/>
      <c r="R94" s="559"/>
      <c r="S94" s="559"/>
      <c r="T94" s="559"/>
      <c r="U94" s="559"/>
      <c r="V94" s="559"/>
      <c r="W94" s="559"/>
      <c r="X94" s="559"/>
      <c r="Y94" s="559"/>
      <c r="Z94" s="559"/>
      <c r="AA94" s="559"/>
      <c r="AB94" s="559"/>
      <c r="AC94" s="559"/>
      <c r="AD94" s="559"/>
      <c r="AE94" s="559"/>
      <c r="AF94" s="559"/>
    </row>
    <row r="95" spans="1:37">
      <c r="A95" s="559" t="s">
        <v>672</v>
      </c>
      <c r="B95" s="559"/>
      <c r="C95" s="559"/>
      <c r="D95" s="559"/>
      <c r="E95" s="559"/>
      <c r="F95" s="559"/>
      <c r="G95" s="559"/>
      <c r="H95" s="559"/>
      <c r="I95" s="559"/>
      <c r="J95" s="559"/>
      <c r="K95" s="559"/>
      <c r="L95" s="559"/>
      <c r="M95" s="559"/>
      <c r="N95" s="559"/>
      <c r="O95" s="559"/>
      <c r="P95" s="559"/>
      <c r="Q95" s="559"/>
      <c r="R95" s="559"/>
      <c r="S95" s="559"/>
      <c r="T95" s="559"/>
      <c r="U95" s="559"/>
      <c r="V95" s="559"/>
      <c r="W95" s="559"/>
      <c r="X95" s="559"/>
      <c r="Y95" s="559"/>
      <c r="Z95" s="559"/>
      <c r="AA95" s="559"/>
      <c r="AB95" s="559"/>
      <c r="AC95" s="559"/>
      <c r="AD95" s="559"/>
      <c r="AE95" s="559"/>
      <c r="AF95" s="559"/>
    </row>
    <row r="96" spans="1:37">
      <c r="A96" s="559" t="s">
        <v>673</v>
      </c>
      <c r="B96" s="559"/>
      <c r="C96" s="559"/>
      <c r="D96" s="559"/>
      <c r="E96" s="559"/>
      <c r="F96" s="559"/>
      <c r="G96" s="559"/>
      <c r="H96" s="559"/>
      <c r="I96" s="559"/>
      <c r="J96" s="559"/>
      <c r="K96" s="559"/>
      <c r="L96" s="559"/>
      <c r="M96" s="559"/>
      <c r="N96" s="559"/>
      <c r="O96" s="559"/>
      <c r="P96" s="559"/>
      <c r="Q96" s="559"/>
      <c r="R96" s="559"/>
      <c r="S96" s="559"/>
      <c r="T96" s="559"/>
      <c r="U96" s="559"/>
      <c r="V96" s="559"/>
      <c r="W96" s="559"/>
      <c r="X96" s="559"/>
      <c r="Y96" s="559"/>
      <c r="Z96" s="559"/>
      <c r="AA96" s="559"/>
      <c r="AB96" s="559"/>
      <c r="AC96" s="559"/>
      <c r="AD96" s="559"/>
      <c r="AE96" s="559"/>
      <c r="AF96" s="559"/>
    </row>
    <row r="97" spans="1:32">
      <c r="A97" s="559" t="s">
        <v>674</v>
      </c>
      <c r="B97" s="559"/>
      <c r="C97" s="559"/>
      <c r="D97" s="559"/>
      <c r="E97" s="559"/>
      <c r="F97" s="559"/>
      <c r="G97" s="559"/>
      <c r="H97" s="559"/>
      <c r="I97" s="559"/>
      <c r="J97" s="559"/>
      <c r="K97" s="559"/>
      <c r="L97" s="559"/>
      <c r="M97" s="559"/>
      <c r="N97" s="559"/>
      <c r="O97" s="559"/>
      <c r="P97" s="559"/>
      <c r="Q97" s="559"/>
      <c r="R97" s="559"/>
      <c r="S97" s="559"/>
      <c r="T97" s="559"/>
      <c r="U97" s="559"/>
      <c r="V97" s="559"/>
      <c r="W97" s="559"/>
      <c r="X97" s="559"/>
      <c r="Y97" s="559"/>
      <c r="Z97" s="559"/>
      <c r="AA97" s="559"/>
      <c r="AB97" s="559"/>
      <c r="AC97" s="559"/>
      <c r="AD97" s="559"/>
      <c r="AE97" s="559"/>
      <c r="AF97" s="559"/>
    </row>
    <row r="98" spans="1:32">
      <c r="A98" s="559" t="s">
        <v>675</v>
      </c>
      <c r="B98" s="559"/>
      <c r="C98" s="559"/>
      <c r="D98" s="559"/>
      <c r="E98" s="559"/>
      <c r="F98" s="559"/>
      <c r="G98" s="559"/>
      <c r="H98" s="559"/>
      <c r="I98" s="559"/>
      <c r="J98" s="559"/>
      <c r="K98" s="559"/>
      <c r="L98" s="559"/>
      <c r="M98" s="559"/>
      <c r="N98" s="559"/>
      <c r="O98" s="559"/>
      <c r="P98" s="559"/>
      <c r="Q98" s="559"/>
      <c r="R98" s="559"/>
      <c r="S98" s="559"/>
      <c r="T98" s="559"/>
      <c r="U98" s="559"/>
      <c r="V98" s="559"/>
      <c r="W98" s="559"/>
      <c r="X98" s="559"/>
      <c r="Y98" s="559"/>
      <c r="Z98" s="559"/>
      <c r="AA98" s="559"/>
      <c r="AB98" s="559"/>
      <c r="AC98" s="559"/>
      <c r="AD98" s="559"/>
      <c r="AE98" s="559"/>
      <c r="AF98" s="559"/>
    </row>
    <row r="99" spans="1:32">
      <c r="A99" s="559" t="s">
        <v>676</v>
      </c>
      <c r="B99" s="559"/>
      <c r="C99" s="559"/>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c r="AC99" s="559"/>
      <c r="AD99" s="559"/>
      <c r="AE99" s="559"/>
      <c r="AF99" s="559"/>
    </row>
    <row r="100" spans="1:32">
      <c r="A100" s="559" t="s">
        <v>677</v>
      </c>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row>
    <row r="101" spans="1:32">
      <c r="A101" s="559" t="s">
        <v>678</v>
      </c>
      <c r="B101" s="559"/>
      <c r="C101" s="559"/>
      <c r="D101" s="559"/>
      <c r="E101" s="559"/>
      <c r="F101" s="559"/>
      <c r="G101" s="559"/>
      <c r="H101" s="559"/>
      <c r="I101" s="559"/>
      <c r="J101" s="559"/>
      <c r="K101" s="559"/>
      <c r="L101" s="559"/>
      <c r="M101" s="559"/>
      <c r="N101" s="559"/>
      <c r="O101" s="559"/>
      <c r="P101" s="559"/>
      <c r="Q101" s="559"/>
      <c r="R101" s="559"/>
      <c r="S101" s="559"/>
      <c r="T101" s="559"/>
      <c r="U101" s="559"/>
      <c r="V101" s="559"/>
      <c r="W101" s="559"/>
      <c r="X101" s="559"/>
      <c r="Y101" s="559"/>
      <c r="Z101" s="559"/>
      <c r="AA101" s="559"/>
      <c r="AB101" s="559"/>
      <c r="AC101" s="559"/>
      <c r="AD101" s="559"/>
      <c r="AE101" s="559"/>
      <c r="AF101" s="559"/>
    </row>
    <row r="102" spans="1:32">
      <c r="A102" s="559" t="s">
        <v>679</v>
      </c>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59"/>
      <c r="X102" s="559"/>
      <c r="Y102" s="559"/>
      <c r="Z102" s="559"/>
      <c r="AA102" s="559"/>
      <c r="AB102" s="559"/>
      <c r="AC102" s="559"/>
      <c r="AD102" s="559"/>
      <c r="AE102" s="559"/>
      <c r="AF102" s="559"/>
    </row>
    <row r="103" spans="1:32">
      <c r="A103" s="559" t="s">
        <v>680</v>
      </c>
      <c r="B103" s="559"/>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row>
    <row r="104" spans="1:32">
      <c r="A104" s="559" t="s">
        <v>681</v>
      </c>
      <c r="B104" s="559"/>
      <c r="C104" s="559"/>
      <c r="D104" s="559"/>
      <c r="E104" s="559"/>
      <c r="F104" s="559"/>
      <c r="G104" s="559"/>
      <c r="H104" s="559"/>
      <c r="I104" s="559"/>
      <c r="J104" s="559"/>
      <c r="K104" s="559"/>
      <c r="L104" s="559"/>
      <c r="M104" s="559"/>
      <c r="N104" s="559"/>
      <c r="O104" s="559"/>
      <c r="P104" s="559"/>
      <c r="Q104" s="559"/>
      <c r="R104" s="559"/>
      <c r="S104" s="559"/>
      <c r="T104" s="559"/>
      <c r="U104" s="559"/>
      <c r="V104" s="559"/>
      <c r="W104" s="559"/>
      <c r="X104" s="559"/>
      <c r="Y104" s="559"/>
      <c r="Z104" s="559"/>
      <c r="AA104" s="559"/>
      <c r="AB104" s="559"/>
      <c r="AC104" s="559"/>
      <c r="AD104" s="559"/>
      <c r="AE104" s="559"/>
      <c r="AF104" s="559"/>
    </row>
    <row r="105" spans="1:32">
      <c r="A105" s="559" t="s">
        <v>682</v>
      </c>
      <c r="B105" s="559"/>
      <c r="C105" s="559"/>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c r="AC105" s="559"/>
      <c r="AD105" s="559"/>
      <c r="AE105" s="559"/>
      <c r="AF105" s="559"/>
    </row>
    <row r="106" spans="1:32">
      <c r="A106" s="559" t="s">
        <v>683</v>
      </c>
      <c r="B106" s="559"/>
      <c r="C106" s="559"/>
      <c r="D106" s="559"/>
      <c r="E106" s="559"/>
      <c r="F106" s="559"/>
      <c r="G106" s="559"/>
      <c r="H106" s="559"/>
      <c r="I106" s="559"/>
      <c r="J106" s="559"/>
      <c r="K106" s="559"/>
      <c r="L106" s="559"/>
      <c r="M106" s="559"/>
      <c r="N106" s="559"/>
      <c r="O106" s="559"/>
      <c r="P106" s="559"/>
      <c r="Q106" s="559"/>
      <c r="R106" s="559"/>
      <c r="S106" s="559"/>
      <c r="T106" s="559"/>
      <c r="U106" s="559"/>
      <c r="V106" s="559"/>
      <c r="W106" s="559"/>
      <c r="X106" s="559"/>
      <c r="Y106" s="559"/>
      <c r="Z106" s="559"/>
      <c r="AA106" s="559"/>
      <c r="AB106" s="559"/>
      <c r="AC106" s="559"/>
      <c r="AD106" s="559"/>
      <c r="AE106" s="559"/>
      <c r="AF106" s="559"/>
    </row>
    <row r="107" spans="1:32">
      <c r="A107" s="559" t="s">
        <v>684</v>
      </c>
      <c r="B107" s="559"/>
      <c r="C107" s="559"/>
      <c r="D107" s="559"/>
      <c r="E107" s="559"/>
      <c r="F107" s="559"/>
      <c r="G107" s="559"/>
      <c r="H107" s="559"/>
      <c r="I107" s="559"/>
      <c r="J107" s="559"/>
      <c r="K107" s="559"/>
      <c r="L107" s="559"/>
      <c r="M107" s="559"/>
      <c r="N107" s="559"/>
      <c r="O107" s="559"/>
      <c r="P107" s="559"/>
      <c r="Q107" s="559"/>
      <c r="R107" s="559"/>
      <c r="S107" s="559"/>
      <c r="T107" s="559"/>
      <c r="U107" s="559"/>
      <c r="V107" s="559"/>
      <c r="W107" s="559"/>
      <c r="X107" s="559"/>
      <c r="Y107" s="559"/>
      <c r="Z107" s="559"/>
      <c r="AA107" s="559"/>
      <c r="AB107" s="559"/>
      <c r="AC107" s="559"/>
      <c r="AD107" s="559"/>
      <c r="AE107" s="559"/>
      <c r="AF107" s="559"/>
    </row>
    <row r="108" spans="1:32">
      <c r="A108" s="559" t="s">
        <v>636</v>
      </c>
      <c r="B108" s="559"/>
      <c r="C108" s="559"/>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59"/>
      <c r="AD108" s="559"/>
      <c r="AE108" s="559"/>
      <c r="AF108" s="559"/>
    </row>
    <row r="109" spans="1:32">
      <c r="A109" s="559" t="s">
        <v>685</v>
      </c>
      <c r="B109" s="559"/>
      <c r="C109" s="559"/>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559"/>
      <c r="AD109" s="559"/>
      <c r="AE109" s="559"/>
      <c r="AF109" s="559"/>
    </row>
    <row r="110" spans="1:32">
      <c r="A110" s="559" t="s">
        <v>686</v>
      </c>
      <c r="B110" s="559"/>
      <c r="C110" s="559"/>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59"/>
      <c r="AD110" s="559"/>
      <c r="AE110" s="559"/>
      <c r="AF110" s="559"/>
    </row>
    <row r="111" spans="1:32">
      <c r="A111" s="559" t="s">
        <v>643</v>
      </c>
      <c r="B111" s="559"/>
      <c r="C111" s="559"/>
      <c r="D111" s="559"/>
      <c r="E111" s="559"/>
      <c r="F111" s="559"/>
      <c r="G111" s="559"/>
      <c r="H111" s="559"/>
      <c r="I111" s="559"/>
      <c r="J111" s="559"/>
      <c r="K111" s="559"/>
      <c r="L111" s="559"/>
      <c r="M111" s="559"/>
      <c r="N111" s="559"/>
      <c r="O111" s="559"/>
      <c r="P111" s="559"/>
      <c r="Q111" s="559"/>
      <c r="R111" s="559"/>
      <c r="S111" s="559"/>
      <c r="T111" s="559"/>
      <c r="U111" s="559"/>
      <c r="V111" s="559"/>
      <c r="W111" s="559"/>
      <c r="X111" s="559"/>
      <c r="Y111" s="559"/>
      <c r="Z111" s="559"/>
      <c r="AA111" s="559"/>
      <c r="AB111" s="559"/>
      <c r="AC111" s="559"/>
      <c r="AD111" s="559"/>
      <c r="AE111" s="559"/>
      <c r="AF111" s="559"/>
    </row>
    <row r="112" spans="1:32">
      <c r="A112" s="559" t="s">
        <v>644</v>
      </c>
      <c r="B112" s="559"/>
      <c r="C112" s="559"/>
      <c r="D112" s="559"/>
      <c r="E112" s="559"/>
      <c r="F112" s="559"/>
      <c r="G112" s="559"/>
      <c r="H112" s="559"/>
      <c r="I112" s="559"/>
      <c r="J112" s="559"/>
      <c r="K112" s="559"/>
      <c r="L112" s="559"/>
      <c r="M112" s="559"/>
      <c r="N112" s="559"/>
      <c r="O112" s="559"/>
      <c r="P112" s="559"/>
      <c r="Q112" s="559"/>
      <c r="R112" s="559"/>
      <c r="S112" s="559"/>
      <c r="T112" s="559"/>
      <c r="U112" s="559"/>
      <c r="V112" s="559"/>
      <c r="W112" s="559"/>
      <c r="X112" s="559"/>
      <c r="Y112" s="559"/>
      <c r="Z112" s="559"/>
      <c r="AA112" s="559"/>
      <c r="AB112" s="559"/>
      <c r="AC112" s="559"/>
      <c r="AD112" s="559"/>
      <c r="AE112" s="559"/>
      <c r="AF112" s="559"/>
    </row>
    <row r="113" spans="1:32">
      <c r="A113" s="559" t="s">
        <v>645</v>
      </c>
      <c r="B113" s="559"/>
      <c r="C113" s="559"/>
      <c r="D113" s="559"/>
      <c r="E113" s="559"/>
      <c r="F113" s="559"/>
      <c r="G113" s="559"/>
      <c r="H113" s="559"/>
      <c r="I113" s="559"/>
      <c r="J113" s="559"/>
      <c r="K113" s="559"/>
      <c r="L113" s="559"/>
      <c r="M113" s="559"/>
      <c r="N113" s="559"/>
      <c r="O113" s="559"/>
      <c r="P113" s="559"/>
      <c r="Q113" s="559"/>
      <c r="R113" s="559"/>
      <c r="S113" s="559"/>
      <c r="T113" s="559"/>
      <c r="U113" s="559"/>
      <c r="V113" s="559"/>
      <c r="W113" s="559"/>
      <c r="X113" s="559"/>
      <c r="Y113" s="559"/>
      <c r="Z113" s="559"/>
      <c r="AA113" s="559"/>
      <c r="AB113" s="559"/>
      <c r="AC113" s="559"/>
      <c r="AD113" s="559"/>
      <c r="AE113" s="559"/>
      <c r="AF113" s="559"/>
    </row>
    <row r="114" spans="1:32">
      <c r="A114" s="559" t="s">
        <v>687</v>
      </c>
      <c r="B114" s="559"/>
      <c r="C114" s="559"/>
      <c r="D114" s="559"/>
      <c r="E114" s="559"/>
      <c r="F114" s="559"/>
      <c r="G114" s="559"/>
      <c r="H114" s="559"/>
      <c r="I114" s="559"/>
      <c r="J114" s="559"/>
      <c r="K114" s="559"/>
      <c r="L114" s="559"/>
      <c r="M114" s="559"/>
      <c r="N114" s="559"/>
      <c r="O114" s="559"/>
      <c r="P114" s="559"/>
      <c r="Q114" s="559"/>
      <c r="R114" s="559"/>
      <c r="S114" s="559"/>
      <c r="T114" s="559"/>
      <c r="U114" s="559"/>
      <c r="V114" s="559"/>
      <c r="W114" s="559"/>
      <c r="X114" s="559"/>
      <c r="Y114" s="559"/>
      <c r="Z114" s="559"/>
      <c r="AA114" s="559"/>
      <c r="AB114" s="559"/>
      <c r="AC114" s="559"/>
      <c r="AD114" s="559"/>
      <c r="AE114" s="559"/>
      <c r="AF114" s="559"/>
    </row>
    <row r="115" spans="1:32">
      <c r="A115" s="559" t="s">
        <v>688</v>
      </c>
      <c r="B115" s="559"/>
      <c r="C115" s="559"/>
      <c r="D115" s="559"/>
      <c r="E115" s="559"/>
      <c r="F115" s="559"/>
      <c r="G115" s="559"/>
      <c r="H115" s="559"/>
      <c r="I115" s="559"/>
      <c r="J115" s="559"/>
      <c r="K115" s="559"/>
      <c r="L115" s="559"/>
      <c r="M115" s="559"/>
      <c r="N115" s="559"/>
      <c r="O115" s="559"/>
      <c r="P115" s="559"/>
      <c r="Q115" s="559"/>
      <c r="R115" s="559"/>
      <c r="S115" s="559"/>
      <c r="T115" s="559"/>
      <c r="U115" s="559"/>
      <c r="V115" s="559"/>
      <c r="W115" s="559"/>
      <c r="X115" s="559"/>
      <c r="Y115" s="559"/>
      <c r="Z115" s="559"/>
      <c r="AA115" s="559"/>
      <c r="AB115" s="559"/>
      <c r="AC115" s="559"/>
      <c r="AD115" s="559"/>
      <c r="AE115" s="559"/>
      <c r="AF115" s="559"/>
    </row>
    <row r="116" spans="1:32">
      <c r="A116" s="559" t="s">
        <v>620</v>
      </c>
      <c r="B116" s="559"/>
      <c r="C116" s="559"/>
      <c r="D116" s="559"/>
      <c r="E116" s="559"/>
      <c r="F116" s="559"/>
      <c r="G116" s="559"/>
      <c r="H116" s="559"/>
      <c r="I116" s="559"/>
      <c r="J116" s="559"/>
      <c r="K116" s="559"/>
      <c r="L116" s="559"/>
      <c r="M116" s="559"/>
      <c r="N116" s="559"/>
      <c r="O116" s="559"/>
      <c r="P116" s="559"/>
      <c r="Q116" s="559"/>
      <c r="R116" s="559"/>
      <c r="S116" s="559"/>
      <c r="T116" s="559"/>
      <c r="U116" s="559"/>
      <c r="V116" s="559"/>
      <c r="W116" s="559"/>
      <c r="X116" s="559"/>
      <c r="Y116" s="559"/>
      <c r="Z116" s="559"/>
      <c r="AA116" s="559"/>
      <c r="AB116" s="559"/>
      <c r="AC116" s="559"/>
      <c r="AD116" s="559"/>
      <c r="AE116" s="559"/>
      <c r="AF116" s="559"/>
    </row>
    <row r="117" spans="1:32">
      <c r="A117" s="559" t="s">
        <v>621</v>
      </c>
      <c r="B117" s="559"/>
      <c r="C117" s="559"/>
      <c r="D117" s="559"/>
      <c r="E117" s="559"/>
      <c r="F117" s="559"/>
      <c r="G117" s="559"/>
      <c r="H117" s="559"/>
      <c r="I117" s="559"/>
      <c r="J117" s="559"/>
      <c r="K117" s="559"/>
      <c r="L117" s="559"/>
      <c r="M117" s="559"/>
      <c r="N117" s="559"/>
      <c r="O117" s="559"/>
      <c r="P117" s="559"/>
      <c r="Q117" s="559"/>
      <c r="R117" s="559"/>
      <c r="S117" s="559"/>
      <c r="T117" s="559"/>
      <c r="U117" s="559"/>
      <c r="V117" s="559"/>
      <c r="W117" s="559"/>
      <c r="X117" s="559"/>
      <c r="Y117" s="559"/>
      <c r="Z117" s="559"/>
      <c r="AA117" s="559"/>
      <c r="AB117" s="559"/>
      <c r="AC117" s="559"/>
      <c r="AD117" s="559"/>
      <c r="AE117" s="559"/>
      <c r="AF117" s="559"/>
    </row>
    <row r="118" spans="1:32">
      <c r="A118" s="559" t="s">
        <v>622</v>
      </c>
      <c r="B118" s="559"/>
      <c r="C118" s="559"/>
      <c r="D118" s="559"/>
      <c r="E118" s="559"/>
      <c r="F118" s="559"/>
      <c r="G118" s="559"/>
      <c r="H118" s="559"/>
      <c r="I118" s="559"/>
      <c r="J118" s="559"/>
      <c r="K118" s="559"/>
      <c r="L118" s="559"/>
      <c r="M118" s="559"/>
      <c r="N118" s="559"/>
      <c r="O118" s="559"/>
      <c r="P118" s="559"/>
      <c r="Q118" s="559"/>
      <c r="R118" s="559"/>
      <c r="S118" s="559"/>
      <c r="T118" s="559"/>
      <c r="U118" s="559"/>
      <c r="V118" s="559"/>
      <c r="W118" s="559"/>
      <c r="X118" s="559"/>
      <c r="Y118" s="559"/>
      <c r="Z118" s="559"/>
      <c r="AA118" s="559"/>
      <c r="AB118" s="559"/>
      <c r="AC118" s="559"/>
      <c r="AD118" s="559"/>
      <c r="AE118" s="559"/>
      <c r="AF118" s="559"/>
    </row>
    <row r="119" spans="1:32">
      <c r="A119" s="559" t="s">
        <v>689</v>
      </c>
      <c r="B119" s="559"/>
      <c r="C119" s="559"/>
      <c r="D119" s="559"/>
      <c r="E119" s="559"/>
      <c r="F119" s="559"/>
      <c r="G119" s="559"/>
      <c r="H119" s="559"/>
      <c r="I119" s="559"/>
      <c r="J119" s="559"/>
      <c r="K119" s="559"/>
      <c r="L119" s="559"/>
      <c r="M119" s="559"/>
      <c r="N119" s="559"/>
      <c r="O119" s="559"/>
      <c r="P119" s="559"/>
      <c r="Q119" s="559"/>
      <c r="R119" s="559"/>
      <c r="S119" s="559"/>
      <c r="T119" s="559"/>
      <c r="U119" s="559"/>
      <c r="V119" s="559"/>
      <c r="W119" s="559"/>
      <c r="X119" s="559"/>
      <c r="Y119" s="559"/>
      <c r="Z119" s="559"/>
      <c r="AA119" s="559"/>
      <c r="AB119" s="559"/>
      <c r="AC119" s="559"/>
      <c r="AD119" s="559"/>
      <c r="AE119" s="559"/>
      <c r="AF119" s="559"/>
    </row>
    <row r="120" spans="1:32">
      <c r="A120" s="559" t="s">
        <v>690</v>
      </c>
      <c r="B120" s="559"/>
      <c r="C120" s="559"/>
      <c r="D120" s="559"/>
      <c r="E120" s="559"/>
      <c r="F120" s="559"/>
      <c r="G120" s="559"/>
      <c r="H120" s="559"/>
      <c r="I120" s="559"/>
      <c r="J120" s="559"/>
      <c r="K120" s="559"/>
      <c r="L120" s="559"/>
      <c r="M120" s="559"/>
      <c r="N120" s="559"/>
      <c r="O120" s="559"/>
      <c r="P120" s="559"/>
      <c r="Q120" s="559"/>
      <c r="R120" s="559"/>
      <c r="S120" s="559"/>
      <c r="T120" s="559"/>
      <c r="U120" s="559"/>
      <c r="V120" s="559"/>
      <c r="W120" s="559"/>
      <c r="X120" s="559"/>
      <c r="Y120" s="559"/>
      <c r="Z120" s="559"/>
      <c r="AA120" s="559"/>
      <c r="AB120" s="559"/>
      <c r="AC120" s="559"/>
      <c r="AD120" s="559"/>
      <c r="AE120" s="559"/>
      <c r="AF120" s="559"/>
    </row>
    <row r="121" spans="1:32">
      <c r="A121" s="559" t="s">
        <v>624</v>
      </c>
      <c r="B121" s="559"/>
      <c r="C121" s="559"/>
      <c r="D121" s="559"/>
      <c r="E121" s="559"/>
      <c r="F121" s="559"/>
      <c r="G121" s="559"/>
      <c r="H121" s="559"/>
      <c r="I121" s="559"/>
      <c r="J121" s="559"/>
      <c r="K121" s="559"/>
      <c r="L121" s="559"/>
      <c r="M121" s="559"/>
      <c r="N121" s="559"/>
      <c r="O121" s="559"/>
      <c r="P121" s="559"/>
      <c r="Q121" s="559"/>
      <c r="R121" s="559"/>
      <c r="S121" s="559"/>
      <c r="T121" s="559"/>
      <c r="U121" s="559"/>
      <c r="V121" s="559"/>
      <c r="W121" s="559"/>
      <c r="X121" s="559"/>
      <c r="Y121" s="559"/>
      <c r="Z121" s="559"/>
      <c r="AA121" s="559"/>
      <c r="AB121" s="559"/>
      <c r="AC121" s="559"/>
      <c r="AD121" s="559"/>
      <c r="AE121" s="559"/>
      <c r="AF121" s="559"/>
    </row>
    <row r="122" spans="1:32">
      <c r="A122" s="559" t="s">
        <v>627</v>
      </c>
      <c r="B122" s="559"/>
      <c r="C122" s="559"/>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59"/>
      <c r="AB122" s="559"/>
      <c r="AC122" s="559"/>
      <c r="AD122" s="559"/>
      <c r="AE122" s="559"/>
      <c r="AF122" s="559"/>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2015-02-19T00:52:37Z</dcterms:modified>
</cp:coreProperties>
</file>