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AJ73" i="8"/>
  <c r="AJ79" i="8"/>
  <c r="AJ54" i="11"/>
  <c r="AJ52" i="11"/>
  <c r="AJ51" i="11"/>
  <c r="AJ58" i="11"/>
  <c r="AJ54" i="8"/>
  <c r="AH13" i="9"/>
  <c r="F49" i="11"/>
  <c r="F50" i="11"/>
  <c r="F51" i="11"/>
  <c r="F52" i="11"/>
  <c r="F54" i="11"/>
  <c r="F55" i="11"/>
  <c r="F58" i="11"/>
  <c r="F54" i="8"/>
  <c r="G73" i="8"/>
  <c r="G79" i="8"/>
  <c r="G54" i="11"/>
  <c r="G52" i="11"/>
  <c r="G51" i="11"/>
  <c r="G58" i="11"/>
  <c r="G54" i="8"/>
  <c r="H73" i="8"/>
  <c r="H79" i="8"/>
  <c r="H54" i="11"/>
  <c r="H52" i="11"/>
  <c r="H51" i="11"/>
  <c r="H58" i="11"/>
  <c r="H54" i="8"/>
  <c r="I73" i="8"/>
  <c r="I79" i="8"/>
  <c r="I54" i="11"/>
  <c r="I52" i="11"/>
  <c r="I51" i="11"/>
  <c r="I58" i="11"/>
  <c r="I54" i="8"/>
  <c r="J73" i="8"/>
  <c r="J79" i="8"/>
  <c r="J54" i="11"/>
  <c r="J52" i="11"/>
  <c r="J51" i="11"/>
  <c r="J58" i="11"/>
  <c r="J54" i="8"/>
  <c r="K73" i="8"/>
  <c r="K79" i="8"/>
  <c r="K54" i="11"/>
  <c r="K52" i="11"/>
  <c r="K51" i="11"/>
  <c r="K58" i="11"/>
  <c r="K54" i="8"/>
  <c r="L73" i="8"/>
  <c r="L79" i="8"/>
  <c r="L54" i="11"/>
  <c r="L52" i="11"/>
  <c r="L51" i="11"/>
  <c r="L58" i="11"/>
  <c r="L54" i="8"/>
  <c r="M73" i="8"/>
  <c r="M79" i="8"/>
  <c r="M54" i="11"/>
  <c r="M52" i="11"/>
  <c r="M51" i="11"/>
  <c r="M58" i="11"/>
  <c r="M54" i="8"/>
  <c r="N73" i="8"/>
  <c r="N79" i="8"/>
  <c r="N54" i="11"/>
  <c r="N52" i="11"/>
  <c r="N51" i="11"/>
  <c r="N58" i="11"/>
  <c r="N54" i="8"/>
  <c r="O73" i="8"/>
  <c r="O79" i="8"/>
  <c r="O54" i="11"/>
  <c r="O52" i="11"/>
  <c r="O51" i="11"/>
  <c r="O58" i="11"/>
  <c r="O54" i="8"/>
  <c r="P73" i="8"/>
  <c r="P79" i="8"/>
  <c r="P54" i="11"/>
  <c r="P52" i="11"/>
  <c r="P51" i="11"/>
  <c r="P58" i="11"/>
  <c r="P54" i="8"/>
  <c r="Q73" i="8"/>
  <c r="Q79" i="8"/>
  <c r="Q54" i="11"/>
  <c r="Q52" i="11"/>
  <c r="Q51" i="11"/>
  <c r="Q58" i="11"/>
  <c r="Q54" i="8"/>
  <c r="R73" i="8"/>
  <c r="R79" i="8"/>
  <c r="R54" i="11"/>
  <c r="R52" i="11"/>
  <c r="R51" i="11"/>
  <c r="R58" i="11"/>
  <c r="R54" i="8"/>
  <c r="S73" i="8"/>
  <c r="S79" i="8"/>
  <c r="S54" i="11"/>
  <c r="S52" i="11"/>
  <c r="S51" i="11"/>
  <c r="S58" i="11"/>
  <c r="S54" i="8"/>
  <c r="T73" i="8"/>
  <c r="T79" i="8"/>
  <c r="T54" i="11"/>
  <c r="T52" i="11"/>
  <c r="T51" i="11"/>
  <c r="T58" i="11"/>
  <c r="T54" i="8"/>
  <c r="U73" i="8"/>
  <c r="U79" i="8"/>
  <c r="U54" i="11"/>
  <c r="U52" i="11"/>
  <c r="U51" i="11"/>
  <c r="U58" i="11"/>
  <c r="U54" i="8"/>
  <c r="V73" i="8"/>
  <c r="V79" i="8"/>
  <c r="V54" i="11"/>
  <c r="V52" i="11"/>
  <c r="V51" i="11"/>
  <c r="V58" i="11"/>
  <c r="V54" i="8"/>
  <c r="W73" i="8"/>
  <c r="W79" i="8"/>
  <c r="W54" i="11"/>
  <c r="W52" i="11"/>
  <c r="W51" i="11"/>
  <c r="W58" i="11"/>
  <c r="W54" i="8"/>
  <c r="X73" i="8"/>
  <c r="X79" i="8"/>
  <c r="X54" i="11"/>
  <c r="X52" i="11"/>
  <c r="X51" i="11"/>
  <c r="X58" i="11"/>
  <c r="X54" i="8"/>
  <c r="Y73" i="8"/>
  <c r="Y79" i="8"/>
  <c r="Y54" i="11"/>
  <c r="Y52" i="11"/>
  <c r="Y51" i="11"/>
  <c r="Y58" i="11"/>
  <c r="Y54" i="8"/>
  <c r="Z73" i="8"/>
  <c r="Z79" i="8"/>
  <c r="Z54" i="11"/>
  <c r="Z52" i="11"/>
  <c r="Z51" i="11"/>
  <c r="Z58" i="11"/>
  <c r="Z54" i="8"/>
  <c r="AA73" i="8"/>
  <c r="AA79" i="8"/>
  <c r="AA54" i="11"/>
  <c r="AA52" i="11"/>
  <c r="AA51" i="11"/>
  <c r="AA58" i="11"/>
  <c r="AA54" i="8"/>
  <c r="AB73" i="8"/>
  <c r="AB79" i="8"/>
  <c r="AB54" i="11"/>
  <c r="AB52" i="11"/>
  <c r="AB51" i="11"/>
  <c r="AB58" i="11"/>
  <c r="AB54" i="8"/>
  <c r="AC73" i="8"/>
  <c r="AC79" i="8"/>
  <c r="AC54" i="11"/>
  <c r="AC52" i="11"/>
  <c r="AC51" i="11"/>
  <c r="AC58" i="11"/>
  <c r="AC54" i="8"/>
  <c r="AD73" i="8"/>
  <c r="AD79" i="8"/>
  <c r="AD54" i="11"/>
  <c r="AD52" i="11"/>
  <c r="AD51" i="11"/>
  <c r="AD58" i="11"/>
  <c r="AD54" i="8"/>
  <c r="AE73" i="8"/>
  <c r="AE79" i="8"/>
  <c r="AE54" i="11"/>
  <c r="AE52" i="11"/>
  <c r="AE51" i="11"/>
  <c r="AE58" i="11"/>
  <c r="AE54" i="8"/>
  <c r="AF73" i="8"/>
  <c r="AF79" i="8"/>
  <c r="AF54" i="11"/>
  <c r="AF52" i="11"/>
  <c r="AF51" i="11"/>
  <c r="AF58" i="11"/>
  <c r="AF54" i="8"/>
  <c r="AG73" i="8"/>
  <c r="AG79" i="8"/>
  <c r="AG54" i="11"/>
  <c r="AG52" i="11"/>
  <c r="AG51" i="11"/>
  <c r="AG58" i="11"/>
  <c r="AG54" i="8"/>
  <c r="AH73" i="8"/>
  <c r="AH79" i="8"/>
  <c r="AH54" i="11"/>
  <c r="AH52" i="11"/>
  <c r="AH51" i="11"/>
  <c r="AH58" i="11"/>
  <c r="AH54" i="8"/>
  <c r="AI73" i="8"/>
  <c r="AI79" i="8"/>
  <c r="AI54" i="11"/>
  <c r="AI52" i="11"/>
  <c r="AI51" i="11"/>
  <c r="AI58" i="11"/>
  <c r="AI54" i="8"/>
  <c r="E49" i="11"/>
  <c r="E50" i="11"/>
  <c r="E51" i="11"/>
  <c r="E52" i="11"/>
  <c r="E54" i="11"/>
  <c r="E55" i="11"/>
  <c r="E58" i="11"/>
  <c r="E54" i="8"/>
  <c r="N13" i="15"/>
  <c r="N14" i="15"/>
  <c r="N7" i="9"/>
  <c r="D35" i="5"/>
  <c r="C35" i="5"/>
  <c r="X13" i="15"/>
  <c r="X14" i="15"/>
  <c r="X8" i="9"/>
  <c r="X7" i="9"/>
  <c r="D29" i="5"/>
  <c r="C29" i="5"/>
  <c r="N8" i="9"/>
  <c r="D28" i="5"/>
  <c r="C28" i="5"/>
  <c r="F35" i="5"/>
  <c r="AH13" i="15"/>
  <c r="AH14" i="15"/>
  <c r="AH8" i="9"/>
  <c r="AH7" i="9"/>
  <c r="D30" i="5"/>
  <c r="C30" i="5"/>
  <c r="H35" i="5"/>
  <c r="AH26" i="15"/>
  <c r="AH31" i="15"/>
  <c r="D36" i="5"/>
  <c r="C36" i="5"/>
  <c r="F36" i="5"/>
  <c r="H36" i="5"/>
  <c r="AH18" i="15"/>
  <c r="AH32" i="15"/>
  <c r="D17" i="5"/>
  <c r="N13"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AJ60" i="11"/>
  <c r="F34" i="5"/>
  <c r="H34" i="5"/>
  <c r="AH24" i="15"/>
  <c r="AH30" i="15"/>
  <c r="AH46" i="15"/>
  <c r="AH47" i="15"/>
  <c r="AH48" i="15"/>
  <c r="AH49" i="15"/>
  <c r="AH93" i="15"/>
  <c r="X26" i="15"/>
  <c r="X31" i="15"/>
  <c r="X18" i="15"/>
  <c r="X32" i="15"/>
  <c r="X34" i="15"/>
  <c r="X35" i="15"/>
  <c r="X37" i="15"/>
  <c r="X38" i="15"/>
  <c r="X39" i="15"/>
  <c r="X40" i="15"/>
  <c r="X42" i="15"/>
  <c r="X43" i="15"/>
  <c r="Z60" i="11"/>
  <c r="X24" i="15"/>
  <c r="X30" i="15"/>
  <c r="X46" i="15"/>
  <c r="X47" i="15"/>
  <c r="X48" i="15"/>
  <c r="X49" i="15"/>
  <c r="X93" i="15"/>
  <c r="AH78" i="15"/>
  <c r="AH94" i="15"/>
  <c r="X94" i="15"/>
  <c r="AH79" i="15"/>
  <c r="AH87" i="15"/>
  <c r="X87" i="15"/>
  <c r="AH72" i="15"/>
  <c r="N26" i="15"/>
  <c r="N31" i="15"/>
  <c r="N18" i="15"/>
  <c r="N32" i="15"/>
  <c r="C24" i="5"/>
  <c r="E17" i="5"/>
  <c r="N16" i="15"/>
  <c r="N19" i="15"/>
  <c r="N20" i="15"/>
  <c r="N21" i="15"/>
  <c r="N34" i="15"/>
  <c r="E19" i="5"/>
  <c r="N35" i="15"/>
  <c r="E20" i="5"/>
  <c r="N37" i="15"/>
  <c r="E21" i="5"/>
  <c r="N38" i="15"/>
  <c r="E22" i="5"/>
  <c r="N39" i="15"/>
  <c r="E18" i="5"/>
  <c r="N40" i="15"/>
  <c r="E23" i="5"/>
  <c r="N42" i="15"/>
  <c r="N43" i="15"/>
  <c r="P60" i="11"/>
  <c r="N30" i="15"/>
  <c r="N46" i="15"/>
  <c r="N47" i="15"/>
  <c r="N48" i="15"/>
  <c r="N49" i="15"/>
  <c r="N93" i="15"/>
  <c r="X78" i="15"/>
  <c r="N94" i="15"/>
  <c r="X79" i="15"/>
  <c r="N87" i="15"/>
  <c r="X72" i="15"/>
  <c r="H14" i="15"/>
  <c r="H30" i="15"/>
  <c r="J60" i="11"/>
  <c r="H32" i="15"/>
  <c r="H13" i="9"/>
  <c r="H38" i="15"/>
  <c r="H7" i="9"/>
  <c r="H31" i="15"/>
  <c r="H43" i="15"/>
  <c r="H46" i="15"/>
  <c r="H47" i="15"/>
  <c r="H48" i="15"/>
  <c r="H49" i="15"/>
  <c r="H93" i="15"/>
  <c r="N78" i="15"/>
  <c r="H94" i="15"/>
  <c r="N79" i="15"/>
  <c r="H87" i="15"/>
  <c r="N72" i="15"/>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B55" i="11"/>
  <c r="C54" i="11"/>
  <c r="D54" i="11"/>
  <c r="B54" i="11"/>
  <c r="C52" i="11"/>
  <c r="D52" i="11"/>
  <c r="B52" i="11"/>
  <c r="B50" i="11"/>
  <c r="C50" i="11"/>
  <c r="D50" i="11"/>
  <c r="B51" i="11"/>
  <c r="C51" i="11"/>
  <c r="D51" i="11"/>
  <c r="C49" i="11"/>
  <c r="D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49" i="11"/>
  <c r="H50" i="11"/>
  <c r="I49" i="11"/>
  <c r="I50" i="11"/>
  <c r="J49" i="11"/>
  <c r="J50" i="11"/>
  <c r="K49" i="11"/>
  <c r="K50" i="11"/>
  <c r="L49" i="11"/>
  <c r="L50" i="11"/>
  <c r="M49" i="11"/>
  <c r="M50" i="11"/>
  <c r="N49" i="11"/>
  <c r="N50" i="11"/>
  <c r="O49" i="11"/>
  <c r="O50" i="11"/>
  <c r="P49" i="11"/>
  <c r="P50" i="11"/>
  <c r="Q49" i="11"/>
  <c r="Q50" i="11"/>
  <c r="R49" i="11"/>
  <c r="R50" i="11"/>
  <c r="S49" i="11"/>
  <c r="S50" i="11"/>
  <c r="T49" i="11"/>
  <c r="T50" i="11"/>
  <c r="U49" i="11"/>
  <c r="U50" i="11"/>
  <c r="V49" i="11"/>
  <c r="V50" i="11"/>
  <c r="W49" i="11"/>
  <c r="W50" i="11"/>
  <c r="X49" i="11"/>
  <c r="X50" i="11"/>
  <c r="Y49" i="11"/>
  <c r="Y50" i="11"/>
  <c r="Z49" i="11"/>
  <c r="Z50" i="11"/>
  <c r="AA49" i="11"/>
  <c r="AA50" i="11"/>
  <c r="AB49" i="11"/>
  <c r="AB50" i="11"/>
  <c r="AC49" i="11"/>
  <c r="AC50" i="11"/>
  <c r="AD49" i="11"/>
  <c r="AD50" i="11"/>
  <c r="AE49" i="11"/>
  <c r="AE50" i="11"/>
  <c r="AF49" i="11"/>
  <c r="AF50" i="11"/>
  <c r="AG49" i="11"/>
  <c r="AG50" i="11"/>
  <c r="AH49" i="11"/>
  <c r="AH50" i="11"/>
  <c r="AI49" i="11"/>
  <c r="AI50" i="11"/>
  <c r="AJ49" i="11"/>
  <c r="AJ50" i="11"/>
  <c r="AH16" i="15"/>
  <c r="Z13" i="15"/>
  <c r="Z14" i="15"/>
  <c r="N10" i="9"/>
  <c r="N11" i="9"/>
  <c r="P75" i="8"/>
  <c r="N12" i="9"/>
  <c r="P78" i="8"/>
  <c r="N16" i="9"/>
  <c r="N14"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5" i="8"/>
  <c r="I75" i="8"/>
  <c r="J75" i="8"/>
  <c r="K75" i="8"/>
  <c r="L75" i="8"/>
  <c r="M75" i="8"/>
  <c r="N75" i="8"/>
  <c r="O75" i="8"/>
  <c r="Q75" i="8"/>
  <c r="R75" i="8"/>
  <c r="S75" i="8"/>
  <c r="T75" i="8"/>
  <c r="U75" i="8"/>
  <c r="V75" i="8"/>
  <c r="W75" i="8"/>
  <c r="X75" i="8"/>
  <c r="Y75" i="8"/>
  <c r="Z75" i="8"/>
  <c r="AJ75" i="8"/>
  <c r="G75" i="8"/>
  <c r="G50" i="11"/>
  <c r="G49" i="11"/>
  <c r="B58" i="11"/>
  <c r="C58" i="11"/>
  <c r="D58" i="11"/>
  <c r="X10" i="9"/>
  <c r="X11" i="9"/>
  <c r="X12" i="9"/>
  <c r="X13" i="9"/>
  <c r="X14" i="9"/>
  <c r="X16" i="9"/>
  <c r="X18" i="9"/>
  <c r="D12" i="5"/>
  <c r="E12" i="5"/>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4" i="9"/>
  <c r="H39" i="15"/>
  <c r="H10" i="9"/>
  <c r="H34"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<sst xmlns="http://schemas.openxmlformats.org/spreadsheetml/2006/main" count="1326" uniqueCount="761">
  <si>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</si>
  <si>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</si>
  <si>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</si>
  <si>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</si>
  <si>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</si>
  <si>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</si>
  <si>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</si>
  <si>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</si>
  <si>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</si>
  <si>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</si>
  <si>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</si>
  <si>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</si>
  <si>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</si>
  <si>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</si>
  <si>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</si>
  <si>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</si>
  <si>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</si>
  <si>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</si>
  <si>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</si>
  <si>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</si>
  <si>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</si>
  <si>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</si>
  <si>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</si>
  <si>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</si>
  <si>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</si>
  <si>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</si>
  <si>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</si>
  <si>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</si>
  <si>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</si>
  <si>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</si>
  <si>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</si>
  <si>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</si>
  <si>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</si>
  <si>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</si>
  <si>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</si>
  <si>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</si>
  <si>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</si>
  <si>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</si>
  <si>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</si>
  <si>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</si>
  <si>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</si>
  <si>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</si>
  <si>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</si>
  <si>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</si>
  <si>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</si>
  <si>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</si>
  <si>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</si>
  <si>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</si>
  <si>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</si>
  <si>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</si>
  <si>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</si>
  <si>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</si>
  <si>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</si>
  <si>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</si>
  <si>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</si>
  <si>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</si>
  <si>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</si>
  <si>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</si>
  <si>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</si>
  <si>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</si>
  <si>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</si>
  <si>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</si>
  <si>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</si>
  <si>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</si>
  <si>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</si>
  <si>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</si>
  <si>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</si>
  <si>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</si>
  <si>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</si>
  <si>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</si>
  <si>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</si>
  <si>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</si>
  <si>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</si>
  <si>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</si>
  <si>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</si>
  <si>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</si>
  <si>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</si>
  <si>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</si>
  <si>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</si>
  <si>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</si>
  <si>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</si>
  <si>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</si>
  <si>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</si>
  <si>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</si>
  <si>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</si>
  <si>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</si>
  <si>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</si>
  <si>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</si>
  <si>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</si>
  <si>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</si>
  <si>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</si>
  <si>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</si>
  <si>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</si>
  <si>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</si>
  <si>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</si>
  <si>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</si>
  <si>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</si>
  <si>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</si>
  <si>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</si>
  <si>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</si>
  <si>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</si>
  <si>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</si>
  <si>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</si>
  <si>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</si>
  <si>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</si>
  <si>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</si>
  <si>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</si>
  <si>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</si>
  <si>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</si>
  <si>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</si>
  <si>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</si>
  <si>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</si>
  <si>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</si>
  <si>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</si>
  <si>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</si>
  <si>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</si>
  <si>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</si>
  <si>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</si>
  <si>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</si>
  <si>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</si>
  <si>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</si>
  <si>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</si>
  <si>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</si>
  <si>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</si>
  <si>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</si>
  <si>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</si>
  <si>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</si>
  <si>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</si>
  <si>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</si>
  <si>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</si>
  <si>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</si>
  <si>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</si>
  <si>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</si>
  <si>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</si>
  <si>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</si>
  <si>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</si>
  <si>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</si>
  <si>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</si>
  <si>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</si>
  <si>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</si>
  <si>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</si>
  <si>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</si>
  <si>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</si>
  <si>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</si>
  <si>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</si>
  <si>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</si>
  <si>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</si>
  <si>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</si>
  <si>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</si>
  <si>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</si>
  <si>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</si>
  <si>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</si>
  <si>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</si>
  <si>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</si>
  <si>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</si>
  <si>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</si>
  <si>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</si>
  <si>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</si>
  <si>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</si>
  <si>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</si>
  <si>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</si>
  <si>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</si>
  <si>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</si>
  <si>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</si>
  <si>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</si>
  <si>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</si>
  <si>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</si>
  <si>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</si>
  <si>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</si>
  <si>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</si>
  <si>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</si>
  <si>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</si>
  <si>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</si>
  <si>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</si>
  <si>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</si>
  <si>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</si>
  <si>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</si>
  <si>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</si>
  <si>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</si>
  <si>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</si>
  <si>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</si>
  <si>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</si>
  <si>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</si>
  <si>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</si>
  <si>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</si>
  <si>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</si>
  <si>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</si>
  <si>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</si>
  <si>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</si>
  <si>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</si>
  <si>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</si>
  <si>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</si>
  <si>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</si>
  <si>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</si>
  <si>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</si>
  <si>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</si>
  <si>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</si>
  <si>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</si>
  <si>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</si>
  <si>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</si>
  <si>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</si>
  <si>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</si>
  <si>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</si>
  <si>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</si>
  <si>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</si>
  <si>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</si>
  <si>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</si>
  <si>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</si>
  <si>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</si>
  <si>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</si>
  <si>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</si>
  <si>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</si>
  <si>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</si>
  <si>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</si>
  <si>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</si>
  <si>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</si>
  <si>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</si>
  <si>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</si>
  <si>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</si>
  <si>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</si>
  <si>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</si>
  <si>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</si>
  <si>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</si>
  <si>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</si>
  <si>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</si>
  <si>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</si>
  <si>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</si>
  <si>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</si>
  <si>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</si>
  <si>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</si>
  <si>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</si>
  <si>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</si>
  <si>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</si>
  <si>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</si>
  <si>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</si>
  <si>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</si>
  <si>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</si>
  <si>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</si>
  <si>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</si>
  <si>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</si>
  <si>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</si>
  <si>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</si>
  <si>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</si>
  <si>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</si>
  <si>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</si>
  <si>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</si>
  <si>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</si>
  <si>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</si>
  <si>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</si>
  <si>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</si>
  <si>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</si>
  <si>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</si>
  <si>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</si>
  <si>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</si>
  <si>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</si>
  <si>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</si>
  <si>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</si>
  <si>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</si>
  <si>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</si>
  <si>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</si>
  <si>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</si>
  <si>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</si>
  <si>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</si>
  <si>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</si>
  <si>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</si>
  <si>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</si>
  <si>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</si>
  <si>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</si>
  <si>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</si>
  <si>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</si>
  <si>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</si>
  <si>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</si>
  <si>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</si>
  <si>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</si>
  <si>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</si>
  <si>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</si>
  <si>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</si>
  <si>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</si>
  <si>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</si>
  <si>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</si>
  <si>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</si>
  <si>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</si>
  <si>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</si>
  <si>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</si>
  <si>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</si>
  <si>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</si>
  <si>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</si>
  <si>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</si>
  <si>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</si>
  <si>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</si>
  <si>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</si>
  <si>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</si>
  <si>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</si>
  <si>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</si>
  <si>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</si>
  <si>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</si>
  <si>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</si>
  <si>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</si>
  <si>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</si>
  <si>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</si>
  <si>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</si>
  <si>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</si>
  <si>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</si>
  <si>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</si>
  <si>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</si>
  <si>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</si>
  <si>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</si>
  <si>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</si>
  <si>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</si>
  <si>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</si>
  <si>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</si>
  <si>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</si>
  <si>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</si>
  <si>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</si>
  <si>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</si>
  <si>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</si>
  <si>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</si>
  <si>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</si>
  <si>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</si>
  <si>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</si>
  <si>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</si>
  <si>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</si>
  <si>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</si>
  <si>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</si>
  <si>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</si>
  <si>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</si>
  <si>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</si>
  <si>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</si>
  <si>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</si>
  <si>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</si>
  <si>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</si>
  <si>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</si>
  <si>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</si>
  <si>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</si>
  <si>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</si>
  <si>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</si>
  <si>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</si>
  <si>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</si>
  <si>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</si>
  <si>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</si>
  <si>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</si>
  <si>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</si>
  <si>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</si>
  <si>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</si>
  <si>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</si>
  <si>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</si>
  <si>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</si>
  <si>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</si>
  <si>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</si>
  <si>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</si>
  <si>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</si>
  <si>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</si>
  <si>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</si>
  <si>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</si>
  <si>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</si>
  <si>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</si>
  <si>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</si>
  <si>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</si>
  <si>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</si>
  <si>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</si>
  <si>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</si>
  <si>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</si>
  <si>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</si>
  <si>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</si>
  <si>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</si>
  <si>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</si>
  <si>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</si>
  <si>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</si>
  <si>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</si>
  <si>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</si>
  <si>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</si>
  <si>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</si>
  <si>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</si>
  <si>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</si>
  <si>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</si>
  <si>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</si>
  <si>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</si>
  <si>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</si>
  <si>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</si>
  <si>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</si>
  <si>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</si>
  <si>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</si>
  <si>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</si>
  <si>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</si>
  <si>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</si>
  <si>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</si>
  <si>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</si>
  <si>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</si>
  <si>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</si>
  <si>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</si>
  <si>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</si>
  <si>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</si>
  <si>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</si>
  <si>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</si>
  <si>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</si>
  <si>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</si>
  <si>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</si>
  <si>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</si>
  <si>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</si>
  <si>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</si>
  <si>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</si>
  <si>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</si>
  <si>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</si>
  <si>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</si>
  <si>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</si>
  <si>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</si>
  <si>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</si>
  <si>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</si>
  <si>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</si>
  <si>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</si>
  <si>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</si>
  <si>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</si>
  <si>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</si>
  <si>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</si>
  <si>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</si>
  <si>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</si>
  <si>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</si>
  <si>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</si>
  <si>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</si>
  <si>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</si>
  <si>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</si>
  <si>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</si>
  <si>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</si>
  <si>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</si>
  <si>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</si>
  <si>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</si>
  <si>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</si>
  <si>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</si>
  <si>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</si>
  <si>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</si>
  <si>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</si>
  <si>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</si>
  <si>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</si>
  <si>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</si>
  <si>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</si>
  <si>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</si>
  <si>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</si>
  <si>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</si>
  <si>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</si>
  <si>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</si>
  <si>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</si>
  <si>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</si>
  <si>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</si>
  <si>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</si>
  <si>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</si>
  <si>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</si>
  <si>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</si>
  <si>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</si>
  <si>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</si>
  <si>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</si>
  <si>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</si>
  <si>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</si>
  <si>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</si>
  <si>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</si>
  <si>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</si>
  <si>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</si>
  <si>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</si>
  <si>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</si>
  <si>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</si>
  <si>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</si>
  <si>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</si>
  <si>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</si>
  <si>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</si>
  <si>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</si>
  <si>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</si>
  <si>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</si>
  <si>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</si>
  <si>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</si>
  <si>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</si>
  <si>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</si>
  <si>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</si>
  <si>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</si>
  <si>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</si>
  <si>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</si>
  <si>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</si>
  <si>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</si>
  <si>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</si>
  <si>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</si>
  <si>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</si>
  <si>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</si>
  <si>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</si>
  <si>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</si>
  <si>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</si>
  <si>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</si>
  <si>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</si>
  <si>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</si>
  <si>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</si>
  <si>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</si>
  <si>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</si>
  <si>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</si>
  <si>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</si>
  <si>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</si>
  <si>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</si>
  <si>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</si>
  <si>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</si>
  <si>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</si>
  <si>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</si>
  <si>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</si>
  <si>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</si>
  <si>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</si>
  <si>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</si>
  <si>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</si>
  <si>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</si>
  <si>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</si>
  <si>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</si>
  <si>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</si>
  <si>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</si>
  <si>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</si>
  <si>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</si>
  <si>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</si>
  <si>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</si>
  <si>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</si>
  <si>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</si>
  <si>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</si>
  <si>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</si>
  <si>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</si>
  <si>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</si>
  <si>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</si>
  <si>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</si>
  <si>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</si>
  <si>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</si>
  <si>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</si>
  <si>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</si>
  <si>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</si>
  <si>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</si>
  <si>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</si>
  <si>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</si>
  <si>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</si>
  <si>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</si>
  <si>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</si>
  <si>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</si>
  <si>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</si>
  <si>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</si>
  <si>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</si>
  <si>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</si>
  <si>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</si>
  <si>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</si>
  <si>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</si>
  <si>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</si>
  <si>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</si>
  <si>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</si>
  <si>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</si>
  <si>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</si>
  <si>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</si>
  <si>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</si>
  <si>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</si>
  <si>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</si>
  <si>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</si>
  <si>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</si>
  <si>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</si>
  <si>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</si>
  <si>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</si>
  <si>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</si>
  <si>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</si>
  <si>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</si>
  <si>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</si>
  <si>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</si>
  <si>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</si>
  <si>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</si>
  <si>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</si>
  <si>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</si>
  <si>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</si>
  <si>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</si>
  <si>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</si>
  <si>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</si>
  <si>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</si>
  <si>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</si>
  <si>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</si>
  <si>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</si>
  <si>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</si>
  <si>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</si>
  <si>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</si>
  <si>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</si>
  <si>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</si>
  <si>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</si>
  <si>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</si>
  <si>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</si>
  <si>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</si>
  <si>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</si>
  <si>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</si>
  <si>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</si>
  <si>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</si>
  <si>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</si>
  <si>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</si>
  <si>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</si>
  <si>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</si>
  <si>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</si>
  <si>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</si>
  <si>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</si>
  <si>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</si>
  <si>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</si>
  <si>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</si>
  <si>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</si>
  <si>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</si>
  <si>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</si>
  <si>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</si>
  <si>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</si>
  <si>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</si>
  <si>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</si>
  <si>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</si>
  <si>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</si>
  <si>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</si>
  <si>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</si>
  <si>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</si>
  <si>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</si>
  <si>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</si>
  <si>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</si>
  <si>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</si>
  <si>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</si>
  <si>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</si>
  <si>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</si>
  <si>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</si>
  <si>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</si>
  <si>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</si>
  <si>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</si>
  <si>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</si>
  <si>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</si>
  <si>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</si>
  <si>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</si>
  <si>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</si>
  <si>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</si>
  <si>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</si>
  <si>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</si>
  <si>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</si>
  <si>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</si>
  <si>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</si>
  <si>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</si>
  <si>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</si>
  <si>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</si>
  <si>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</si>
  <si>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</si>
  <si>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</si>
  <si>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</si>
  <si>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</si>
  <si>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</si>
  <si>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</si>
  <si>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</si>
  <si>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</si>
  <si>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</si>
  <si>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</si>
  <si>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</si>
  <si>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</si>
  <si>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</si>
  <si>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</si>
  <si>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</si>
  <si>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</si>
  <si>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</si>
  <si>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</si>
  <si>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</si>
  <si>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</si>
  <si>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</si>
  <si>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</si>
  <si>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</si>
  <si>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</si>
  <si>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</si>
  <si>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</si>
  <si>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</si>
  <si>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</si>
  <si>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</si>
  <si>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</si>
  <si>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</si>
  <si>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</si>
  <si>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</si>
  <si>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</si>
  <si>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</si>
  <si>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</si>
  <si>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</si>
  <si>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</si>
  <si>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</si>
  <si>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</si>
  <si>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</si>
  <si>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</si>
  <si>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</si>
  <si>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</si>
  <si>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</si>
  <si>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</si>
  <si>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</si>
  <si>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</si>
  <si>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</si>
  <si>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</si>
  <si>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</si>
  <si>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</si>
  <si>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</si>
  <si>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</si>
  <si>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</si>
  <si>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</si>
  <si>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</si>
  <si>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</si>
  <si>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</si>
  <si>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</si>
  <si>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</si>
  <si>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</si>
  <si>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</si>
  <si>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</si>
  <si>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</si>
  <si>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</si>
  <si>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</si>
  <si>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</si>
  <si>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</si>
  <si>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</si>
  <si>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</si>
  <si>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</si>
  <si>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</si>
  <si>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</si>
  <si>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</si>
  <si>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</si>
  <si>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</si>
  <si>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</si>
  <si>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</si>
  <si>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</si>
  <si>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</si>
  <si>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</si>
  <si>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</si>
  <si>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</si>
  <si>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</si>
  <si>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</si>
  <si>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</si>
  <si>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</si>
  <si>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</si>
  <si>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</si>
  <si>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</si>
  <si>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</si>
  <si>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</si>
  <si>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</si>
  <si>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</si>
  <si>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</si>
  <si>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</si>
  <si>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</si>
  <si>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</si>
  <si>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</si>
  <si>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</si>
  <si>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</si>
  <si>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</si>
  <si>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</si>
  <si>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</si>
  <si>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</si>
  <si>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</si>
  <si>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</si>
  <si>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</si>
  <si>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</si>
  <si>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</si>
  <si>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</si>
  <si>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</si>
  <si>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</si>
  <si>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</si>
  <si>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</si>
  <si>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</si>
  <si>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Total Electricity Generation by Fuel from EIA forRFC east and west</t>
  </si>
  <si>
    <t>Fossil</t>
  </si>
  <si>
    <t xml:space="preserve">    Other Gase0</t>
  </si>
  <si>
    <t>Pumped storage</t>
  </si>
  <si>
    <t>Energy source</t>
  </si>
  <si>
    <t>MSW Biogenic/Landfill Ga0</t>
  </si>
  <si>
    <t>Other Biomass0</t>
  </si>
  <si>
    <t>Total Electricity Generation by Fuel by computation for Ohio</t>
  </si>
  <si>
    <t>Contribution of Ohio</t>
  </si>
  <si>
    <t>Proportion for Ohio</t>
  </si>
  <si>
    <t>Energy Source</t>
  </si>
  <si>
    <t>Proportion for solar</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</si>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</sst>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name val="Verdana"/>
    </font>
  </fonts>
  <fills count="11">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C0C0"/>
        <bgColor rgb="FF000000"/>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2">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10" borderId="16" xfId="0" applyFont="1" applyFill="1" applyBorder="1"/>
    <xf numFmtId="0" fontId="52" fillId="10" borderId="26" xfId="0" applyFont="1" applyFill="1" applyBorder="1"/>
    <xf numFmtId="0" fontId="52" fillId="10" borderId="25" xfId="0" applyFont="1" applyFill="1" applyBorder="1"/>
    <xf numFmtId="0" fontId="0" fillId="2" borderId="0" xfId="0"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74896600"/>
        <c:axId val="2089619288"/>
      </c:lineChart>
      <c:catAx>
        <c:axId val="2074896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89619288"/>
        <c:crosses val="autoZero"/>
        <c:auto val="1"/>
        <c:lblAlgn val="ctr"/>
        <c:lblOffset val="100"/>
        <c:noMultiLvlLbl val="0"/>
      </c:catAx>
      <c:valAx>
        <c:axId val="2089619288"/>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8966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08634696"/>
        <c:axId val="2108637752"/>
      </c:lineChart>
      <c:catAx>
        <c:axId val="21086346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637752"/>
        <c:crosses val="autoZero"/>
        <c:auto val="1"/>
        <c:lblAlgn val="ctr"/>
        <c:lblOffset val="100"/>
        <c:noMultiLvlLbl val="0"/>
      </c:catAx>
      <c:valAx>
        <c:axId val="2108637752"/>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63469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21"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6"/>
      <c r="B1" s="536"/>
      <c r="C1" s="536"/>
      <c r="D1" s="536"/>
      <c r="E1" s="536"/>
      <c r="F1" s="536"/>
      <c r="G1" s="536"/>
      <c r="H1" s="536"/>
      <c r="I1" s="536"/>
      <c r="J1" s="536"/>
      <c r="K1" s="536"/>
      <c r="L1" s="536"/>
      <c r="M1" s="536"/>
      <c r="N1" s="536"/>
      <c r="O1" s="536"/>
      <c r="P1" s="536"/>
      <c r="Q1" s="536"/>
      <c r="R1" s="536"/>
      <c r="S1" s="536"/>
      <c r="T1" s="536"/>
    </row>
    <row r="2" spans="1:20" ht="113.25" customHeight="1">
      <c r="A2" s="536"/>
      <c r="B2" s="536"/>
      <c r="C2" s="536"/>
      <c r="D2" s="536"/>
      <c r="E2" s="536"/>
      <c r="F2" s="536"/>
      <c r="G2" s="536"/>
      <c r="H2" s="536"/>
      <c r="I2" s="536"/>
      <c r="J2" s="536"/>
      <c r="K2" s="536"/>
      <c r="L2" s="536"/>
      <c r="M2" s="536"/>
      <c r="N2" s="536"/>
      <c r="O2" s="536"/>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0.13492801997281045</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2">
        <v>8.1000000000000003E-2</v>
      </c>
      <c r="D11" s="125">
        <f>'Output - Jobs vs Yr (BAU)'!N18/'Output -Jobs vs Yr'!N14</f>
        <v>2.6733850633165669E-2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0.14000000000000001</v>
      </c>
      <c r="D12" s="125">
        <f>'Output - Jobs vs Yr (BAU)'!X18/'Output -Jobs vs Yr'!X14</f>
        <v>4.6072537601333251E-2</v>
      </c>
      <c r="E12" s="497">
        <f>(D12/D11)^(1/10)</f>
        <v>1.0559371307606902</v>
      </c>
      <c r="F12" s="109"/>
      <c r="G12" s="495">
        <f>(C12/C11)^(1/10)</f>
        <v>1.0562441136454668</v>
      </c>
      <c r="H12"/>
      <c r="I12"/>
      <c r="J12"/>
      <c r="K12"/>
      <c r="L12"/>
      <c r="M12" t="s">
        <v>0</v>
      </c>
      <c r="N12" t="s">
        <v>0</v>
      </c>
      <c r="O12" s="111" t="s">
        <v>0</v>
      </c>
      <c r="P12" s="31" t="s">
        <v>0</v>
      </c>
    </row>
    <row r="13" spans="1:20" ht="15" thickBot="1">
      <c r="B13" t="s">
        <v>577</v>
      </c>
      <c r="C13" s="522">
        <v>0.16</v>
      </c>
      <c r="D13" s="172">
        <f>'Output - Jobs vs Yr (BAU)'!AH18/'Output -Jobs vs Yr'!AH14</f>
        <v>5.2819040980316256E-2</v>
      </c>
      <c r="E13" s="497">
        <f>(D13/D12)^(1/10)</f>
        <v>1.0137592684542325</v>
      </c>
      <c r="F13" s="109"/>
      <c r="G13" s="496">
        <f>(C13/C12)^(1/10)</f>
        <v>1.0134426905796656</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6.1463958778357794E-2</v>
      </c>
      <c r="D17" s="126">
        <f>'Output - Jobs vs Yr (BAU)'!N10/'Output -Jobs vs Yr'!$N$14</f>
        <v>2.0286028312390975E-2</v>
      </c>
      <c r="E17" s="105">
        <f t="shared" ref="E17:E23" si="0">IF($C$24&lt;&gt;0,C17/$C$24,0)</f>
        <v>0.7588143059056518</v>
      </c>
      <c r="F17" s="172">
        <f>C17*$C$12/$C$11</f>
        <v>0.10623400282679127</v>
      </c>
      <c r="G17" s="105">
        <f>'Output - Jobs vs Yr (BAU)'!X10/'Output - Jobs vs Yr (BAU)'!X24</f>
        <v>3.5985713908853717E-2</v>
      </c>
      <c r="H17" s="105">
        <f t="shared" ref="H17:H23" si="1">G17/$G$24</f>
        <v>0.7864277797182937</v>
      </c>
      <c r="I17" s="172">
        <f>F17*$C$13/$C$12</f>
        <v>0.1214102889449043</v>
      </c>
      <c r="J17" s="105">
        <f>'Output - Jobs vs Yr (BAU)'!AH10/'Output - Jobs vs Yr (BAU)'!AH24</f>
        <v>3.9091729078535774E-2</v>
      </c>
      <c r="K17" s="105">
        <f>J17/$J$24</f>
        <v>0.74774246591405091</v>
      </c>
      <c r="L17" s="105"/>
      <c r="M17" s="45" t="s">
        <v>259</v>
      </c>
      <c r="N17" s="86">
        <f>HLOOKUP(N16,'Output -Jobs vs Yr'!$H$175:$AH$184,9)</f>
        <v>1304.486619184645</v>
      </c>
      <c r="O17" s="86">
        <f>HLOOKUP(O16,'Output -Jobs vs Yr'!$H$175:$AH$184,9)</f>
        <v>2210.5298247819337</v>
      </c>
      <c r="P17" s="86">
        <f>HLOOKUP(P16,'Output -Jobs vs Yr'!$H$175:$AH$184,9)</f>
        <v>2306.9931658337227</v>
      </c>
      <c r="Q17" s="86">
        <f>HLOOKUP(Q16,'Output -Jobs vs Yr'!$H$175:$AH$184,9)</f>
        <v>2190.4925650989389</v>
      </c>
    </row>
    <row r="18" spans="2:17" ht="15" thickBot="1">
      <c r="B18" s="4" t="s">
        <v>353</v>
      </c>
      <c r="C18" s="195">
        <f>D18*$C$11/$D$11</f>
        <v>2.0299384187080983E-7</v>
      </c>
      <c r="D18" s="126">
        <f>'Output - Jobs vs Yr (BAU)'!N15/'Output -Jobs vs Yr'!$N$14</f>
        <v>6.699761787687261E-8</v>
      </c>
      <c r="E18" s="105">
        <f t="shared" si="0"/>
        <v>2.5060968132198743E-6</v>
      </c>
      <c r="F18" s="172">
        <f t="shared" ref="F18:F23" si="2">C18*$C$12/$C$11</f>
        <v>3.5085355385078246E-7</v>
      </c>
      <c r="G18" s="105">
        <f>'Output - Jobs vs Yr (BAU)'!X15/'Output - Jobs vs Yr (BAU)'!X24</f>
        <v>6.4321460188671227E-8</v>
      </c>
      <c r="H18" s="105">
        <f t="shared" si="1"/>
        <v>1.4056740197662133E-6</v>
      </c>
      <c r="I18" s="172">
        <f t="shared" ref="I18:I24" si="3">F18*$C$13/$C$12</f>
        <v>4.0097549011517994E-7</v>
      </c>
      <c r="J18" s="105">
        <f>'Output - Jobs vs Yr (BAU)'!AH15/'Output - Jobs vs Yr (BAU)'!AH24</f>
        <v>6.2687215604990923E-8</v>
      </c>
      <c r="K18" s="105">
        <f t="shared" ref="K18:K24" si="4">J18/$J$24</f>
        <v>1.199074440621223E-6</v>
      </c>
      <c r="L18" s="105"/>
      <c r="M18" s="46" t="s">
        <v>260</v>
      </c>
      <c r="N18" s="87">
        <f>HLOOKUP(N16,'Output -Jobs vs Yr'!$H$175:$AH$184,10)</f>
        <v>1174.0371392022098</v>
      </c>
      <c r="O18" s="87">
        <f>HLOOKUP(O16,'Output -Jobs vs Yr'!$H$175:$AH$184,10)</f>
        <v>1989.475379578038</v>
      </c>
      <c r="P18" s="87">
        <f>HLOOKUP(P16,'Output -Jobs vs Yr'!$H$175:$AH$184,10)</f>
        <v>2076.2921398454964</v>
      </c>
      <c r="Q18" s="87">
        <f>HLOOKUP(Q16,'Output -Jobs vs Yr'!$H$175:$AH$184,10)</f>
        <v>1971.4418196187289</v>
      </c>
    </row>
    <row r="19" spans="2:17" ht="15" thickBot="1">
      <c r="B19" s="4" t="s">
        <v>354</v>
      </c>
      <c r="C19" s="195">
        <f>D19*$C$11/$D$11</f>
        <v>2.0299384187080988E-12</v>
      </c>
      <c r="D19" s="126">
        <f>'Output - Jobs vs Yr (BAU)'!N11/'Output -Jobs vs Yr'!$N$14</f>
        <v>6.699761787687262E-13</v>
      </c>
      <c r="E19" s="105">
        <f t="shared" si="0"/>
        <v>2.506096813219875E-11</v>
      </c>
      <c r="F19" s="172">
        <f t="shared" si="2"/>
        <v>3.5085355385078252E-12</v>
      </c>
      <c r="G19" s="105">
        <f>'Output - Jobs vs Yr (BAU)'!X11/'Output - Jobs vs Yr (BAU)'!X24</f>
        <v>6.4321460188671231E-13</v>
      </c>
      <c r="H19" s="105">
        <f t="shared" si="1"/>
        <v>1.4056740197662134E-11</v>
      </c>
      <c r="I19" s="172">
        <f t="shared" si="3"/>
        <v>4.0097549011518005E-12</v>
      </c>
      <c r="J19" s="105">
        <f>'Output - Jobs vs Yr (BAU)'!AH11/'Output - Jobs vs Yr (BAU)'!AH24</f>
        <v>6.268721560499093E-13</v>
      </c>
      <c r="K19" s="105">
        <f t="shared" si="4"/>
        <v>1.1990744406212232E-11</v>
      </c>
      <c r="L19" s="105"/>
      <c r="M19" s="46" t="s">
        <v>261</v>
      </c>
      <c r="N19" s="87">
        <f>HLOOKUP(N16,'Output -Jobs vs Yr'!$H$175:$AH$184,8)</f>
        <v>2478.5237583868511</v>
      </c>
      <c r="O19" s="87">
        <f>HLOOKUP(O16,'Output -Jobs vs Yr'!$H$175:$AH$184,8)</f>
        <v>4200.0052043599717</v>
      </c>
      <c r="P19" s="87">
        <f>HLOOKUP(P16,'Output -Jobs vs Yr'!$H$175:$AH$184,8)</f>
        <v>4383.2853056792155</v>
      </c>
      <c r="Q19" s="87">
        <f>HLOOKUP(Q16,'Output -Jobs vs Yr'!$H$175:$AH$184,8)</f>
        <v>4161.9343847176715</v>
      </c>
    </row>
    <row r="20" spans="2:17" ht="15" thickBot="1">
      <c r="B20" s="4" t="s">
        <v>51</v>
      </c>
      <c r="C20" s="195">
        <f>D20*$C$11/$D$11</f>
        <v>4.7188275222564656E-3</v>
      </c>
      <c r="D20" s="126">
        <f>'Output - Jobs vs Yr (BAU)'!N12/'Output -Jobs vs Yr'!$N$14</f>
        <v>1.5574374091811803E-3</v>
      </c>
      <c r="E20" s="105">
        <f t="shared" si="0"/>
        <v>5.8257129904400809E-2</v>
      </c>
      <c r="F20" s="172">
        <f t="shared" si="2"/>
        <v>8.1559981866161126E-3</v>
      </c>
      <c r="G20" s="105">
        <f>'Output - Jobs vs Yr (BAU)'!X12/'Output - Jobs vs Yr (BAU)'!X24</f>
        <v>1.5105875550376487E-3</v>
      </c>
      <c r="H20" s="105">
        <f t="shared" si="1"/>
        <v>3.3012212012447063E-2</v>
      </c>
      <c r="I20" s="172">
        <f t="shared" si="3"/>
        <v>9.3211407847041284E-3</v>
      </c>
      <c r="J20" s="105">
        <f>'Output - Jobs vs Yr (BAU)'!AH12/'Output - Jobs vs Yr (BAU)'!AH24</f>
        <v>1.502137330278716E-3</v>
      </c>
      <c r="K20" s="105">
        <f t="shared" si="4"/>
        <v>2.8732724235032158E-2</v>
      </c>
      <c r="L20" s="105"/>
      <c r="M20" s="47" t="s">
        <v>458</v>
      </c>
      <c r="N20" s="88">
        <f>HLOOKUP(N16,'Output -Jobs vs Yr'!$H$175:$AH$188,11)-HLOOKUP(N16,'Output -Jobs vs Yr'!$H$175:$AH$188,14)</f>
        <v>4692.4612398446261</v>
      </c>
      <c r="O20" s="88">
        <f>HLOOKUP(O16,'Output -Jobs vs Yr'!$H$175:$AH$188,11)-HLOOKUP(O16,'Output -Jobs vs Yr'!$H$175:$AH$188,14)</f>
        <v>37649.641184924963</v>
      </c>
      <c r="P20" s="88">
        <f>HLOOKUP(P16,'Output -Jobs vs Yr'!$H$175:$AH$188,11)-HLOOKUP(P16,'Output -Jobs vs Yr'!$H$175:$AH$188,14)</f>
        <v>80374.368455530144</v>
      </c>
      <c r="Q20" s="88">
        <f>HLOOKUP(Q16,'Output -Jobs vs Yr'!$H$175:$AH$188,11)-HLOOKUP(Q16,'Output -Jobs vs Yr'!$H$175:$AH$188,14)</f>
        <v>41811.575569642635</v>
      </c>
    </row>
    <row r="21" spans="2:17" ht="15" thickBot="1">
      <c r="B21" t="s">
        <v>355</v>
      </c>
      <c r="C21" s="195">
        <f t="shared" ref="C21:C23" si="5">D21*$C$11/$D$11</f>
        <v>1.0301749291042406E-2</v>
      </c>
      <c r="D21" s="126">
        <f>'Output - Jobs vs Yr (BAU)'!N13/'Output -Jobs vs Yr'!$N$14</f>
        <v>3.4000669976178765E-3</v>
      </c>
      <c r="E21" s="105">
        <f t="shared" si="0"/>
        <v>0.1271820900128692</v>
      </c>
      <c r="F21" s="172">
        <f t="shared" si="2"/>
        <v>1.7805492601801691E-2</v>
      </c>
      <c r="G21" s="105">
        <f>'Output - Jobs vs Yr (BAU)'!X13/'Output - Jobs vs Yr (BAU)'!X24</f>
        <v>6.8172411256157348E-3</v>
      </c>
      <c r="H21" s="105">
        <f t="shared" si="1"/>
        <v>0.14898322750526755</v>
      </c>
      <c r="I21" s="172">
        <f t="shared" si="3"/>
        <v>2.0349134402059071E-2</v>
      </c>
      <c r="J21" s="105">
        <f>'Output - Jobs vs Yr (BAU)'!AH13/'Output - Jobs vs Yr (BAU)'!AH24</f>
        <v>1.0211621408140713E-2</v>
      </c>
      <c r="K21" s="105">
        <f t="shared" si="4"/>
        <v>0.19532681599638907</v>
      </c>
      <c r="L21" s="105"/>
      <c r="N21" s="160"/>
    </row>
    <row r="22" spans="2:17" ht="15" thickBot="1">
      <c r="B22" s="4" t="s">
        <v>356</v>
      </c>
      <c r="C22" s="195">
        <f t="shared" si="5"/>
        <v>2.0299384187080983E-7</v>
      </c>
      <c r="D22" s="126">
        <f>'Output - Jobs vs Yr (BAU)'!N14/'Output -Jobs vs Yr'!$N$14</f>
        <v>6.699761787687261E-8</v>
      </c>
      <c r="E22" s="105">
        <f t="shared" si="0"/>
        <v>2.5060968132198743E-6</v>
      </c>
      <c r="F22" s="172">
        <f t="shared" si="2"/>
        <v>3.5085355385078246E-7</v>
      </c>
      <c r="G22" s="105">
        <f>'Output - Jobs vs Yr (BAU)'!X14/'Output - Jobs vs Yr (BAU)'!X24</f>
        <v>6.4321460188671227E-8</v>
      </c>
      <c r="H22" s="105">
        <f t="shared" si="1"/>
        <v>1.4056740197662133E-6</v>
      </c>
      <c r="I22" s="172">
        <f t="shared" si="3"/>
        <v>4.0097549011517994E-7</v>
      </c>
      <c r="J22" s="105">
        <f>'Output - Jobs vs Yr (BAU)'!AH14/'Output - Jobs vs Yr (BAU)'!AH24</f>
        <v>6.2687215604990923E-8</v>
      </c>
      <c r="K22" s="105">
        <f t="shared" si="4"/>
        <v>1.199074440621223E-6</v>
      </c>
      <c r="L22" s="105"/>
      <c r="O22" t="s">
        <v>0</v>
      </c>
    </row>
    <row r="23" spans="2:17" ht="15" thickBot="1">
      <c r="B23" t="s">
        <v>357</v>
      </c>
      <c r="C23" s="195">
        <f t="shared" si="5"/>
        <v>4.5150584186296463E-3</v>
      </c>
      <c r="D23" s="126">
        <f>'Output - Jobs vs Yr (BAU)'!N16/'Output -Jobs vs Yr'!$N$14</f>
        <v>1.4901839180699033E-3</v>
      </c>
      <c r="E23" s="105">
        <f t="shared" si="0"/>
        <v>5.5741461958390692E-2</v>
      </c>
      <c r="F23" s="172">
        <f t="shared" si="2"/>
        <v>7.803804674174698E-3</v>
      </c>
      <c r="G23" s="105">
        <f>'Output - Jobs vs Yr (BAU)'!X16/'Output - Jobs vs Yr (BAU)'!X24</f>
        <v>1.4447758067123681E-3</v>
      </c>
      <c r="H23" s="105">
        <f t="shared" si="1"/>
        <v>3.1573969401895552E-2</v>
      </c>
      <c r="I23" s="172">
        <f t="shared" si="3"/>
        <v>8.9186339133425115E-3</v>
      </c>
      <c r="J23" s="105">
        <f>'Output - Jobs vs Yr (BAU)'!AH16/'Output - Jobs vs Yr (BAU)'!AH24</f>
        <v>1.4740564275923047E-3</v>
      </c>
      <c r="K23" s="105">
        <f t="shared" si="4"/>
        <v>2.8195595693655904E-2</v>
      </c>
      <c r="L23" s="105"/>
      <c r="M23" s="44"/>
      <c r="N23" s="197"/>
      <c r="O23" t="s">
        <v>0</v>
      </c>
    </row>
    <row r="24" spans="2:17">
      <c r="B24" s="108" t="s">
        <v>369</v>
      </c>
      <c r="C24" s="137">
        <f t="shared" ref="C24:H24" si="6">SUM(C17:C23)</f>
        <v>8.1000000000000003E-2</v>
      </c>
      <c r="D24" s="205">
        <f t="shared" si="6"/>
        <v>2.6733850633165666E-2</v>
      </c>
      <c r="E24" s="200">
        <f t="shared" si="6"/>
        <v>0.99999999999999978</v>
      </c>
      <c r="F24" s="200">
        <f t="shared" si="6"/>
        <v>0.13999999999999999</v>
      </c>
      <c r="G24" s="200">
        <f t="shared" si="6"/>
        <v>4.5758447039783053E-2</v>
      </c>
      <c r="H24" s="105">
        <f t="shared" si="6"/>
        <v>1.0000000000000002</v>
      </c>
      <c r="I24" s="172">
        <f t="shared" si="3"/>
        <v>0.15999999999999998</v>
      </c>
      <c r="J24" s="105">
        <f>SUM(J17:J23)</f>
        <v>5.227966961960559E-2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8,1%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9.808753029957705E-2</v>
      </c>
      <c r="D28" s="105">
        <f>('Output - Jobs vs Yr (BAU)'!N8+'Output - Jobs vs Yr (BAU)'!N7)/'Output -Jobs vs Yr'!N14</f>
        <v>9.808753029957705E-2</v>
      </c>
      <c r="E28" s="136" t="s">
        <v>0</v>
      </c>
      <c r="F28" s="98"/>
      <c r="G28" s="98" t="s">
        <v>0</v>
      </c>
      <c r="H28" s="135" t="s">
        <v>0</v>
      </c>
      <c r="I28" s="135"/>
      <c r="J28" s="135"/>
      <c r="K28" s="135"/>
      <c r="L28" s="135"/>
      <c r="M28"/>
    </row>
    <row r="29" spans="2:17" ht="15" thickBot="1">
      <c r="B29" t="s">
        <v>371</v>
      </c>
      <c r="C29" s="278">
        <f>D29</f>
        <v>9.5192394228844762E-2</v>
      </c>
      <c r="D29" s="105">
        <f>('Output - Jobs vs Yr (BAU)'!X8+'Output - Jobs vs Yr (BAU)'!X7)/'Output -Jobs vs Yr'!X14</f>
        <v>9.5192394228844762E-2</v>
      </c>
      <c r="E29" s="107"/>
      <c r="F29" s="98"/>
      <c r="G29" s="96"/>
      <c r="H29"/>
      <c r="I29"/>
      <c r="J29"/>
      <c r="K29"/>
      <c r="L29"/>
    </row>
    <row r="30" spans="2:17" ht="15" thickBot="1">
      <c r="B30" t="s">
        <v>579</v>
      </c>
      <c r="C30" s="210">
        <f>D30</f>
        <v>9.3426488202115257E-2</v>
      </c>
      <c r="D30" s="105">
        <f>('Output - Jobs vs Yr (BAU)'!AH8+'Output - Jobs vs Yr (BAU)'!AH7)/'Output -Jobs vs Yr'!AH14</f>
        <v>9.3426488202115257E-2</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5.906029506240815E-3</v>
      </c>
      <c r="D35" s="105">
        <f>'Output - Jobs vs Yr (BAU)'!N7/'Output -Jobs vs Yr'!N14</f>
        <v>5.906029506240815E-3</v>
      </c>
      <c r="E35" s="203">
        <f>C35</f>
        <v>5.906029506240815E-3</v>
      </c>
      <c r="F35" s="200">
        <f>C35*$C$29/$C$28</f>
        <v>5.7317080710277525E-3</v>
      </c>
      <c r="G35" s="204">
        <f>'Output - Jobs vs Yr (BAU)'!X7/'Output - Jobs vs Yr (BAU)'!X24</f>
        <v>6.044039632943211E-3</v>
      </c>
      <c r="H35" s="200">
        <f>F35*$C$30/$C$29</f>
        <v>5.6253796410299806E-3</v>
      </c>
      <c r="I35" s="204">
        <f>'Output - Jobs vs Yr (BAU)'!AH7/'Output - Jobs vs Yr (BAU)'!AH24</f>
        <v>6.2215919173473399E-3</v>
      </c>
      <c r="J35"/>
      <c r="K35"/>
      <c r="L35"/>
    </row>
    <row r="36" spans="1:18" ht="15" thickBot="1">
      <c r="B36" s="4" t="s">
        <v>364</v>
      </c>
      <c r="C36" s="209">
        <f>D36</f>
        <v>9.218150079333623E-2</v>
      </c>
      <c r="D36" s="105">
        <f>'Output - Jobs vs Yr (BAU)'!N8/'Output -Jobs vs Yr'!N14</f>
        <v>9.218150079333623E-2</v>
      </c>
      <c r="E36" s="203">
        <f>C36</f>
        <v>9.218150079333623E-2</v>
      </c>
      <c r="F36" s="200">
        <f>C36*$C$29/$C$28</f>
        <v>8.9460686157817007E-2</v>
      </c>
      <c r="G36" s="204">
        <f>'Output - Jobs vs Yr (BAU)'!X8/'Output - Jobs vs Yr (BAU)'!X24</f>
        <v>8.8499398968205037E-2</v>
      </c>
      <c r="H36" s="200">
        <f>F36*$C$30/$C$29</f>
        <v>8.7801108561085278E-2</v>
      </c>
      <c r="I36" s="204">
        <f>'Output - Jobs vs Yr (BAU)'!AH8/'Output - Jobs vs Yr (BAU)'!AH24</f>
        <v>8.6250854501109378E-2</v>
      </c>
      <c r="J36"/>
      <c r="K36"/>
      <c r="L36"/>
    </row>
    <row r="37" spans="1:18">
      <c r="B37" s="4" t="s">
        <v>368</v>
      </c>
      <c r="C37" s="138">
        <f>SUM(C35:C36)+'Output -Jobs vs Yr'!N30/'Output -Jobs vs Yr'!N49</f>
        <v>9.808753029957705E-2</v>
      </c>
      <c r="D37" s="105">
        <f>SUM(D34:D36)</f>
        <v>9.808753029957705E-2</v>
      </c>
      <c r="E37" s="203">
        <f>SUM(E34:E36)</f>
        <v>9.808753029957705E-2</v>
      </c>
      <c r="F37" s="203">
        <f>SUM(F34:F36)</f>
        <v>9.5192394228844762E-2</v>
      </c>
      <c r="G37" s="203">
        <f>SUM(G34:G36)</f>
        <v>9.454343860114825E-2</v>
      </c>
      <c r="H37" s="200">
        <f>C37*$C$30/$C$28</f>
        <v>9.3426488202115257E-2</v>
      </c>
      <c r="I37" s="203">
        <f>SUM(I34:I36)</f>
        <v>9.2472446418456714E-2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9,8%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8.1000000000000003E-2</v>
      </c>
      <c r="D40" s="105" t="s">
        <v>0</v>
      </c>
      <c r="E40" s="105" t="s">
        <v>0</v>
      </c>
      <c r="F40" s="105" t="s">
        <v>0</v>
      </c>
      <c r="G40" s="103" t="s">
        <v>0</v>
      </c>
      <c r="H40"/>
      <c r="I40"/>
      <c r="J40"/>
      <c r="K40"/>
      <c r="L40"/>
    </row>
    <row r="41" spans="1:18">
      <c r="B41" s="4" t="s">
        <v>374</v>
      </c>
      <c r="C41" s="105">
        <f>C24+C37</f>
        <v>0.17908753029957705</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6" t="s">
        <v>595</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298"/>
      <c r="AH78" s="298"/>
      <c r="AI78" s="298"/>
      <c r="AJ78" s="298"/>
      <c r="AK78" s="298"/>
    </row>
    <row r="79" spans="1:37" customFormat="1" ht="15" customHeight="1">
      <c r="A79" s="565" t="s">
        <v>596</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297"/>
      <c r="AH79" s="297"/>
      <c r="AI79" s="297"/>
      <c r="AJ79" s="297"/>
      <c r="AK79" s="297"/>
    </row>
    <row r="80" spans="1:37" customFormat="1" ht="15" customHeight="1">
      <c r="A80" s="565" t="s">
        <v>597</v>
      </c>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297"/>
      <c r="AH80" s="297"/>
      <c r="AI80" s="297"/>
      <c r="AJ80" s="297"/>
      <c r="AK80" s="297"/>
    </row>
    <row r="81" spans="1:37" customFormat="1" ht="15" customHeight="1">
      <c r="A81" s="565" t="s">
        <v>598</v>
      </c>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297"/>
      <c r="AH81" s="297"/>
      <c r="AI81" s="297"/>
      <c r="AJ81" s="297"/>
      <c r="AK81" s="297"/>
    </row>
    <row r="82" spans="1:37" customFormat="1" ht="15" customHeight="1">
      <c r="A82" s="565" t="s">
        <v>599</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297"/>
      <c r="AH82" s="297"/>
      <c r="AI82" s="297"/>
      <c r="AJ82" s="297"/>
      <c r="AK82" s="297"/>
    </row>
    <row r="83" spans="1:37" customFormat="1" ht="15" customHeight="1">
      <c r="A83" s="565" t="s">
        <v>600</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297"/>
      <c r="AH83" s="297"/>
      <c r="AI83" s="297"/>
      <c r="AJ83" s="297"/>
      <c r="AK83" s="297"/>
    </row>
    <row r="84" spans="1:37" customFormat="1" ht="15" customHeight="1">
      <c r="A84" s="565" t="s">
        <v>601</v>
      </c>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297"/>
      <c r="AH84" s="297"/>
      <c r="AI84" s="297"/>
      <c r="AJ84" s="297"/>
      <c r="AK84" s="297"/>
    </row>
    <row r="85" spans="1:37" customFormat="1" ht="15" customHeight="1">
      <c r="A85" s="565" t="s">
        <v>602</v>
      </c>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297"/>
      <c r="AH85" s="297"/>
      <c r="AI85" s="297"/>
      <c r="AJ85" s="297"/>
      <c r="AK85" s="297"/>
    </row>
    <row r="86" spans="1:37" customFormat="1" ht="15" customHeight="1">
      <c r="A86" s="565" t="s">
        <v>603</v>
      </c>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297"/>
      <c r="AH86" s="297"/>
      <c r="AI86" s="297"/>
      <c r="AJ86" s="297"/>
      <c r="AK86" s="297"/>
    </row>
    <row r="87" spans="1:37" customFormat="1" ht="15" customHeight="1">
      <c r="A87" s="565" t="s">
        <v>604</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297"/>
      <c r="AH87" s="297"/>
      <c r="AI87" s="297"/>
      <c r="AJ87" s="297"/>
      <c r="AK87" s="297"/>
    </row>
    <row r="88" spans="1:37" customFormat="1" ht="15" customHeight="1">
      <c r="A88" s="565" t="s">
        <v>605</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297"/>
      <c r="AH88" s="297"/>
      <c r="AI88" s="297"/>
      <c r="AJ88" s="297"/>
      <c r="AK88" s="297"/>
    </row>
    <row r="89" spans="1:37" customFormat="1" ht="15" customHeight="1">
      <c r="A89" s="565" t="s">
        <v>606</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297"/>
      <c r="AH89" s="297"/>
      <c r="AI89" s="297"/>
      <c r="AJ89" s="297"/>
      <c r="AK89" s="297"/>
    </row>
    <row r="90" spans="1:37" customFormat="1" ht="15" customHeight="1">
      <c r="A90" s="565" t="s">
        <v>607</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297"/>
      <c r="AH90" s="297"/>
      <c r="AI90" s="297"/>
      <c r="AJ90" s="297"/>
      <c r="AK90" s="297"/>
    </row>
    <row r="91" spans="1:37" customFormat="1" ht="15" customHeight="1">
      <c r="A91" s="565" t="s">
        <v>608</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297"/>
      <c r="AH91" s="297"/>
      <c r="AI91" s="297"/>
      <c r="AJ91" s="297"/>
      <c r="AK91" s="297"/>
    </row>
    <row r="92" spans="1:37" customFormat="1" ht="15" customHeight="1">
      <c r="A92" s="565" t="s">
        <v>609</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297"/>
      <c r="AH92" s="297"/>
      <c r="AI92" s="297"/>
      <c r="AJ92" s="297"/>
      <c r="AK92" s="297"/>
    </row>
    <row r="93" spans="1:37" customFormat="1" ht="15" customHeight="1">
      <c r="A93" s="565" t="s">
        <v>610</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297"/>
      <c r="AH93" s="297"/>
      <c r="AI93" s="297"/>
      <c r="AJ93" s="297"/>
      <c r="AK93" s="297"/>
    </row>
    <row r="94" spans="1:37" customFormat="1" ht="15" customHeight="1">
      <c r="A94" s="565" t="s">
        <v>611</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297"/>
      <c r="AH94" s="297"/>
      <c r="AI94" s="297"/>
      <c r="AJ94" s="297"/>
      <c r="AK94" s="297"/>
    </row>
    <row r="95" spans="1:37" customFormat="1" ht="15" customHeight="1">
      <c r="A95" s="565" t="s">
        <v>612</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297"/>
      <c r="AH95" s="297"/>
      <c r="AI95" s="297"/>
      <c r="AJ95" s="297"/>
      <c r="AK95" s="297"/>
    </row>
    <row r="96" spans="1:37" customFormat="1" ht="15" customHeight="1">
      <c r="A96" s="565" t="s">
        <v>613</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297"/>
      <c r="AH96" s="297"/>
      <c r="AI96" s="297"/>
      <c r="AJ96" s="297"/>
      <c r="AK96" s="297"/>
    </row>
    <row r="97" spans="1:37" customFormat="1" ht="15" customHeight="1">
      <c r="A97" s="565" t="s">
        <v>614</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297"/>
      <c r="AH97" s="297"/>
      <c r="AI97" s="297"/>
      <c r="AJ97" s="297"/>
      <c r="AK97" s="297"/>
    </row>
    <row r="98" spans="1:37" customFormat="1" ht="15" customHeight="1">
      <c r="A98" s="565" t="s">
        <v>615</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297"/>
      <c r="AH98" s="297"/>
      <c r="AI98" s="297"/>
      <c r="AJ98" s="297"/>
      <c r="AK98" s="297"/>
    </row>
    <row r="99" spans="1:37" customFormat="1" ht="15" customHeight="1">
      <c r="A99" s="565" t="s">
        <v>616</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297"/>
      <c r="AH99" s="297"/>
      <c r="AI99" s="297"/>
      <c r="AJ99" s="297"/>
      <c r="AK99" s="297"/>
    </row>
    <row r="100" spans="1:37" customFormat="1" ht="15" customHeight="1">
      <c r="A100" s="565" t="s">
        <v>617</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297"/>
      <c r="AH100" s="297"/>
      <c r="AI100" s="297"/>
      <c r="AJ100" s="297"/>
      <c r="AK100" s="297"/>
    </row>
    <row r="101" spans="1:37" customFormat="1" ht="15" customHeight="1">
      <c r="A101" s="565" t="s">
        <v>618</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297"/>
      <c r="AH101" s="297"/>
      <c r="AI101" s="297"/>
      <c r="AJ101" s="297"/>
      <c r="AK101" s="297"/>
    </row>
    <row r="102" spans="1:37" customFormat="1" ht="15" customHeight="1">
      <c r="A102" s="565" t="s">
        <v>619</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297"/>
      <c r="AH102" s="297"/>
      <c r="AI102" s="297"/>
      <c r="AJ102" s="297"/>
      <c r="AK102" s="297"/>
    </row>
    <row r="103" spans="1:37" customFormat="1" ht="15" customHeight="1">
      <c r="A103" s="565" t="s">
        <v>620</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297"/>
      <c r="AH103" s="297"/>
      <c r="AI103" s="297"/>
      <c r="AJ103" s="297"/>
      <c r="AK103" s="297"/>
    </row>
    <row r="104" spans="1:37" customFormat="1" ht="15" customHeight="1">
      <c r="A104" s="565" t="s">
        <v>621</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297"/>
      <c r="AH104" s="297"/>
      <c r="AI104" s="297"/>
      <c r="AJ104" s="297"/>
      <c r="AK104" s="297"/>
    </row>
    <row r="105" spans="1:37" customFormat="1" ht="15" customHeight="1">
      <c r="A105" s="565" t="s">
        <v>622</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297"/>
      <c r="AH105" s="297"/>
      <c r="AI105" s="297"/>
      <c r="AJ105" s="297"/>
      <c r="AK105" s="297"/>
    </row>
    <row r="106" spans="1:37" customFormat="1" ht="15" customHeight="1">
      <c r="A106" s="565" t="s">
        <v>623</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297"/>
      <c r="AH106" s="297"/>
      <c r="AI106" s="297"/>
      <c r="AJ106" s="297"/>
      <c r="AK106" s="297"/>
    </row>
    <row r="107" spans="1:37" customFormat="1" ht="15" customHeight="1">
      <c r="A107" s="565" t="s">
        <v>624</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297"/>
      <c r="AH107" s="297"/>
      <c r="AI107" s="297"/>
      <c r="AJ107" s="297"/>
      <c r="AK107" s="297"/>
    </row>
    <row r="108" spans="1:37" customFormat="1" ht="15" customHeight="1">
      <c r="A108" s="565" t="s">
        <v>625</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297"/>
      <c r="AH108" s="297"/>
      <c r="AI108" s="297"/>
      <c r="AJ108" s="297"/>
      <c r="AK108" s="297"/>
    </row>
    <row r="109" spans="1:37" customFormat="1" ht="15" customHeight="1">
      <c r="A109" s="565" t="s">
        <v>626</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5"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6"/>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row>
    <row r="2" spans="1:38" hidden="1">
      <c r="A2" s="536"/>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row>
    <row r="3" spans="1:38" hidden="1">
      <c r="A3" s="536"/>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row>
    <row r="4" spans="1:38" hidden="1">
      <c r="A4" s="536"/>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row>
    <row r="5" spans="1:38" hidden="1">
      <c r="A5" s="536"/>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row>
    <row r="6" spans="1:38" hidden="1">
      <c r="A6" s="536"/>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row>
    <row r="7" spans="1:38" ht="23.25" hidden="1" customHeight="1">
      <c r="A7" s="536"/>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row>
    <row r="8" spans="1:38" s="159" customFormat="1" ht="15.75" hidden="1" customHeight="1">
      <c r="A8" s="536"/>
      <c r="B8" s="536"/>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row>
    <row r="9" spans="1:38" ht="21" hidden="1" customHeight="1">
      <c r="A9" s="536"/>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136052</v>
      </c>
      <c r="D13" s="330">
        <f>EIA_electricity_aeo2014!F58*1000</f>
        <v>143344</v>
      </c>
      <c r="E13" s="330">
        <f>EIA_electricity_aeo2014!G58*1000</f>
        <v>146737.28023506945</v>
      </c>
      <c r="F13" s="330">
        <f>EIA_electricity_aeo2014!H58*1000</f>
        <v>130688.63420819565</v>
      </c>
      <c r="G13" s="330">
        <f>EIA_electricity_aeo2014!I58*1000</f>
        <v>143795.31300471694</v>
      </c>
      <c r="H13" s="286">
        <f>EIA_electricity_aeo2014!J58*1000</f>
        <v>143553.09184099018</v>
      </c>
      <c r="I13" s="83">
        <f>EIA_electricity_aeo2014!K58*1000</f>
        <v>142284.45086790866</v>
      </c>
      <c r="J13" s="83">
        <f>EIA_electricity_aeo2014!L58*1000</f>
        <v>142886.57777310995</v>
      </c>
      <c r="K13" s="83">
        <f>EIA_electricity_aeo2014!M58*1000</f>
        <v>145689.71959000817</v>
      </c>
      <c r="L13" s="83">
        <f>EIA_electricity_aeo2014!N58*1000</f>
        <v>147964.53514494299</v>
      </c>
      <c r="M13" s="83">
        <f>EIA_electricity_aeo2014!O58*1000</f>
        <v>148703.50134726759</v>
      </c>
      <c r="N13" s="177">
        <f>EIA_electricity_aeo2014!P58*1000</f>
        <v>149259.03811054709</v>
      </c>
      <c r="O13" s="83">
        <f>EIA_electricity_aeo2014!Q58*1000</f>
        <v>150086.42676989175</v>
      </c>
      <c r="P13" s="83">
        <f>EIA_electricity_aeo2014!R58*1000</f>
        <v>150889.54649775344</v>
      </c>
      <c r="Q13" s="83">
        <f>EIA_electricity_aeo2014!S58*1000</f>
        <v>152063.18463726813</v>
      </c>
      <c r="R13" s="83">
        <f>EIA_electricity_aeo2014!T58*1000</f>
        <v>152578.07227402943</v>
      </c>
      <c r="S13" s="83">
        <f>EIA_electricity_aeo2014!U58*1000</f>
        <v>153283.58587983053</v>
      </c>
      <c r="T13" s="83">
        <f>EIA_electricity_aeo2014!V58*1000</f>
        <v>153933.23963663686</v>
      </c>
      <c r="U13" s="83">
        <f>EIA_electricity_aeo2014!W58*1000</f>
        <v>154223.58971328317</v>
      </c>
      <c r="V13" s="83">
        <f>EIA_electricity_aeo2014!X58*1000</f>
        <v>154235.91467762031</v>
      </c>
      <c r="W13" s="83">
        <f>EIA_electricity_aeo2014!Y58*1000</f>
        <v>154435.41873557237</v>
      </c>
      <c r="X13" s="184">
        <f>EIA_electricity_aeo2014!Z58*1000</f>
        <v>154409.22697334082</v>
      </c>
      <c r="Y13" s="174">
        <f>EIA_electricity_aeo2014!AA58*1000</f>
        <v>155094.78668609634</v>
      </c>
      <c r="Z13" s="174">
        <f>EIA_electricity_aeo2014!AB58*1000</f>
        <v>155646.68162042298</v>
      </c>
      <c r="AA13" s="174">
        <f>EIA_electricity_aeo2014!AC58*1000</f>
        <v>156242.84878608884</v>
      </c>
      <c r="AB13" s="174">
        <f>EIA_electricity_aeo2014!AD58*1000</f>
        <v>156737.39467165136</v>
      </c>
      <c r="AC13" s="174">
        <f>EIA_electricity_aeo2014!AE58*1000</f>
        <v>157072.09835125768</v>
      </c>
      <c r="AD13" s="174">
        <f>EIA_electricity_aeo2014!AF58*1000</f>
        <v>157444.70893889651</v>
      </c>
      <c r="AE13" s="174">
        <f>EIA_electricity_aeo2014!AG58*1000</f>
        <v>157711.07011899247</v>
      </c>
      <c r="AF13" s="174">
        <f>EIA_electricity_aeo2014!AH58*1000</f>
        <v>157877.45298397058</v>
      </c>
      <c r="AG13" s="174">
        <f>EIA_electricity_aeo2014!AI58*1000</f>
        <v>157823.53008093376</v>
      </c>
      <c r="AH13" s="184">
        <f>EIA_electricity_aeo2014!AJ58*1000</f>
        <v>157893.16950071082</v>
      </c>
      <c r="AI13" s="115">
        <f>X13/C13-1</f>
        <v>0.13492801997281045</v>
      </c>
      <c r="AJ13" s="165">
        <f>(1+AJ11)^21-1</f>
        <v>0.24007814276920247</v>
      </c>
      <c r="AK13" s="168">
        <f>(1+AK11)^21-1</f>
        <v>0.11389489977934208</v>
      </c>
      <c r="AL13" s="121"/>
    </row>
    <row r="14" spans="1:38" s="20" customFormat="1">
      <c r="A14" s="20" t="s">
        <v>131</v>
      </c>
      <c r="B14" s="33"/>
      <c r="C14" s="330">
        <f>EIA_electricity_aeo2014!E58 * 1000</f>
        <v>136052</v>
      </c>
      <c r="D14" s="330">
        <f>IF(Inputs!$C$7="BAU",'Output -Jobs vs Yr'!D13,C14+($X$14-$C$14)/($X$11-$C$11) )</f>
        <v>143344</v>
      </c>
      <c r="E14" s="330">
        <f>IF(Inputs!$C$7="BAU",'Output -Jobs vs Yr'!E13,D14+($X$14-$C$14)/($X$11-$C$11) )</f>
        <v>146737.28023506945</v>
      </c>
      <c r="F14" s="330">
        <f>IF(Inputs!$C$7="BAU",'Output -Jobs vs Yr'!F13,E14+($X$14-$C$14)/($X$11-$C$11) )</f>
        <v>130688.63420819565</v>
      </c>
      <c r="G14" s="330">
        <f>IF(Inputs!$C$7="BAU",'Output -Jobs vs Yr'!G13,F14+($X$14-$C$14)/($X$11-$C$11) )</f>
        <v>143795.31300471694</v>
      </c>
      <c r="H14" s="286">
        <f>EIA_electricity_aeo2014!J58*1000</f>
        <v>143553.09184099018</v>
      </c>
      <c r="I14" s="83">
        <f>IF(Inputs!$C$7="BAU",'Output -Jobs vs Yr'!I13,H14+($X$14-$C$14)/($X$11-$C$11) )</f>
        <v>142284.45086790866</v>
      </c>
      <c r="J14" s="83">
        <f>IF(Inputs!$C$7="BAU",'Output -Jobs vs Yr'!J13,I14+($X$14-$C$14)/($X$11-$C$11) )</f>
        <v>142886.57777310995</v>
      </c>
      <c r="K14" s="83">
        <f>IF(Inputs!$C$7="BAU",'Output -Jobs vs Yr'!K13,J14+($X$14-$C$14)/($X$11-$C$11) )</f>
        <v>145689.71959000817</v>
      </c>
      <c r="L14" s="83">
        <f>IF(Inputs!$C$7="BAU",'Output -Jobs vs Yr'!L13,K14+($X$14-$C$14)/($X$11-$C$11) )</f>
        <v>147964.53514494299</v>
      </c>
      <c r="M14" s="83">
        <f>IF(Inputs!$C$7="BAU",'Output -Jobs vs Yr'!M13,L14+($X$14-$C$14)/($X$11-$C$11) )</f>
        <v>148703.50134726759</v>
      </c>
      <c r="N14" s="177">
        <f>IF(Inputs!$C$7="BAU",'Output -Jobs vs Yr'!N13,M14+($X$14-$C$14)/($X$11-$C$11) )</f>
        <v>149259.03811054709</v>
      </c>
      <c r="O14" s="83">
        <f>IF(Inputs!$C$7="BAU",'Output -Jobs vs Yr'!O13,N14+($X$14-$C$14)/($X$11-$C$11) )</f>
        <v>150086.42676989175</v>
      </c>
      <c r="P14" s="83">
        <f>IF(Inputs!$C$7="BAU",'Output -Jobs vs Yr'!P13,O14+($X$14-$C$14)/($X$11-$C$11) )</f>
        <v>150889.54649775344</v>
      </c>
      <c r="Q14" s="83">
        <f>IF(Inputs!$C$7="BAU",'Output -Jobs vs Yr'!Q13,P14+($X$14-$C$14)/($X$11-$C$11) )</f>
        <v>152063.18463726813</v>
      </c>
      <c r="R14" s="83">
        <f>IF(Inputs!$C$7="BAU",'Output -Jobs vs Yr'!R13,Q14+($X$14-$C$14)/($X$11-$C$11) )</f>
        <v>152578.07227402943</v>
      </c>
      <c r="S14" s="83">
        <f>IF(Inputs!$C$7="BAU",'Output -Jobs vs Yr'!S13,R14+($X$14-$C$14)/($X$11-$C$11) )</f>
        <v>153283.58587983053</v>
      </c>
      <c r="T14" s="83">
        <f>IF(Inputs!$C$7="BAU",'Output -Jobs vs Yr'!T13,S14+($X$14-$C$14)/($X$11-$C$11) )</f>
        <v>153933.23963663686</v>
      </c>
      <c r="U14" s="83">
        <f>IF(Inputs!$C$7="BAU",'Output -Jobs vs Yr'!U13,T14+($X$14-$C$14)/($X$11-$C$11) )</f>
        <v>154223.58971328317</v>
      </c>
      <c r="V14" s="83">
        <f>IF(Inputs!$C$7="BAU",'Output -Jobs vs Yr'!V13,U14+($X$14-$C$14)/($X$11-$C$11) )</f>
        <v>154235.91467762031</v>
      </c>
      <c r="W14" s="83">
        <f>IF(Inputs!$C$7="BAU",'Output -Jobs vs Yr'!W13,V14+($X$14-$C$14)/($X$11-$C$11) )</f>
        <v>154435.41873557237</v>
      </c>
      <c r="X14" s="184">
        <f>IF(Inputs!$C$7="BAU",'Output -Jobs vs Yr'!X13,C14*(1+Inputs!C7) )</f>
        <v>154409.22697334082</v>
      </c>
      <c r="Y14" s="174">
        <f>IF(Inputs!$C$7="BAU",'Output -Jobs vs Yr'!Y13,D14*(1+Inputs!D7) )</f>
        <v>155094.78668609634</v>
      </c>
      <c r="Z14" s="174">
        <f>IF(Inputs!$C$7="BAU",'Output -Jobs vs Yr'!Z13,E14*(1+Inputs!E7) )</f>
        <v>155646.68162042298</v>
      </c>
      <c r="AA14" s="174">
        <f>IF(Inputs!$C$7="BAU",'Output -Jobs vs Yr'!AA13,F14*(1+Inputs!F7) )</f>
        <v>156242.84878608884</v>
      </c>
      <c r="AB14" s="174">
        <f>IF(Inputs!$C$7="BAU",'Output -Jobs vs Yr'!AB13,G14*(1+Inputs!G7) )</f>
        <v>156737.39467165136</v>
      </c>
      <c r="AC14" s="174">
        <f>IF(Inputs!$C$7="BAU",'Output -Jobs vs Yr'!AC13,H14*(1+Inputs!H7) )</f>
        <v>157072.09835125768</v>
      </c>
      <c r="AD14" s="174">
        <f>IF(Inputs!$C$7="BAU",'Output -Jobs vs Yr'!AD13,I14*(1+Inputs!L7) )</f>
        <v>157444.70893889651</v>
      </c>
      <c r="AE14" s="174">
        <f>IF(Inputs!$C$7="BAU",'Output -Jobs vs Yr'!AE13,J14*(1+Inputs!M7) )</f>
        <v>157711.07011899247</v>
      </c>
      <c r="AF14" s="174">
        <f>IF(Inputs!$C$7="BAU",'Output -Jobs vs Yr'!AF13,K14*(1+Inputs!N7) )</f>
        <v>157877.45298397058</v>
      </c>
      <c r="AG14" s="174">
        <f>IF(Inputs!$C$7="BAU",'Output -Jobs vs Yr'!AG13,L14*(1+Inputs!O7) )</f>
        <v>157823.53008093376</v>
      </c>
      <c r="AH14" s="184">
        <f>IF(Inputs!$C$7="BAU",'Output -Jobs vs Yr'!AH13,M14*(1+Inputs!P7) )</f>
        <v>157893.16950071082</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4.6118548790168466E-3</v>
      </c>
      <c r="D16" s="381">
        <f t="shared" si="1"/>
        <v>6.871523047593333E-3</v>
      </c>
      <c r="E16" s="381">
        <f t="shared" si="1"/>
        <v>1.1140852380269394E-2</v>
      </c>
      <c r="F16" s="381">
        <f t="shared" si="1"/>
        <v>1.6761469212313029E-2</v>
      </c>
      <c r="G16" s="381">
        <f t="shared" si="1"/>
        <v>2.4881010456499351E-2</v>
      </c>
      <c r="H16" s="381">
        <f t="shared" si="1"/>
        <v>8.0997097651039872E-3</v>
      </c>
      <c r="I16" s="381">
        <f t="shared" si="1"/>
        <v>1.1463678147114409E-2</v>
      </c>
      <c r="J16" s="381">
        <f t="shared" si="1"/>
        <v>1.6493001822328886E-2</v>
      </c>
      <c r="K16" s="381">
        <f t="shared" si="1"/>
        <v>2.409336792887198E-2</v>
      </c>
      <c r="L16" s="381">
        <f t="shared" si="1"/>
        <v>3.5684967860282524E-2</v>
      </c>
      <c r="M16" s="381">
        <f t="shared" si="1"/>
        <v>5.3498857649231367E-2</v>
      </c>
      <c r="N16" s="381">
        <f>Inputs!C11</f>
        <v>8.1000000000000003E-2</v>
      </c>
      <c r="O16" s="381">
        <f t="shared" ref="O16:W16" si="2">O95</f>
        <v>8.5609075826793446E-2</v>
      </c>
      <c r="P16" s="381">
        <f t="shared" si="2"/>
        <v>9.0427428115542149E-2</v>
      </c>
      <c r="Q16" s="381">
        <f t="shared" si="2"/>
        <v>9.5516199765091944E-2</v>
      </c>
      <c r="R16" s="381">
        <f t="shared" si="2"/>
        <v>0.10089105712836541</v>
      </c>
      <c r="S16" s="381">
        <f t="shared" si="2"/>
        <v>0.10656772236454863</v>
      </c>
      <c r="T16" s="381">
        <f t="shared" si="2"/>
        <v>0.1125632922367964</v>
      </c>
      <c r="U16" s="381">
        <f t="shared" si="2"/>
        <v>0.11889588999667587</v>
      </c>
      <c r="V16" s="381">
        <f t="shared" si="2"/>
        <v>0.12558445457746206</v>
      </c>
      <c r="W16" s="381">
        <f t="shared" si="2"/>
        <v>0.13264872053311802</v>
      </c>
      <c r="X16" s="382">
        <f>Inputs!C12</f>
        <v>0.14000000000000001</v>
      </c>
      <c r="Y16" s="383">
        <f>Y95</f>
        <v>0.14199803474077338</v>
      </c>
      <c r="Z16" s="383">
        <f t="shared" ref="Z16:AG16" si="3">Z95</f>
        <v>0.14391132353898572</v>
      </c>
      <c r="AA16" s="383">
        <f t="shared" si="3"/>
        <v>0.14585017247695714</v>
      </c>
      <c r="AB16" s="383">
        <f t="shared" si="3"/>
        <v>0.14781504668113513</v>
      </c>
      <c r="AC16" s="383">
        <f t="shared" si="3"/>
        <v>0.14980635853900673</v>
      </c>
      <c r="AD16" s="383">
        <f t="shared" si="3"/>
        <v>0.15182429620029395</v>
      </c>
      <c r="AE16" s="383">
        <f t="shared" si="3"/>
        <v>0.15386935347425595</v>
      </c>
      <c r="AF16" s="383">
        <f t="shared" si="3"/>
        <v>0.15594189956552643</v>
      </c>
      <c r="AG16" s="383">
        <f t="shared" si="3"/>
        <v>0.15804243990458222</v>
      </c>
      <c r="AH16" s="382">
        <f>Inputs!C13</f>
        <v>0.16</v>
      </c>
      <c r="AI16" s="384" t="s">
        <v>0</v>
      </c>
      <c r="AJ16" s="385"/>
      <c r="AK16" s="386"/>
      <c r="AL16" s="387"/>
    </row>
    <row r="17" spans="1:37" s="281" customFormat="1">
      <c r="A17" s="281" t="s">
        <v>115</v>
      </c>
      <c r="B17" s="282"/>
      <c r="C17" s="337"/>
      <c r="D17" s="332">
        <f>D16/C16-1</f>
        <v>0.48996948686689845</v>
      </c>
      <c r="E17" s="332">
        <f t="shared" ref="E17:M17" si="4">E16/D16-1</f>
        <v>0.62130757666182035</v>
      </c>
      <c r="F17" s="332">
        <f t="shared" si="4"/>
        <v>0.50450509890947193</v>
      </c>
      <c r="G17" s="332">
        <f t="shared" si="4"/>
        <v>0.48441703655796964</v>
      </c>
      <c r="H17" s="284"/>
      <c r="I17" s="284">
        <f t="shared" si="4"/>
        <v>0.41531962003174727</v>
      </c>
      <c r="J17" s="284">
        <f t="shared" si="4"/>
        <v>0.43871815055104624</v>
      </c>
      <c r="K17" s="284">
        <f t="shared" si="4"/>
        <v>0.46082369894929709</v>
      </c>
      <c r="L17" s="284">
        <f t="shared" si="4"/>
        <v>0.48111164722304745</v>
      </c>
      <c r="M17" s="284">
        <f t="shared" si="4"/>
        <v>0.49919870626465546</v>
      </c>
      <c r="N17" s="284">
        <f>N16/M16-1</f>
        <v>0.51405102013731985</v>
      </c>
      <c r="O17" s="284">
        <f>O16/N16-1</f>
        <v>5.6902170701153665E-2</v>
      </c>
      <c r="P17" s="284">
        <f t="shared" ref="P17:X17" si="5">P16/O16-1</f>
        <v>5.6283194768943945E-2</v>
      </c>
      <c r="Q17" s="284">
        <f t="shared" si="5"/>
        <v>5.627464758864642E-2</v>
      </c>
      <c r="R17" s="284">
        <f t="shared" si="5"/>
        <v>5.6271683510149328E-2</v>
      </c>
      <c r="S17" s="284">
        <f t="shared" si="5"/>
        <v>5.6265296427221445E-2</v>
      </c>
      <c r="T17" s="284">
        <f t="shared" si="5"/>
        <v>5.6260655095339507E-2</v>
      </c>
      <c r="U17" s="284">
        <f t="shared" si="5"/>
        <v>5.6258107186113238E-2</v>
      </c>
      <c r="V17" s="284">
        <f t="shared" si="5"/>
        <v>5.6255641645587495E-2</v>
      </c>
      <c r="W17" s="284">
        <f t="shared" si="5"/>
        <v>5.6251117858688637E-2</v>
      </c>
      <c r="X17" s="283">
        <f t="shared" si="5"/>
        <v>5.54191509525086E-2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0.11176608943639196</v>
      </c>
      <c r="D18" s="332">
        <f t="shared" ref="D18:G18" si="6">($N$18-$C$18)/($N$11-$C$11)+C18</f>
        <v>0.10998567228702326</v>
      </c>
      <c r="E18" s="332">
        <f t="shared" si="6"/>
        <v>0.10820525513765455</v>
      </c>
      <c r="F18" s="332">
        <f t="shared" si="6"/>
        <v>0.10642483798828585</v>
      </c>
      <c r="G18" s="332">
        <f t="shared" si="6"/>
        <v>0.10464442083891715</v>
      </c>
      <c r="H18" s="284">
        <f>H32/H14</f>
        <v>0.10228802801589812</v>
      </c>
      <c r="I18" s="172">
        <f>($N$18-$H$18)/($N$11-$H$11)+H18</f>
        <v>0.1006036068121378</v>
      </c>
      <c r="J18" s="172">
        <f t="shared" ref="J18:M18" si="7">($N$18-$H$18)/($N$11-$H$11)+I18</f>
        <v>9.891918560837748E-2</v>
      </c>
      <c r="K18" s="172">
        <f t="shared" si="7"/>
        <v>9.7234764404617161E-2</v>
      </c>
      <c r="L18" s="172">
        <f t="shared" si="7"/>
        <v>9.5550343200856841E-2</v>
      </c>
      <c r="M18" s="172">
        <f t="shared" si="7"/>
        <v>9.3865921997096521E-2</v>
      </c>
      <c r="N18" s="180">
        <f>Inputs!C36</f>
        <v>9.218150079333623E-2</v>
      </c>
      <c r="O18" s="91">
        <f t="shared" ref="O18:W18" si="8">($X$18-$N$18)/($X$11-$N$11)+N18</f>
        <v>9.1909419329784303E-2</v>
      </c>
      <c r="P18" s="91">
        <f t="shared" si="8"/>
        <v>9.1637337866232377E-2</v>
      </c>
      <c r="Q18" s="91">
        <f t="shared" si="8"/>
        <v>9.136525640268045E-2</v>
      </c>
      <c r="R18" s="91">
        <f t="shared" si="8"/>
        <v>9.1093174939128524E-2</v>
      </c>
      <c r="S18" s="22">
        <f t="shared" si="8"/>
        <v>9.0821093475576598E-2</v>
      </c>
      <c r="T18" s="91">
        <f t="shared" si="8"/>
        <v>9.0549012012024671E-2</v>
      </c>
      <c r="U18" s="91">
        <f t="shared" si="8"/>
        <v>9.0276930548472745E-2</v>
      </c>
      <c r="V18" s="91">
        <f t="shared" si="8"/>
        <v>9.0004849084920818E-2</v>
      </c>
      <c r="W18" s="91">
        <f t="shared" si="8"/>
        <v>8.9732767621368892E-2</v>
      </c>
      <c r="X18" s="185">
        <f>Inputs!F36</f>
        <v>8.9460686157817007E-2</v>
      </c>
      <c r="Y18" s="172">
        <f>($AH$18-$X$18)/($AH$11-$X$11)+X18</f>
        <v>8.9294728398143841E-2</v>
      </c>
      <c r="Z18" s="172">
        <f t="shared" ref="Z18:AG18" si="9">($AH$18-$X$18)/($AH$11-$X$11)+Y18</f>
        <v>8.9128770638470661E-2</v>
      </c>
      <c r="AA18" s="172">
        <f t="shared" si="9"/>
        <v>8.8962812878797481E-2</v>
      </c>
      <c r="AB18" s="172">
        <f t="shared" si="9"/>
        <v>8.8796855119124302E-2</v>
      </c>
      <c r="AC18" s="172">
        <f t="shared" si="9"/>
        <v>8.8630897359451122E-2</v>
      </c>
      <c r="AD18" s="172">
        <f t="shared" si="9"/>
        <v>8.8464939599777942E-2</v>
      </c>
      <c r="AE18" s="172">
        <f t="shared" si="9"/>
        <v>8.8298981840104762E-2</v>
      </c>
      <c r="AF18" s="172">
        <f t="shared" si="9"/>
        <v>8.8133024080431582E-2</v>
      </c>
      <c r="AG18" s="172">
        <f t="shared" si="9"/>
        <v>8.7967066320758402E-2</v>
      </c>
      <c r="AH18" s="185">
        <f>Inputs!H36</f>
        <v>8.7801108561085278E-2</v>
      </c>
      <c r="AK18"/>
    </row>
    <row r="19" spans="1:37" s="281" customFormat="1">
      <c r="A19" s="281" t="s">
        <v>114</v>
      </c>
      <c r="B19" s="285"/>
      <c r="C19" s="330">
        <f t="shared" ref="C19:AH19" si="10">C16*C14</f>
        <v>627.45208000000002</v>
      </c>
      <c r="D19" s="330">
        <f t="shared" si="10"/>
        <v>984.99159973421877</v>
      </c>
      <c r="E19" s="330">
        <f t="shared" si="10"/>
        <v>1634.7783777811305</v>
      </c>
      <c r="F19" s="330">
        <f t="shared" si="10"/>
        <v>2190.5335186799107</v>
      </c>
      <c r="G19" s="330">
        <f t="shared" si="10"/>
        <v>3577.7726864659594</v>
      </c>
      <c r="H19" s="286">
        <f t="shared" si="10"/>
        <v>1162.7383797953376</v>
      </c>
      <c r="I19" s="286">
        <f t="shared" si="10"/>
        <v>1631.1031500886183</v>
      </c>
      <c r="J19" s="286">
        <f t="shared" si="10"/>
        <v>2356.6285875982403</v>
      </c>
      <c r="K19" s="286">
        <f t="shared" si="10"/>
        <v>3510.1560175362547</v>
      </c>
      <c r="L19" s="286">
        <f t="shared" si="10"/>
        <v>5280.1096811089346</v>
      </c>
      <c r="M19" s="286">
        <f t="shared" si="10"/>
        <v>7955.4674505197536</v>
      </c>
      <c r="N19" s="287">
        <f t="shared" si="10"/>
        <v>12089.982086954315</v>
      </c>
      <c r="O19" s="286">
        <f t="shared" si="10"/>
        <v>12848.760289916145</v>
      </c>
      <c r="P19" s="286">
        <f t="shared" si="10"/>
        <v>13644.553619312353</v>
      </c>
      <c r="Q19" s="286">
        <f t="shared" si="10"/>
        <v>14524.497520729363</v>
      </c>
      <c r="R19" s="286">
        <f t="shared" si="10"/>
        <v>15393.76300633497</v>
      </c>
      <c r="S19" s="286">
        <f t="shared" si="10"/>
        <v>16335.082623084227</v>
      </c>
      <c r="T19" s="286">
        <f t="shared" si="10"/>
        <v>17327.232238175566</v>
      </c>
      <c r="U19" s="286">
        <f t="shared" si="10"/>
        <v>18336.550957442989</v>
      </c>
      <c r="V19" s="286">
        <f t="shared" si="10"/>
        <v>19369.633221044922</v>
      </c>
      <c r="W19" s="286">
        <f t="shared" si="10"/>
        <v>20485.660700269997</v>
      </c>
      <c r="X19" s="287">
        <f>Inputs!C12*'Output -Jobs vs Yr'!X14</f>
        <v>21617.291776267717</v>
      </c>
      <c r="Y19" s="286">
        <f t="shared" si="10"/>
        <v>22023.154907965145</v>
      </c>
      <c r="Z19" s="286">
        <f t="shared" si="10"/>
        <v>22399.319956446194</v>
      </c>
      <c r="AA19" s="286">
        <f t="shared" si="10"/>
        <v>22788.046443742191</v>
      </c>
      <c r="AB19" s="286">
        <f t="shared" si="10"/>
        <v>23168.145310069645</v>
      </c>
      <c r="AC19" s="286">
        <f t="shared" si="10"/>
        <v>23530.399082082637</v>
      </c>
      <c r="AD19" s="286">
        <f t="shared" si="10"/>
        <v>23903.932125108091</v>
      </c>
      <c r="AE19" s="286">
        <f t="shared" si="10"/>
        <v>24266.900394942419</v>
      </c>
      <c r="AF19" s="286">
        <f t="shared" si="10"/>
        <v>24619.709916887459</v>
      </c>
      <c r="AG19" s="286">
        <f t="shared" si="10"/>
        <v>24942.815768344997</v>
      </c>
      <c r="AH19" s="287">
        <f t="shared" si="10"/>
        <v>25262.90712011373</v>
      </c>
    </row>
    <row r="20" spans="1:37" s="20" customFormat="1">
      <c r="A20" s="20" t="s">
        <v>211</v>
      </c>
      <c r="B20" s="33"/>
      <c r="C20" s="330">
        <f>'Output - Jobs vs Yr (BAU)'!C18</f>
        <v>627.45208000000002</v>
      </c>
      <c r="D20" s="330">
        <f>'Output - Jobs vs Yr (BAU)'!D18</f>
        <v>690.34439999999995</v>
      </c>
      <c r="E20" s="330">
        <f>'Output - Jobs vs Yr (BAU)'!E18</f>
        <v>829.30195680292059</v>
      </c>
      <c r="F20" s="330">
        <f>'Output - Jobs vs Yr (BAU)'!F18</f>
        <v>893.85462044309099</v>
      </c>
      <c r="G20" s="330">
        <f>'Output - Jobs vs Yr (BAU)'!G18</f>
        <v>1053.3820873638276</v>
      </c>
      <c r="H20" s="286">
        <f>'Output - Jobs vs Yr (BAU)'!H18</f>
        <v>1161.7383797953376</v>
      </c>
      <c r="I20" s="83">
        <f>'Output - Jobs vs Yr (BAU)'!I18</f>
        <v>1299.9349024434327</v>
      </c>
      <c r="J20" s="83">
        <f>'Output - Jobs vs Yr (BAU)'!J18</f>
        <v>1603.9195009969346</v>
      </c>
      <c r="K20" s="83">
        <f>'Output - Jobs vs Yr (BAU)'!K18</f>
        <v>2443.4135989937022</v>
      </c>
      <c r="L20" s="83">
        <f>'Output - Jobs vs Yr (BAU)'!L18</f>
        <v>3608.8238896050143</v>
      </c>
      <c r="M20" s="83">
        <f>'Output - Jobs vs Yr (BAU)'!M18</f>
        <v>3686.6002193116537</v>
      </c>
      <c r="N20" s="177">
        <f>'Output - Jobs vs Yr (BAU)'!N18</f>
        <v>3990.2688304973481</v>
      </c>
      <c r="O20" s="83">
        <f>'Output - Jobs vs Yr (BAU)'!O18</f>
        <v>4196.5158499545905</v>
      </c>
      <c r="P20" s="83">
        <f>'Output - Jobs vs Yr (BAU)'!P18</f>
        <v>4501.5244401029458</v>
      </c>
      <c r="Q20" s="83">
        <f>'Output - Jobs vs Yr (BAU)'!Q18</f>
        <v>5351.168128935903</v>
      </c>
      <c r="R20" s="83">
        <f>'Output - Jobs vs Yr (BAU)'!R18</f>
        <v>5459.097377366922</v>
      </c>
      <c r="S20" s="83">
        <f>'Output - Jobs vs Yr (BAU)'!S18</f>
        <v>5933.1548630597872</v>
      </c>
      <c r="T20" s="83">
        <f>'Output - Jobs vs Yr (BAU)'!T18</f>
        <v>6074.912587553401</v>
      </c>
      <c r="U20" s="83">
        <f>'Output - Jobs vs Yr (BAU)'!U18</f>
        <v>6138.8073152906118</v>
      </c>
      <c r="V20" s="83">
        <f>'Output - Jobs vs Yr (BAU)'!V18</f>
        <v>6302.992393612255</v>
      </c>
      <c r="W20" s="83">
        <f>'Output - Jobs vs Yr (BAU)'!W18</f>
        <v>6439.1443018110422</v>
      </c>
      <c r="X20" s="184">
        <f>'Output - Jobs vs Yr (BAU)'!X18</f>
        <v>7114.0249157220451</v>
      </c>
      <c r="Y20" s="174">
        <f>'Output - Jobs vs Yr (BAU)'!Y18</f>
        <v>7570.1464802323135</v>
      </c>
      <c r="Z20" s="174">
        <f>'Output - Jobs vs Yr (BAU)'!Z18</f>
        <v>7767.6350003457746</v>
      </c>
      <c r="AA20" s="174">
        <f>'Output - Jobs vs Yr (BAU)'!AA18</f>
        <v>7852.3783640205438</v>
      </c>
      <c r="AB20" s="174">
        <f>'Output - Jobs vs Yr (BAU)'!AB18</f>
        <v>7933.3260090683061</v>
      </c>
      <c r="AC20" s="174">
        <f>'Output - Jobs vs Yr (BAU)'!AC18</f>
        <v>7994.7501232405448</v>
      </c>
      <c r="AD20" s="174">
        <f>'Output - Jobs vs Yr (BAU)'!AD18</f>
        <v>8026.746869384081</v>
      </c>
      <c r="AE20" s="174">
        <f>'Output - Jobs vs Yr (BAU)'!AE18</f>
        <v>8121.0652649159201</v>
      </c>
      <c r="AF20" s="174">
        <f>'Output - Jobs vs Yr (BAU)'!AF18</f>
        <v>8214.3400810865623</v>
      </c>
      <c r="AG20" s="174">
        <f>'Output - Jobs vs Yr (BAU)'!AG18</f>
        <v>8265.9832475690691</v>
      </c>
      <c r="AH20" s="184">
        <f>'Output - Jobs vs Yr (BAU)'!AH18</f>
        <v>8339.7657903700656</v>
      </c>
    </row>
    <row r="21" spans="1:37" s="20" customFormat="1">
      <c r="A21" s="20" t="s">
        <v>116</v>
      </c>
      <c r="B21" s="33"/>
      <c r="C21" s="330">
        <f t="shared" ref="C21:AH21" si="11">MAX(C19:C20)</f>
        <v>627.45208000000002</v>
      </c>
      <c r="D21" s="330">
        <f t="shared" si="11"/>
        <v>984.99159973421877</v>
      </c>
      <c r="E21" s="330">
        <f t="shared" si="11"/>
        <v>1634.7783777811305</v>
      </c>
      <c r="F21" s="330">
        <f t="shared" si="11"/>
        <v>2190.5335186799107</v>
      </c>
      <c r="G21" s="330">
        <f t="shared" si="11"/>
        <v>3577.7726864659594</v>
      </c>
      <c r="H21" s="286">
        <f t="shared" si="11"/>
        <v>1162.7383797953376</v>
      </c>
      <c r="I21" s="83">
        <f t="shared" si="11"/>
        <v>1631.1031500886183</v>
      </c>
      <c r="J21" s="83">
        <f t="shared" si="11"/>
        <v>2356.6285875982403</v>
      </c>
      <c r="K21" s="83">
        <f t="shared" si="11"/>
        <v>3510.1560175362547</v>
      </c>
      <c r="L21" s="83">
        <f t="shared" si="11"/>
        <v>5280.1096811089346</v>
      </c>
      <c r="M21" s="83">
        <f t="shared" si="11"/>
        <v>7955.4674505197536</v>
      </c>
      <c r="N21" s="177">
        <f t="shared" si="11"/>
        <v>12089.982086954315</v>
      </c>
      <c r="O21" s="83">
        <f t="shared" si="11"/>
        <v>12848.760289916145</v>
      </c>
      <c r="P21" s="83">
        <f t="shared" si="11"/>
        <v>13644.553619312353</v>
      </c>
      <c r="Q21" s="83">
        <f t="shared" si="11"/>
        <v>14524.497520729363</v>
      </c>
      <c r="R21" s="83">
        <f t="shared" si="11"/>
        <v>15393.76300633497</v>
      </c>
      <c r="S21" s="83">
        <f t="shared" si="11"/>
        <v>16335.082623084227</v>
      </c>
      <c r="T21" s="83">
        <f t="shared" si="11"/>
        <v>17327.232238175566</v>
      </c>
      <c r="U21" s="83">
        <f t="shared" si="11"/>
        <v>18336.550957442989</v>
      </c>
      <c r="V21" s="83">
        <f t="shared" si="11"/>
        <v>19369.633221044922</v>
      </c>
      <c r="W21" s="83">
        <f t="shared" si="11"/>
        <v>20485.660700269997</v>
      </c>
      <c r="X21" s="184">
        <f t="shared" si="11"/>
        <v>21617.291776267717</v>
      </c>
      <c r="Y21" s="174">
        <f t="shared" si="11"/>
        <v>22023.154907965145</v>
      </c>
      <c r="Z21" s="174">
        <f t="shared" si="11"/>
        <v>22399.319956446194</v>
      </c>
      <c r="AA21" s="174">
        <f t="shared" si="11"/>
        <v>22788.046443742191</v>
      </c>
      <c r="AB21" s="174">
        <f t="shared" si="11"/>
        <v>23168.145310069645</v>
      </c>
      <c r="AC21" s="174">
        <f t="shared" si="11"/>
        <v>23530.399082082637</v>
      </c>
      <c r="AD21" s="174">
        <f t="shared" si="11"/>
        <v>23903.932125108091</v>
      </c>
      <c r="AE21" s="174">
        <f t="shared" si="11"/>
        <v>24266.900394942419</v>
      </c>
      <c r="AF21" s="174">
        <f t="shared" si="11"/>
        <v>24619.709916887459</v>
      </c>
      <c r="AG21" s="174">
        <f t="shared" si="11"/>
        <v>24942.815768344997</v>
      </c>
      <c r="AH21" s="184">
        <f t="shared" si="11"/>
        <v>25262.90712011373</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3.8807955781612912E-3</v>
      </c>
      <c r="D26" s="332">
        <f t="shared" ref="D26:G26" si="21">C26+($N$26-$C$26)/($N$11-$C$11)</f>
        <v>4.0649077534412482E-3</v>
      </c>
      <c r="E26" s="332">
        <f t="shared" si="21"/>
        <v>4.2490199287212047E-3</v>
      </c>
      <c r="F26" s="332">
        <f t="shared" si="21"/>
        <v>4.4331321040011612E-3</v>
      </c>
      <c r="G26" s="332">
        <f t="shared" si="21"/>
        <v>4.6172442792811177E-3</v>
      </c>
      <c r="H26" s="284">
        <f>H31/H14</f>
        <v>5.1609163801939291E-3</v>
      </c>
      <c r="I26" s="91">
        <f>H26+($N$26-$H$26)/($N$11-$H$11)</f>
        <v>5.2851019012017438E-3</v>
      </c>
      <c r="J26" s="172">
        <f t="shared" ref="J26:M26" si="22">I26+($N$26-$H$26)/($N$11-$H$11)</f>
        <v>5.4092874222095577E-3</v>
      </c>
      <c r="K26" s="172">
        <f t="shared" si="22"/>
        <v>5.5334729432173716E-3</v>
      </c>
      <c r="L26" s="172">
        <f t="shared" si="22"/>
        <v>5.6576584642251855E-3</v>
      </c>
      <c r="M26" s="172">
        <f t="shared" si="22"/>
        <v>5.7818439852329994E-3</v>
      </c>
      <c r="N26" s="180">
        <f>Inputs!C35</f>
        <v>5.906029506240815E-3</v>
      </c>
      <c r="O26" s="91">
        <f t="shared" ref="O26:W26" si="23">N26+($X$26-$N$26)/($X$11-$N$11)</f>
        <v>5.8885973627195087E-3</v>
      </c>
      <c r="P26" s="91">
        <f t="shared" si="23"/>
        <v>5.8711652191982024E-3</v>
      </c>
      <c r="Q26" s="91">
        <f t="shared" si="23"/>
        <v>5.853733075676896E-3</v>
      </c>
      <c r="R26" s="91">
        <f t="shared" si="23"/>
        <v>5.8363009321555897E-3</v>
      </c>
      <c r="S26" s="22">
        <f t="shared" si="23"/>
        <v>5.8188687886342834E-3</v>
      </c>
      <c r="T26" s="91">
        <f t="shared" si="23"/>
        <v>5.801436645112977E-3</v>
      </c>
      <c r="U26" s="91">
        <f t="shared" si="23"/>
        <v>5.7840045015916707E-3</v>
      </c>
      <c r="V26" s="91">
        <f t="shared" si="23"/>
        <v>5.7665723580703643E-3</v>
      </c>
      <c r="W26" s="91">
        <f t="shared" si="23"/>
        <v>5.749140214549058E-3</v>
      </c>
      <c r="X26" s="185">
        <f>Inputs!F35</f>
        <v>5.7317080710277525E-3</v>
      </c>
      <c r="Y26" s="172">
        <f>X26+($AH$26-$X$26)/($AH$11-$X$11)</f>
        <v>5.7210752280279758E-3</v>
      </c>
      <c r="Z26" s="172">
        <f t="shared" ref="Z26:AG26" si="24">Y26+($AH$26-$X$26)/($AH$11-$X$11)</f>
        <v>5.7104423850281982E-3</v>
      </c>
      <c r="AA26" s="172">
        <f t="shared" si="24"/>
        <v>5.6998095420284205E-3</v>
      </c>
      <c r="AB26" s="172">
        <f t="shared" si="24"/>
        <v>5.6891766990286429E-3</v>
      </c>
      <c r="AC26" s="172">
        <f t="shared" si="24"/>
        <v>5.6785438560288653E-3</v>
      </c>
      <c r="AD26" s="172">
        <f t="shared" si="24"/>
        <v>5.6679110130290877E-3</v>
      </c>
      <c r="AE26" s="172">
        <f t="shared" si="24"/>
        <v>5.65727817002931E-3</v>
      </c>
      <c r="AF26" s="172">
        <f t="shared" si="24"/>
        <v>5.6466453270295324E-3</v>
      </c>
      <c r="AG26" s="172">
        <f t="shared" si="24"/>
        <v>5.6360124840297548E-3</v>
      </c>
      <c r="AH26" s="185">
        <f>Inputs!H35</f>
        <v>5.6253796410299806E-3</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9.6639962264210885E-2</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527.99</v>
      </c>
      <c r="D31" s="330">
        <f t="shared" ref="D31:AH31" si="27">D26*D14</f>
        <v>582.68013700928225</v>
      </c>
      <c r="E31" s="330">
        <f t="shared" si="27"/>
        <v>623.48962800515824</v>
      </c>
      <c r="F31" s="330">
        <f t="shared" si="27"/>
        <v>579.35997993641649</v>
      </c>
      <c r="G31" s="330">
        <f t="shared" si="27"/>
        <v>663.93808635846699</v>
      </c>
      <c r="H31" s="286">
        <f>'Output - Jobs vs Yr (BAU)'!H7</f>
        <v>740.86550310964969</v>
      </c>
      <c r="I31" s="174">
        <f t="shared" si="27"/>
        <v>751.98782179343016</v>
      </c>
      <c r="J31" s="174">
        <f t="shared" si="27"/>
        <v>772.91456795065142</v>
      </c>
      <c r="K31" s="174">
        <f t="shared" si="27"/>
        <v>806.17012145623607</v>
      </c>
      <c r="L31" s="174">
        <f t="shared" si="27"/>
        <v>837.13280466793162</v>
      </c>
      <c r="M31" s="174">
        <f t="shared" si="27"/>
        <v>859.78044484778638</v>
      </c>
      <c r="N31" s="184">
        <f t="shared" si="27"/>
        <v>881.52828315401337</v>
      </c>
      <c r="O31" s="174">
        <f t="shared" si="27"/>
        <v>883.79853685717922</v>
      </c>
      <c r="P31" s="174">
        <f t="shared" si="27"/>
        <v>885.89745733819996</v>
      </c>
      <c r="Q31" s="174">
        <f t="shared" si="27"/>
        <v>890.1372935039393</v>
      </c>
      <c r="R31" s="174">
        <f t="shared" si="27"/>
        <v>890.49154543942086</v>
      </c>
      <c r="S31" s="174">
        <f t="shared" si="27"/>
        <v>891.93707368608864</v>
      </c>
      <c r="T31" s="174">
        <f t="shared" si="27"/>
        <v>893.03393732894256</v>
      </c>
      <c r="U31" s="174">
        <f t="shared" si="27"/>
        <v>892.02993715325681</v>
      </c>
      <c r="V31" s="174">
        <f t="shared" si="27"/>
        <v>889.41256220166451</v>
      </c>
      <c r="W31" s="174">
        <f t="shared" si="27"/>
        <v>887.87087640340212</v>
      </c>
      <c r="X31" s="184">
        <f t="shared" si="27"/>
        <v>885.0286124842537</v>
      </c>
      <c r="Y31" s="174">
        <f t="shared" si="27"/>
        <v>887.30894210610893</v>
      </c>
      <c r="Z31" s="174">
        <f t="shared" si="27"/>
        <v>888.81140781425279</v>
      </c>
      <c r="AA31" s="174">
        <f t="shared" si="27"/>
        <v>890.55448038465283</v>
      </c>
      <c r="AB31" s="174">
        <f t="shared" si="27"/>
        <v>891.70673363241508</v>
      </c>
      <c r="AC31" s="174">
        <f t="shared" si="27"/>
        <v>891.940799046096</v>
      </c>
      <c r="AD31" s="174">
        <f t="shared" si="27"/>
        <v>892.38259973793072</v>
      </c>
      <c r="AE31" s="174">
        <f t="shared" si="27"/>
        <v>892.2153941561379</v>
      </c>
      <c r="AF31" s="174">
        <f t="shared" si="27"/>
        <v>891.47798213526221</v>
      </c>
      <c r="AG31" s="174">
        <f t="shared" si="27"/>
        <v>889.49538580978822</v>
      </c>
      <c r="AH31" s="184">
        <f t="shared" si="27"/>
        <v>888.20902116699449</v>
      </c>
      <c r="AI31" s="127"/>
    </row>
    <row r="32" spans="1:37">
      <c r="A32" s="9" t="s">
        <v>59</v>
      </c>
      <c r="B32" s="35">
        <v>0</v>
      </c>
      <c r="C32" s="330">
        <f>EIA_electricity_aeo2014!E52*1000</f>
        <v>15206</v>
      </c>
      <c r="D32" s="330">
        <f t="shared" ref="D32:AH32" si="28">D18*D14</f>
        <v>15765.786208311061</v>
      </c>
      <c r="E32" s="330">
        <f t="shared" si="28"/>
        <v>15877.744846041205</v>
      </c>
      <c r="F32" s="330">
        <f t="shared" si="28"/>
        <v>13908.516722517574</v>
      </c>
      <c r="G32" s="330">
        <f t="shared" si="28"/>
        <v>15047.377248729415</v>
      </c>
      <c r="H32" s="286">
        <f>EIA_electricity_aeo2014!J52*1000</f>
        <v>14683.76268</v>
      </c>
      <c r="I32" s="174">
        <f t="shared" si="28"/>
        <v>14314.328950596022</v>
      </c>
      <c r="J32" s="174">
        <f t="shared" si="28"/>
        <v>14134.223907684127</v>
      </c>
      <c r="K32" s="174">
        <f t="shared" si="28"/>
        <v>14166.105560509182</v>
      </c>
      <c r="L32" s="174">
        <f t="shared" si="28"/>
        <v>14138.062114654545</v>
      </c>
      <c r="M32" s="174">
        <f t="shared" si="28"/>
        <v>13958.191258157758</v>
      </c>
      <c r="N32" s="184">
        <f t="shared" si="28"/>
        <v>13758.922139999999</v>
      </c>
      <c r="O32" s="174">
        <f t="shared" si="28"/>
        <v>13794.356333702946</v>
      </c>
      <c r="P32" s="174">
        <f t="shared" si="28"/>
        <v>13827.116352897212</v>
      </c>
      <c r="Q32" s="174">
        <f t="shared" si="28"/>
        <v>13893.291853792141</v>
      </c>
      <c r="R32" s="174">
        <f t="shared" si="28"/>
        <v>13898.821029533159</v>
      </c>
      <c r="S32" s="174">
        <f t="shared" si="28"/>
        <v>13921.382881463662</v>
      </c>
      <c r="T32" s="174">
        <f t="shared" si="28"/>
        <v>13938.502764907704</v>
      </c>
      <c r="U32" s="174">
        <f t="shared" si="28"/>
        <v>13922.83229748222</v>
      </c>
      <c r="V32" s="174">
        <f t="shared" si="28"/>
        <v>13881.98022403394</v>
      </c>
      <c r="W32" s="174">
        <f t="shared" si="28"/>
        <v>13857.917541907915</v>
      </c>
      <c r="X32" s="184">
        <f t="shared" si="28"/>
        <v>13813.555394133175</v>
      </c>
      <c r="Y32" s="174">
        <f t="shared" si="28"/>
        <v>13849.146853103028</v>
      </c>
      <c r="Z32" s="174">
        <f t="shared" si="28"/>
        <v>13872.597386785746</v>
      </c>
      <c r="AA32" s="174">
        <f t="shared" si="28"/>
        <v>13899.803320207071</v>
      </c>
      <c r="AB32" s="174">
        <f t="shared" si="28"/>
        <v>13917.787726407631</v>
      </c>
      <c r="AC32" s="174">
        <f t="shared" si="28"/>
        <v>13921.441027003932</v>
      </c>
      <c r="AD32" s="174">
        <f t="shared" si="28"/>
        <v>13928.336666584099</v>
      </c>
      <c r="AE32" s="174">
        <f t="shared" si="28"/>
        <v>13925.726916420404</v>
      </c>
      <c r="AF32" s="174">
        <f t="shared" si="28"/>
        <v>13914.217365593484</v>
      </c>
      <c r="AG32" s="174">
        <f t="shared" si="28"/>
        <v>13883.272937605709</v>
      </c>
      <c r="AH32" s="184">
        <f t="shared" si="28"/>
        <v>13863.195316385751</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410</v>
      </c>
      <c r="D34" s="330">
        <f>MAX(D58*D$14,'Output - Jobs vs Yr (BAU)'!D10)</f>
        <v>688.97716689846618</v>
      </c>
      <c r="E34" s="330">
        <f>MAX(E58*E$14,'Output - Jobs vs Yr (BAU)'!E10)</f>
        <v>1124.8954474158179</v>
      </c>
      <c r="F34" s="330">
        <f>MAX(F58*F$14,'Output - Jobs vs Yr (BAU)'!F10)</f>
        <v>1597.9231808664583</v>
      </c>
      <c r="G34" s="330">
        <f>MAX(G58*G$14,'Output - Jobs vs Yr (BAU)'!G10)</f>
        <v>2804.2013371587263</v>
      </c>
      <c r="H34" s="286">
        <f>'Output - Jobs vs Yr (BAU)'!H10</f>
        <v>535.98764234655084</v>
      </c>
      <c r="I34" s="286">
        <f>MAX(I58*I$14,'Output - Jobs vs Yr (BAU)'!I10)</f>
        <v>847.31725763811505</v>
      </c>
      <c r="J34" s="286">
        <f>MAX(J58*J$14,'Output - Jobs vs Yr (BAU)'!J10)</f>
        <v>1357.1455542799097</v>
      </c>
      <c r="K34" s="286">
        <f>MAX(K58*K$14,'Output - Jobs vs Yr (BAU)'!K10)</f>
        <v>2207.0404094707833</v>
      </c>
      <c r="L34" s="286">
        <f>MAX(L58*L$14,'Output - Jobs vs Yr (BAU)'!L10)</f>
        <v>3575.0769611520568</v>
      </c>
      <c r="M34" s="286">
        <f>MAX(M58*M$14,'Output - Jobs vs Yr (BAU)'!M10)</f>
        <v>5730.537245549589</v>
      </c>
      <c r="N34" s="287">
        <f>MAX(Inputs!$E17*N$21,'Output - Jobs vs Yr (BAU)'!N10)</f>
        <v>9174.0513657240026</v>
      </c>
      <c r="O34" s="286">
        <f>MAX(O58*O$14,'Output - Jobs vs Yr (BAU)'!O10)</f>
        <v>9743.7526066935789</v>
      </c>
      <c r="P34" s="286">
        <f>MAX(P58*P$14,'Output - Jobs vs Yr (BAU)'!P10)</f>
        <v>10346.853155277804</v>
      </c>
      <c r="Q34" s="286">
        <f>MAX(Q58*Q$14,'Output - Jobs vs Yr (BAU)'!Q10)</f>
        <v>11013.808361761558</v>
      </c>
      <c r="R34" s="286">
        <f>MAX(R58*R$14,'Output - Jobs vs Yr (BAU)'!R10)</f>
        <v>11672.66063356321</v>
      </c>
      <c r="S34" s="286">
        <f>MAX(S58*S$14,'Output - Jobs vs Yr (BAU)'!S10)</f>
        <v>12386.188610876265</v>
      </c>
      <c r="T34" s="286">
        <f>MAX(T58*T$14,'Output - Jobs vs Yr (BAU)'!T10)</f>
        <v>13138.287118100456</v>
      </c>
      <c r="U34" s="286">
        <f>MAX(U58*U$14,'Output - Jobs vs Yr (BAU)'!U10)</f>
        <v>13903.41378719304</v>
      </c>
      <c r="V34" s="286">
        <f>MAX(V58*V$14,'Output - Jobs vs Yr (BAU)'!V10)</f>
        <v>14686.572573685673</v>
      </c>
      <c r="W34" s="286">
        <f>MAX(W58*W$14,'Output - Jobs vs Yr (BAU)'!W10)</f>
        <v>15532.671376399583</v>
      </c>
      <c r="X34" s="287">
        <f>Inputs!F17*'Output -Jobs vs Yr'!$X$14</f>
        <v>16403.510254768542</v>
      </c>
      <c r="Y34" s="286">
        <f>MAX(Y58*Y$14,'Output - Jobs vs Yr (BAU)'!Y10)</f>
        <v>16697.826347833921</v>
      </c>
      <c r="Z34" s="286">
        <f>MAX(Z58*Z$14,'Output - Jobs vs Yr (BAU)'!Z10)</f>
        <v>16982.506953697124</v>
      </c>
      <c r="AA34" s="286">
        <f>MAX(AA58*AA$14,'Output - Jobs vs Yr (BAU)'!AA10)</f>
        <v>17276.719359035877</v>
      </c>
      <c r="AB34" s="286">
        <f>MAX(AB58*AB$14,'Output - Jobs vs Yr (BAU)'!AB10)</f>
        <v>17564.38500215776</v>
      </c>
      <c r="AC34" s="286">
        <f>MAX(AC58*AC$14,'Output - Jobs vs Yr (BAU)'!AC10)</f>
        <v>17838.509532423599</v>
      </c>
      <c r="AD34" s="286">
        <f>MAX(AD58*AD$14,'Output - Jobs vs Yr (BAU)'!AD10)</f>
        <v>18121.192934893876</v>
      </c>
      <c r="AE34" s="286">
        <f>MAX(AE58*AE$14,'Output - Jobs vs Yr (BAU)'!AE10)</f>
        <v>18395.859636328081</v>
      </c>
      <c r="AF34" s="286">
        <f>MAX(AF58*AF$14,'Output - Jobs vs Yr (BAU)'!AF10)</f>
        <v>18662.817734533804</v>
      </c>
      <c r="AG34" s="286">
        <f>MAX(AG58*AG$14,'Output - Jobs vs Yr (BAU)'!AG10)</f>
        <v>18907.236262635699</v>
      </c>
      <c r="AH34" s="287">
        <f>Inputs!I17*'Output -Jobs vs Yr'!$AH$14</f>
        <v>19169.85533150805</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1.1845701745779944E-7</v>
      </c>
      <c r="J35" s="286">
        <f>MAX(J59*J$14,'Output - Jobs vs Yr (BAU)'!J11)</f>
        <v>1.4217089211181702E-7</v>
      </c>
      <c r="K35" s="286">
        <f>MAX(K59*K$14,'Output - Jobs vs Yr (BAU)'!K11)</f>
        <v>1.7324633805268095E-7</v>
      </c>
      <c r="L35" s="286">
        <f>MAX(L59*L$14,'Output - Jobs vs Yr (BAU)'!L11)</f>
        <v>2.1028519259834592E-7</v>
      </c>
      <c r="M35" s="286">
        <f>MAX(M59*M$14,'Output - Jobs vs Yr (BAU)'!M11)</f>
        <v>2.525737168250017E-7</v>
      </c>
      <c r="N35" s="287">
        <f>MAX(Inputs!$E19*N$21,'Output - Jobs vs Yr (BAU)'!N11)</f>
        <v>3.0298665580001582E-7</v>
      </c>
      <c r="O35" s="286">
        <f>MAX(O59*O$14,'Output - Jobs vs Yr (BAU)'!O11)</f>
        <v>3.2180188441879166E-7</v>
      </c>
      <c r="P35" s="286">
        <f>MAX(P59*P$14,'Output - Jobs vs Yr (BAU)'!P11)</f>
        <v>3.4172017471847417E-7</v>
      </c>
      <c r="Q35" s="286">
        <f>MAX(Q59*Q$14,'Output - Jobs vs Yr (BAU)'!Q11)</f>
        <v>3.6374735982187624E-7</v>
      </c>
      <c r="R35" s="286">
        <f>MAX(R59*R$14,'Output - Jobs vs Yr (BAU)'!R11)</f>
        <v>3.8550693348692648E-7</v>
      </c>
      <c r="S35" s="286">
        <f>MAX(S59*S$14,'Output - Jobs vs Yr (BAU)'!S11)</f>
        <v>4.090722534363609E-7</v>
      </c>
      <c r="T35" s="286">
        <f>MAX(T59*T$14,'Output - Jobs vs Yr (BAU)'!T11)</f>
        <v>4.3391142235440602E-7</v>
      </c>
      <c r="U35" s="286">
        <f>MAX(U59*U$14,'Output - Jobs vs Yr (BAU)'!U11)</f>
        <v>4.5918086564506633E-7</v>
      </c>
      <c r="V35" s="286">
        <f>MAX(V59*V$14,'Output - Jobs vs Yr (BAU)'!V11)</f>
        <v>4.8504584636300188E-7</v>
      </c>
      <c r="W35" s="286">
        <f>MAX(W59*W$14,'Output - Jobs vs Yr (BAU)'!W11)</f>
        <v>5.1298951448638757E-7</v>
      </c>
      <c r="X35" s="287">
        <f>Inputs!F19*'Output -Jobs vs Yr'!$X$14</f>
        <v>5.4175026030948734E-7</v>
      </c>
      <c r="Y35" s="286">
        <f>MAX(Y59*Y$14,'Output - Jobs vs Yr (BAU)'!Y11)</f>
        <v>5.5147048589261159E-7</v>
      </c>
      <c r="Z35" s="286">
        <f>MAX(Z59*Z$14,'Output - Jobs vs Yr (BAU)'!Z11)</f>
        <v>5.6087248521690992E-7</v>
      </c>
      <c r="AA35" s="286">
        <f>MAX(AA59*AA$14,'Output - Jobs vs Yr (BAU)'!AA11)</f>
        <v>5.7058928635904454E-7</v>
      </c>
      <c r="AB35" s="286">
        <f>MAX(AB59*AB$14,'Output - Jobs vs Yr (BAU)'!AB11)</f>
        <v>5.8008987096702973E-7</v>
      </c>
      <c r="AC35" s="286">
        <f>MAX(AC59*AC$14,'Output - Jobs vs Yr (BAU)'!AC11)</f>
        <v>5.8914324023508409E-7</v>
      </c>
      <c r="AD35" s="286">
        <f>MAX(AD59*AD$14,'Output - Jobs vs Yr (BAU)'!AD11)</f>
        <v>5.9847927895453601E-7</v>
      </c>
      <c r="AE35" s="286">
        <f>MAX(AE59*AE$14,'Output - Jobs vs Yr (BAU)'!AE11)</f>
        <v>6.0755055422972138E-7</v>
      </c>
      <c r="AF35" s="286">
        <f>MAX(AF59*AF$14,'Output - Jobs vs Yr (BAU)'!AF11)</f>
        <v>6.1636724144779022E-7</v>
      </c>
      <c r="AG35" s="286">
        <f>MAX(AG59*AG$14,'Output - Jobs vs Yr (BAU)'!AG11)</f>
        <v>6.2443952592636226E-7</v>
      </c>
      <c r="AH35" s="287">
        <f>Inputs!I19*'Output -Jobs vs Yr'!$AH$14</f>
        <v>6.3311291026386723E-7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198</v>
      </c>
      <c r="D37" s="330">
        <f>MAX(D61*D$14,'Output - Jobs vs Yr (BAU)'!D12)</f>
        <v>264</v>
      </c>
      <c r="E37" s="330">
        <f>MAX(E61*E$14,'Output - Jobs vs Yr (BAU)'!E12)</f>
        <v>304.3750263655042</v>
      </c>
      <c r="F37" s="330">
        <f>MAX(F61*F$14,'Output - Jobs vs Yr (BAU)'!F12)</f>
        <v>323.63875053788632</v>
      </c>
      <c r="G37" s="330">
        <f>MAX(G61*G$14,'Output - Jobs vs Yr (BAU)'!G12)</f>
        <v>425.12982364158455</v>
      </c>
      <c r="H37" s="286">
        <f>'Output - Jobs vs Yr (BAU)'!H12</f>
        <v>233.94931672333044</v>
      </c>
      <c r="I37" s="118">
        <f>MAX(I61*I$14,'Output - Jobs vs Yr (BAU)'!I12)</f>
        <v>276.83488610039439</v>
      </c>
      <c r="J37" s="118">
        <f>MAX(J61*J$14,'Output - Jobs vs Yr (BAU)'!J12)</f>
        <v>331.90130209914594</v>
      </c>
      <c r="K37" s="118">
        <f>MAX(K61*K$14,'Output - Jobs vs Yr (BAU)'!K12)</f>
        <v>404.01786979494716</v>
      </c>
      <c r="L37" s="118">
        <f>MAX(L61*L$14,'Output - Jobs vs Yr (BAU)'!L12)</f>
        <v>489.87293603089876</v>
      </c>
      <c r="M37" s="118">
        <f>MAX(M61*M$14,'Output - Jobs vs Yr (BAU)'!M12)</f>
        <v>587.761523641537</v>
      </c>
      <c r="N37" s="184">
        <f>MAX(Inputs!$E20*N$21,'Output - Jobs vs Yr (BAU)'!N12)</f>
        <v>704.3276569815763</v>
      </c>
      <c r="O37" s="174">
        <f>MAX(O61*O$14,'Output - Jobs vs Yr (BAU)'!O12)</f>
        <v>748.06584028091652</v>
      </c>
      <c r="P37" s="174">
        <f>MAX(P61*P$14,'Output - Jobs vs Yr (BAU)'!P12)</f>
        <v>794.36821851870263</v>
      </c>
      <c r="Q37" s="174">
        <f>MAX(Q61*Q$14,'Output - Jobs vs Yr (BAU)'!Q12)</f>
        <v>845.57296756223423</v>
      </c>
      <c r="R37" s="174">
        <f>MAX(R61*R$14,'Output - Jobs vs Yr (BAU)'!R12)</f>
        <v>896.15562274866772</v>
      </c>
      <c r="S37" s="174">
        <f>MAX(S61*S$14,'Output - Jobs vs Yr (BAU)'!S12)</f>
        <v>950.93594481328546</v>
      </c>
      <c r="T37" s="174">
        <f>MAX(T61*T$14,'Output - Jobs vs Yr (BAU)'!T12)</f>
        <v>1008.6774766943586</v>
      </c>
      <c r="U37" s="174">
        <f>MAX(U61*U$14,'Output - Jobs vs Yr (BAU)'!U12)</f>
        <v>1067.4192313077597</v>
      </c>
      <c r="V37" s="174">
        <f>MAX(V61*V$14,'Output - Jobs vs Yr (BAU)'!V12)</f>
        <v>1127.5453818104454</v>
      </c>
      <c r="W37" s="174">
        <f>MAX(W61*W$14,'Output - Jobs vs Yr (BAU)'!W12)</f>
        <v>1192.5036825146376</v>
      </c>
      <c r="X37" s="184">
        <f>Inputs!F20*'Output -Jobs vs Yr'!$X$14</f>
        <v>1259.3613751913635</v>
      </c>
      <c r="Y37" s="174">
        <f>MAX(Y61*Y$14,'Output - Jobs vs Yr (BAU)'!Y12)</f>
        <v>1281.9571680397887</v>
      </c>
      <c r="Z37" s="174">
        <f>MAX(Z61*Z$14,'Output - Jobs vs Yr (BAU)'!Z12)</f>
        <v>1303.81320700474</v>
      </c>
      <c r="AA37" s="174">
        <f>MAX(AA61*AA$14,'Output - Jobs vs Yr (BAU)'!AA12)</f>
        <v>1326.4010393425208</v>
      </c>
      <c r="AB37" s="174">
        <f>MAX(AB61*AB$14,'Output - Jobs vs Yr (BAU)'!AB12)</f>
        <v>1348.4862512447703</v>
      </c>
      <c r="AC37" s="174">
        <f>MAX(AC61*AC$14,'Output - Jobs vs Yr (BAU)'!AC12)</f>
        <v>1369.5318591693865</v>
      </c>
      <c r="AD37" s="174">
        <f>MAX(AD61*AD$14,'Output - Jobs vs Yr (BAU)'!AD12)</f>
        <v>1391.234565050602</v>
      </c>
      <c r="AE37" s="174">
        <f>MAX(AE61*AE$14,'Output - Jobs vs Yr (BAU)'!AE12)</f>
        <v>1412.3217975676123</v>
      </c>
      <c r="AF37" s="174">
        <f>MAX(AF61*AF$14,'Output - Jobs vs Yr (BAU)'!AF12)</f>
        <v>1432.8172105891697</v>
      </c>
      <c r="AG37" s="174">
        <f>MAX(AG61*AG$14,'Output - Jobs vs Yr (BAU)'!AG12)</f>
        <v>1451.5821730204993</v>
      </c>
      <c r="AH37" s="184">
        <f>Inputs!I20*'Output -Jobs vs Yr'!$AH$14</f>
        <v>1471.7444618592776</v>
      </c>
      <c r="AI37" s="127"/>
    </row>
    <row r="38" spans="1:36" s="20" customFormat="1">
      <c r="A38" s="9" t="s">
        <v>347</v>
      </c>
      <c r="B38" s="35">
        <v>1</v>
      </c>
      <c r="C38" s="330">
        <f>'Output - Jobs vs Yr (BAU)'!C13</f>
        <v>5.4420799999999998</v>
      </c>
      <c r="D38" s="330">
        <f>MAX(D62*D$14,'Output - Jobs vs Yr (BAU)'!D13)</f>
        <v>14.3344</v>
      </c>
      <c r="E38" s="330">
        <f>MAX(E62*E$14,'Output - Jobs vs Yr (BAU)'!E13)</f>
        <v>44.03118407052083</v>
      </c>
      <c r="F38" s="330">
        <f>MAX(F62*F$14,'Output - Jobs vs Yr (BAU)'!F13)</f>
        <v>78.423180524917385</v>
      </c>
      <c r="G38" s="330">
        <f>MAX(G62*G$14,'Output - Jobs vs Yr (BAU)'!G13)</f>
        <v>129.42578170424525</v>
      </c>
      <c r="H38" s="286">
        <f>'Output - Jobs vs Yr (BAU)'!H13</f>
        <v>172.27371020918821</v>
      </c>
      <c r="I38" s="118">
        <f>MAX(I62*I$14,'Output - Jobs vs Yr (BAU)'!I13)</f>
        <v>244.33254487401231</v>
      </c>
      <c r="J38" s="118">
        <f>MAX(J62*J$14,'Output - Jobs vs Yr (BAU)'!J13)</f>
        <v>351.10153735312008</v>
      </c>
      <c r="K38" s="118">
        <f>MAX(K62*K$14,'Output - Jobs vs Yr (BAU)'!K13)</f>
        <v>512.25667215658484</v>
      </c>
      <c r="L38" s="118">
        <f>MAX(L62*L$14,'Output - Jobs vs Yr (BAU)'!L13)</f>
        <v>744.44697661607893</v>
      </c>
      <c r="M38" s="118">
        <f>MAX(M62*M$14,'Output - Jobs vs Yr (BAU)'!M13)</f>
        <v>1070.569215305231</v>
      </c>
      <c r="N38" s="184">
        <f>MAX(Inputs!$E21*N$21,'Output - Jobs vs Yr (BAU)'!N13)</f>
        <v>1537.6291900369999</v>
      </c>
      <c r="O38" s="174">
        <f>MAX(O62*O$14,'Output - Jobs vs Yr (BAU)'!O13)</f>
        <v>1633.1147310257916</v>
      </c>
      <c r="P38" s="174">
        <f>MAX(P62*P$14,'Output - Jobs vs Yr (BAU)'!P13)</f>
        <v>1734.198207786688</v>
      </c>
      <c r="Q38" s="174">
        <f>MAX(Q62*Q$14,'Output - Jobs vs Yr (BAU)'!Q13)</f>
        <v>1845.9841301729684</v>
      </c>
      <c r="R38" s="174">
        <f>MAX(R62*R$14,'Output - Jobs vs Yr (BAU)'!R13)</f>
        <v>1956.4119493183284</v>
      </c>
      <c r="S38" s="174">
        <f>MAX(S62*S$14,'Output - Jobs vs Yr (BAU)'!S13)</f>
        <v>2076.0037634565988</v>
      </c>
      <c r="T38" s="174">
        <f>MAX(T62*T$14,'Output - Jobs vs Yr (BAU)'!T13)</f>
        <v>2202.0602430193662</v>
      </c>
      <c r="U38" s="174">
        <f>MAX(U62*U$14,'Output - Jobs vs Yr (BAU)'!U13)</f>
        <v>2330.3003251348964</v>
      </c>
      <c r="V38" s="174">
        <f>MAX(V62*V$14,'Output - Jobs vs Yr (BAU)'!V13)</f>
        <v>2461.5627044850025</v>
      </c>
      <c r="W38" s="174">
        <f>MAX(W62*W$14,'Output - Jobs vs Yr (BAU)'!W13)</f>
        <v>2603.3742297146296</v>
      </c>
      <c r="X38" s="184">
        <f>Inputs!F21*'Output -Jobs vs Yr'!$X$14</f>
        <v>2749.3323485237379</v>
      </c>
      <c r="Y38" s="174">
        <f>MAX(Y62*Y$14,'Output - Jobs vs Yr (BAU)'!Y13)</f>
        <v>2798.6615922519536</v>
      </c>
      <c r="Z38" s="174">
        <f>MAX(Z62*Z$14,'Output - Jobs vs Yr (BAU)'!Z13)</f>
        <v>2846.3758672175518</v>
      </c>
      <c r="AA38" s="174">
        <f>MAX(AA62*AA$14,'Output - Jobs vs Yr (BAU)'!AA13)</f>
        <v>2895.6877322252062</v>
      </c>
      <c r="AB38" s="174">
        <f>MAX(AB62*AB$14,'Output - Jobs vs Yr (BAU)'!AB13)</f>
        <v>2943.9023183662407</v>
      </c>
      <c r="AC38" s="174">
        <f>MAX(AC62*AC$14,'Output - Jobs vs Yr (BAU)'!AC13)</f>
        <v>2989.8473281158858</v>
      </c>
      <c r="AD38" s="174">
        <f>MAX(AD62*AD$14,'Output - Jobs vs Yr (BAU)'!AD13)</f>
        <v>3037.2268591267166</v>
      </c>
      <c r="AE38" s="174">
        <f>MAX(AE62*AE$14,'Output - Jobs vs Yr (BAU)'!AE13)</f>
        <v>3083.2627402025887</v>
      </c>
      <c r="AF38" s="174">
        <f>MAX(AF62*AF$14,'Output - Jobs vs Yr (BAU)'!AF13)</f>
        <v>3128.006610489987</v>
      </c>
      <c r="AG38" s="174">
        <f>MAX(AG62*AG$14,'Output - Jobs vs Yr (BAU)'!AG13)</f>
        <v>3168.9727058837307</v>
      </c>
      <c r="AH38" s="184">
        <f>Inputs!I21*'Output -Jobs vs Yr'!$AH$14</f>
        <v>3212.9893273370585</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1.1845701745779943E-2</v>
      </c>
      <c r="J39" s="118">
        <f>MAX(J63*J$14,'Output - Jobs vs Yr (BAU)'!J14)</f>
        <v>1.4217089211181703E-2</v>
      </c>
      <c r="K39" s="118">
        <f>MAX(K63*K$14,'Output - Jobs vs Yr (BAU)'!K14)</f>
        <v>1.7324633805268094E-2</v>
      </c>
      <c r="L39" s="118">
        <f>MAX(L63*L$14,'Output - Jobs vs Yr (BAU)'!L14)</f>
        <v>2.102851925983459E-2</v>
      </c>
      <c r="M39" s="118">
        <f>MAX(M63*M$14,'Output - Jobs vs Yr (BAU)'!M14)</f>
        <v>2.5257371682500168E-2</v>
      </c>
      <c r="N39" s="184">
        <f>MAX(Inputs!$E22*N$21,'Output - Jobs vs Yr (BAU)'!N14)</f>
        <v>3.0298665580001573E-2</v>
      </c>
      <c r="O39" s="174">
        <f>MAX(O63*O$14,'Output - Jobs vs Yr (BAU)'!O14)</f>
        <v>3.2180188441879164E-2</v>
      </c>
      <c r="P39" s="174">
        <f>MAX(P63*P$14,'Output - Jobs vs Yr (BAU)'!P14)</f>
        <v>3.4172017471847414E-2</v>
      </c>
      <c r="Q39" s="174">
        <f>MAX(Q63*Q$14,'Output - Jobs vs Yr (BAU)'!Q14)</f>
        <v>3.6374735982187614E-2</v>
      </c>
      <c r="R39" s="174">
        <f>MAX(R63*R$14,'Output - Jobs vs Yr (BAU)'!R14)</f>
        <v>3.8550693348692634E-2</v>
      </c>
      <c r="S39" s="174">
        <f>MAX(S63*S$14,'Output - Jobs vs Yr (BAU)'!S14)</f>
        <v>4.0907225343636083E-2</v>
      </c>
      <c r="T39" s="174">
        <f>MAX(T63*T$14,'Output - Jobs vs Yr (BAU)'!T14)</f>
        <v>4.3391142235440591E-2</v>
      </c>
      <c r="U39" s="174">
        <f>MAX(U63*U$14,'Output - Jobs vs Yr (BAU)'!U14)</f>
        <v>4.5918086564506619E-2</v>
      </c>
      <c r="V39" s="174">
        <f>MAX(V63*V$14,'Output - Jobs vs Yr (BAU)'!V14)</f>
        <v>4.8504584636300169E-2</v>
      </c>
      <c r="W39" s="174">
        <f>MAX(W63*W$14,'Output - Jobs vs Yr (BAU)'!W14)</f>
        <v>5.1298951448638733E-2</v>
      </c>
      <c r="X39" s="184">
        <f>Inputs!F22*'Output -Jobs vs Yr'!$X$14</f>
        <v>5.4175026030948724E-2</v>
      </c>
      <c r="Y39" s="174">
        <f>MAX(Y63*Y$14,'Output - Jobs vs Yr (BAU)'!Y14)</f>
        <v>5.5147048589261144E-2</v>
      </c>
      <c r="Z39" s="174">
        <f>MAX(Z63*Z$14,'Output - Jobs vs Yr (BAU)'!Z14)</f>
        <v>5.6087248521690981E-2</v>
      </c>
      <c r="AA39" s="174">
        <f>MAX(AA63*AA$14,'Output - Jobs vs Yr (BAU)'!AA14)</f>
        <v>5.7058928635904449E-2</v>
      </c>
      <c r="AB39" s="174">
        <f>MAX(AB63*AB$14,'Output - Jobs vs Yr (BAU)'!AB14)</f>
        <v>5.8008987096702949E-2</v>
      </c>
      <c r="AC39" s="174">
        <f>MAX(AC63*AC$14,'Output - Jobs vs Yr (BAU)'!AC14)</f>
        <v>5.8914324023508387E-2</v>
      </c>
      <c r="AD39" s="174">
        <f>MAX(AD63*AD$14,'Output - Jobs vs Yr (BAU)'!AD14)</f>
        <v>5.9847927895453581E-2</v>
      </c>
      <c r="AE39" s="174">
        <f>MAX(AE63*AE$14,'Output - Jobs vs Yr (BAU)'!AE14)</f>
        <v>6.0755055422972125E-2</v>
      </c>
      <c r="AF39" s="174">
        <f>MAX(AF63*AF$14,'Output - Jobs vs Yr (BAU)'!AF14)</f>
        <v>6.1636724144779005E-2</v>
      </c>
      <c r="AG39" s="174">
        <f>MAX(AG63*AG$14,'Output - Jobs vs Yr (BAU)'!AG14)</f>
        <v>6.2443952592636208E-2</v>
      </c>
      <c r="AH39" s="184">
        <f>Inputs!I22*'Output -Jobs vs Yr'!$AH$14</f>
        <v>6.3311291026386704E-2</v>
      </c>
      <c r="AI39" s="127"/>
    </row>
    <row r="40" spans="1:36" s="20" customFormat="1">
      <c r="A40" s="9" t="s">
        <v>344</v>
      </c>
      <c r="B40" s="35">
        <v>1</v>
      </c>
      <c r="C40" s="330">
        <f>'Output - Jobs vs Yr (BAU)'!C15</f>
        <v>0.01</v>
      </c>
      <c r="D40" s="330">
        <f>MAX(D64*D$14,'Output - Jobs vs Yr (BAU)'!D15)</f>
        <v>1.2591877533334316E-2</v>
      </c>
      <c r="E40" s="330">
        <f>MAX(E64*E$14,'Output - Jobs vs Yr (BAU)'!E15)</f>
        <v>1.5405199944756399E-2</v>
      </c>
      <c r="F40" s="330">
        <f>MAX(F64*F$14,'Output - Jobs vs Yr (BAU)'!F15)</f>
        <v>1.6397611618469633E-2</v>
      </c>
      <c r="G40" s="330">
        <f>MAX(G64*G$14,'Output - Jobs vs Yr (BAU)'!G15)</f>
        <v>2.1562713340745016E-2</v>
      </c>
      <c r="H40" s="286">
        <f>'Output - Jobs vs Yr (BAU)'!H15</f>
        <v>0.01</v>
      </c>
      <c r="I40" s="118">
        <f>MAX(I64*I$14,'Output - Jobs vs Yr (BAU)'!I15)</f>
        <v>1.1845701745779943E-2</v>
      </c>
      <c r="J40" s="118">
        <f>MAX(J64*J$14,'Output - Jobs vs Yr (BAU)'!J15)</f>
        <v>1.4217089211181703E-2</v>
      </c>
      <c r="K40" s="118">
        <f>MAX(K64*K$14,'Output - Jobs vs Yr (BAU)'!K15)</f>
        <v>1.7324633805268094E-2</v>
      </c>
      <c r="L40" s="118">
        <f>MAX(L64*L$14,'Output - Jobs vs Yr (BAU)'!L15)</f>
        <v>2.102851925983459E-2</v>
      </c>
      <c r="M40" s="118">
        <f>MAX(M64*M$14,'Output - Jobs vs Yr (BAU)'!M15)</f>
        <v>2.5257371682500168E-2</v>
      </c>
      <c r="N40" s="184">
        <f>MAX(Inputs!$E18*N$21,'Output - Jobs vs Yr (BAU)'!N15)</f>
        <v>3.0298665580001573E-2</v>
      </c>
      <c r="O40" s="174">
        <f>MAX(O64*O$14,'Output - Jobs vs Yr (BAU)'!O15)</f>
        <v>3.2180188441879164E-2</v>
      </c>
      <c r="P40" s="174">
        <f>MAX(P64*P$14,'Output - Jobs vs Yr (BAU)'!P15)</f>
        <v>3.4172017471847414E-2</v>
      </c>
      <c r="Q40" s="174">
        <f>MAX(Q64*Q$14,'Output - Jobs vs Yr (BAU)'!Q15)</f>
        <v>3.6374735982187614E-2</v>
      </c>
      <c r="R40" s="174">
        <f>MAX(R64*R$14,'Output - Jobs vs Yr (BAU)'!R15)</f>
        <v>3.8550693348692634E-2</v>
      </c>
      <c r="S40" s="174">
        <f>MAX(S64*S$14,'Output - Jobs vs Yr (BAU)'!S15)</f>
        <v>4.0907225343636083E-2</v>
      </c>
      <c r="T40" s="174">
        <f>MAX(T64*T$14,'Output - Jobs vs Yr (BAU)'!T15)</f>
        <v>4.3391142235440591E-2</v>
      </c>
      <c r="U40" s="174">
        <f>MAX(U64*U$14,'Output - Jobs vs Yr (BAU)'!U15)</f>
        <v>4.5918086564506619E-2</v>
      </c>
      <c r="V40" s="174">
        <f>MAX(V64*V$14,'Output - Jobs vs Yr (BAU)'!V15)</f>
        <v>4.8504584636300169E-2</v>
      </c>
      <c r="W40" s="174">
        <f>MAX(W64*W$14,'Output - Jobs vs Yr (BAU)'!W15)</f>
        <v>5.1298951448638733E-2</v>
      </c>
      <c r="X40" s="184">
        <f>Inputs!F18*'Output -Jobs vs Yr'!$X$14</f>
        <v>5.4175026030948724E-2</v>
      </c>
      <c r="Y40" s="174">
        <f>MAX(Y64*Y$14,'Output - Jobs vs Yr (BAU)'!Y15)</f>
        <v>5.5147048589261144E-2</v>
      </c>
      <c r="Z40" s="174">
        <f>MAX(Z64*Z$14,'Output - Jobs vs Yr (BAU)'!Z15)</f>
        <v>5.6087248521690981E-2</v>
      </c>
      <c r="AA40" s="174">
        <f>MAX(AA64*AA$14,'Output - Jobs vs Yr (BAU)'!AA15)</f>
        <v>5.7058928635904449E-2</v>
      </c>
      <c r="AB40" s="174">
        <f>MAX(AB64*AB$14,'Output - Jobs vs Yr (BAU)'!AB15)</f>
        <v>5.8008987096702949E-2</v>
      </c>
      <c r="AC40" s="174">
        <f>MAX(AC64*AC$14,'Output - Jobs vs Yr (BAU)'!AC15)</f>
        <v>5.8914324023508387E-2</v>
      </c>
      <c r="AD40" s="174">
        <f>MAX(AD64*AD$14,'Output - Jobs vs Yr (BAU)'!AD15)</f>
        <v>5.9847927895453581E-2</v>
      </c>
      <c r="AE40" s="174">
        <f>MAX(AE64*AE$14,'Output - Jobs vs Yr (BAU)'!AE15)</f>
        <v>6.0755055422972125E-2</v>
      </c>
      <c r="AF40" s="174">
        <f>MAX(AF64*AF$14,'Output - Jobs vs Yr (BAU)'!AF15)</f>
        <v>6.1636724144779005E-2</v>
      </c>
      <c r="AG40" s="174">
        <f>MAX(AG64*AG$14,'Output - Jobs vs Yr (BAU)'!AG15)</f>
        <v>6.2443952592636208E-2</v>
      </c>
      <c r="AH40" s="184">
        <f>Inputs!I18*'Output -Jobs vs Yr'!$AH$14</f>
        <v>6.3311291026386704E-2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14</v>
      </c>
      <c r="D42" s="330">
        <f>MAX(D66*D$14,'Output - Jobs vs Yr (BAU)'!D16)</f>
        <v>17.667440958219125</v>
      </c>
      <c r="E42" s="330">
        <f>MAX(E66*E$14,'Output - Jobs vs Yr (BAU)'!E16)</f>
        <v>161.45131462934285</v>
      </c>
      <c r="F42" s="330">
        <f>MAX(F66*F$14,'Output - Jobs vs Yr (BAU)'!F16)</f>
        <v>190.52200903903051</v>
      </c>
      <c r="G42" s="330">
        <f>MAX(G66*G$14,'Output - Jobs vs Yr (BAU)'!G16)</f>
        <v>218.98418114806276</v>
      </c>
      <c r="H42" s="286">
        <f>'Output - Jobs vs Yr (BAU)'!H16</f>
        <v>219.50771041626808</v>
      </c>
      <c r="I42" s="118">
        <f>MAX(I66*I$14,'Output - Jobs vs Yr (BAU)'!I16)</f>
        <v>260.59476995414781</v>
      </c>
      <c r="J42" s="118">
        <f>MAX(J66*J$14,'Output - Jobs vs Yr (BAU)'!J16)</f>
        <v>313.45175954547204</v>
      </c>
      <c r="K42" s="118">
        <f>MAX(K66*K$14,'Output - Jobs vs Yr (BAU)'!K16)</f>
        <v>382.80641667308248</v>
      </c>
      <c r="L42" s="118">
        <f>MAX(L66*L$14,'Output - Jobs vs Yr (BAU)'!L16)</f>
        <v>465.67075006109491</v>
      </c>
      <c r="M42" s="118">
        <f>MAX(M66*M$14,'Output - Jobs vs Yr (BAU)'!M16)</f>
        <v>560.54895102745775</v>
      </c>
      <c r="N42" s="184">
        <f>MAX(Inputs!$E23*N$21,'Output - Jobs vs Yr (BAU)'!N16)</f>
        <v>673.91327657758882</v>
      </c>
      <c r="O42" s="174">
        <f>MAX(O66*O$14,'Output - Jobs vs Yr (BAU)'!O16)</f>
        <v>715.76275121717458</v>
      </c>
      <c r="P42" s="174">
        <f>MAX(P66*P$14,'Output - Jobs vs Yr (BAU)'!P16)</f>
        <v>760.06569335249606</v>
      </c>
      <c r="Q42" s="174">
        <f>MAX(Q66*Q$14,'Output - Jobs vs Yr (BAU)'!Q16)</f>
        <v>809.05931139689164</v>
      </c>
      <c r="R42" s="174">
        <f>MAX(R66*R$14,'Output - Jobs vs Yr (BAU)'!R16)</f>
        <v>857.45769893256033</v>
      </c>
      <c r="S42" s="174">
        <f>MAX(S66*S$14,'Output - Jobs vs Yr (BAU)'!S16)</f>
        <v>909.87248907831747</v>
      </c>
      <c r="T42" s="174">
        <f>MAX(T66*T$14,'Output - Jobs vs Yr (BAU)'!T16)</f>
        <v>965.12061764300506</v>
      </c>
      <c r="U42" s="174">
        <f>MAX(U66*U$14,'Output - Jobs vs Yr (BAU)'!U16)</f>
        <v>1021.3257771749832</v>
      </c>
      <c r="V42" s="174">
        <f>MAX(V66*V$14,'Output - Jobs vs Yr (BAU)'!V16)</f>
        <v>1078.8555514094799</v>
      </c>
      <c r="W42" s="174">
        <f>MAX(W66*W$14,'Output - Jobs vs Yr (BAU)'!W16)</f>
        <v>1141.0088132252652</v>
      </c>
      <c r="X42" s="184">
        <f>Inputs!F23*'Output -Jobs vs Yr'!$X$14</f>
        <v>1204.979447190259</v>
      </c>
      <c r="Y42" s="174">
        <f>MAX(Y66*Y$14,'Output - Jobs vs Yr (BAU)'!Y16)</f>
        <v>1226.5995051908337</v>
      </c>
      <c r="Z42" s="174">
        <f>MAX(Z66*Z$14,'Output - Jobs vs Yr (BAU)'!Z16)</f>
        <v>1247.5117534688577</v>
      </c>
      <c r="AA42" s="174">
        <f>MAX(AA66*AA$14,'Output - Jobs vs Yr (BAU)'!AA16)</f>
        <v>1269.1241947107289</v>
      </c>
      <c r="AB42" s="174">
        <f>MAX(AB66*AB$14,'Output - Jobs vs Yr (BAU)'!AB16)</f>
        <v>1290.2557197465899</v>
      </c>
      <c r="AC42" s="174">
        <f>MAX(AC66*AC$14,'Output - Jobs vs Yr (BAU)'!AC16)</f>
        <v>1310.3925331365776</v>
      </c>
      <c r="AD42" s="174">
        <f>MAX(AD66*AD$14,'Output - Jobs vs Yr (BAU)'!AD16)</f>
        <v>1331.1580695826244</v>
      </c>
      <c r="AE42" s="174">
        <f>MAX(AE66*AE$14,'Output - Jobs vs Yr (BAU)'!AE16)</f>
        <v>1351.3347101257395</v>
      </c>
      <c r="AF42" s="174">
        <f>MAX(AF66*AF$14,'Output - Jobs vs Yr (BAU)'!AF16)</f>
        <v>1370.9450872098387</v>
      </c>
      <c r="AG42" s="174">
        <f>MAX(AG66*AG$14,'Output - Jobs vs Yr (BAU)'!AG16)</f>
        <v>1388.8997382754342</v>
      </c>
      <c r="AH42" s="184">
        <f>Inputs!I23*'Output -Jobs vs Yr'!$AH$14</f>
        <v>1408.1913761941771</v>
      </c>
      <c r="AI42" s="127"/>
    </row>
    <row r="43" spans="1:36">
      <c r="A43" s="10" t="s">
        <v>332</v>
      </c>
      <c r="B43" s="37"/>
      <c r="C43" s="330">
        <f>SUM(C31:C42)</f>
        <v>16361.442080000001</v>
      </c>
      <c r="D43" s="330">
        <f t="shared" ref="D43:AG43" si="29">SUM(D31:D42)</f>
        <v>17333.457945054561</v>
      </c>
      <c r="E43" s="330">
        <f t="shared" si="29"/>
        <v>18136.012851827494</v>
      </c>
      <c r="F43" s="330">
        <f t="shared" si="29"/>
        <v>16678.410221133905</v>
      </c>
      <c r="G43" s="330">
        <f t="shared" si="29"/>
        <v>19289.088021553842</v>
      </c>
      <c r="H43" s="286">
        <f t="shared" si="29"/>
        <v>16587.366562904986</v>
      </c>
      <c r="I43" s="83">
        <f t="shared" si="29"/>
        <v>16697.419922478064</v>
      </c>
      <c r="J43" s="83">
        <f t="shared" si="29"/>
        <v>17263.767063233016</v>
      </c>
      <c r="K43" s="83">
        <f t="shared" si="29"/>
        <v>18482.431699501678</v>
      </c>
      <c r="L43" s="83">
        <f t="shared" si="29"/>
        <v>20255.304600431409</v>
      </c>
      <c r="M43" s="83">
        <f t="shared" si="29"/>
        <v>22773.439153525294</v>
      </c>
      <c r="N43" s="184">
        <f t="shared" si="29"/>
        <v>26737.432510108327</v>
      </c>
      <c r="O43" s="83">
        <f t="shared" si="29"/>
        <v>27526.915160476274</v>
      </c>
      <c r="P43" s="83">
        <f t="shared" si="29"/>
        <v>28357.567429547769</v>
      </c>
      <c r="Q43" s="83">
        <f t="shared" si="29"/>
        <v>29307.926668025444</v>
      </c>
      <c r="R43" s="83">
        <f t="shared" si="29"/>
        <v>30183.075581307552</v>
      </c>
      <c r="S43" s="83">
        <f t="shared" si="29"/>
        <v>31148.402578233974</v>
      </c>
      <c r="T43" s="83">
        <f t="shared" si="29"/>
        <v>32158.768940412217</v>
      </c>
      <c r="U43" s="83">
        <f t="shared" si="29"/>
        <v>33151.413192078471</v>
      </c>
      <c r="V43" s="83">
        <f t="shared" si="29"/>
        <v>34141.026007280518</v>
      </c>
      <c r="W43" s="83">
        <f t="shared" si="29"/>
        <v>35231.449118581309</v>
      </c>
      <c r="X43" s="184">
        <f t="shared" si="29"/>
        <v>36332.875782885138</v>
      </c>
      <c r="Y43" s="174">
        <f t="shared" si="29"/>
        <v>36759.610703174279</v>
      </c>
      <c r="Z43" s="174">
        <f t="shared" si="29"/>
        <v>37160.72875104619</v>
      </c>
      <c r="AA43" s="174">
        <f t="shared" si="29"/>
        <v>37578.404244333913</v>
      </c>
      <c r="AB43" s="174">
        <f t="shared" si="29"/>
        <v>37977.639770109694</v>
      </c>
      <c r="AC43" s="174">
        <f t="shared" si="29"/>
        <v>38343.780908132663</v>
      </c>
      <c r="AD43" s="174">
        <f t="shared" si="29"/>
        <v>38724.651391430118</v>
      </c>
      <c r="AE43" s="174">
        <f t="shared" si="29"/>
        <v>39084.842705518953</v>
      </c>
      <c r="AF43" s="174">
        <f t="shared" si="29"/>
        <v>39425.405264616209</v>
      </c>
      <c r="AG43" s="174">
        <f t="shared" si="29"/>
        <v>39715.58409176048</v>
      </c>
      <c r="AH43" s="184">
        <f>SUM(AH31:AH42)</f>
        <v>40041.311457666481</v>
      </c>
      <c r="AI43" s="127"/>
    </row>
    <row r="44" spans="1:36">
      <c r="A44" s="10" t="s">
        <v>124</v>
      </c>
      <c r="B44" s="37"/>
      <c r="C44" s="331">
        <f>SUMPRODUCT($B34:$B42,C34:C42)</f>
        <v>627.45208000000002</v>
      </c>
      <c r="D44" s="331">
        <f>SUMPRODUCT($B34:$B42,D34:D42)</f>
        <v>984.99159973421854</v>
      </c>
      <c r="E44" s="331">
        <f t="shared" ref="E44:AG44" si="30">SUMPRODUCT($B34:$B42*E34:E42)</f>
        <v>1634.7783777811305</v>
      </c>
      <c r="F44" s="331">
        <f t="shared" si="30"/>
        <v>2190.5335186799111</v>
      </c>
      <c r="G44" s="331">
        <f t="shared" si="30"/>
        <v>3577.7726864659599</v>
      </c>
      <c r="H44" s="402">
        <f t="shared" si="30"/>
        <v>1162.7383797953376</v>
      </c>
      <c r="I44" s="14">
        <f>SUMPRODUCT($B34:$B42*I34:I42)</f>
        <v>1631.1031500886181</v>
      </c>
      <c r="J44" s="14">
        <f t="shared" si="30"/>
        <v>2356.6285875982408</v>
      </c>
      <c r="K44" s="14">
        <f t="shared" si="30"/>
        <v>3510.1560175362551</v>
      </c>
      <c r="L44" s="14">
        <f t="shared" si="30"/>
        <v>5280.1096811089337</v>
      </c>
      <c r="M44" s="14">
        <f t="shared" si="30"/>
        <v>7955.4674505197536</v>
      </c>
      <c r="N44" s="182">
        <f t="shared" si="30"/>
        <v>12096.982086954316</v>
      </c>
      <c r="O44" s="14">
        <f t="shared" si="30"/>
        <v>12848.760289916147</v>
      </c>
      <c r="P44" s="14">
        <f t="shared" si="30"/>
        <v>13644.553619312355</v>
      </c>
      <c r="Q44" s="14">
        <f t="shared" si="30"/>
        <v>14524.497520729363</v>
      </c>
      <c r="R44" s="14">
        <f t="shared" si="30"/>
        <v>15393.76300633497</v>
      </c>
      <c r="S44" s="14">
        <f t="shared" si="30"/>
        <v>16335.082623084227</v>
      </c>
      <c r="T44" s="14">
        <f t="shared" si="30"/>
        <v>17327.232238175566</v>
      </c>
      <c r="U44" s="14">
        <f t="shared" si="30"/>
        <v>18336.550957442989</v>
      </c>
      <c r="V44" s="14">
        <f t="shared" si="30"/>
        <v>19369.633221044922</v>
      </c>
      <c r="W44" s="14">
        <f t="shared" si="30"/>
        <v>20485.660700270004</v>
      </c>
      <c r="X44" s="187">
        <f t="shared" si="30"/>
        <v>21634.291776267717</v>
      </c>
      <c r="Y44" s="14">
        <f t="shared" si="30"/>
        <v>22023.154907965141</v>
      </c>
      <c r="Z44" s="14">
        <f t="shared" si="30"/>
        <v>22399.319956446187</v>
      </c>
      <c r="AA44" s="14">
        <f t="shared" si="30"/>
        <v>22788.046443742194</v>
      </c>
      <c r="AB44" s="14">
        <f t="shared" si="30"/>
        <v>23168.145310069642</v>
      </c>
      <c r="AC44" s="14">
        <f t="shared" si="30"/>
        <v>23530.39908208264</v>
      </c>
      <c r="AD44" s="14">
        <f t="shared" si="30"/>
        <v>23903.932125108091</v>
      </c>
      <c r="AE44" s="14">
        <f t="shared" si="30"/>
        <v>24266.900394942419</v>
      </c>
      <c r="AF44" s="14">
        <f t="shared" si="30"/>
        <v>24619.709916887456</v>
      </c>
      <c r="AG44" s="14">
        <f t="shared" si="30"/>
        <v>24942.81576834499</v>
      </c>
      <c r="AH44" s="187">
        <f>SUMPRODUCT($B34:$B42*AH34:AH42)</f>
        <v>25289.907120113727</v>
      </c>
      <c r="AI44" s="127"/>
    </row>
    <row r="45" spans="1:36">
      <c r="A45" s="10" t="s">
        <v>117</v>
      </c>
      <c r="B45" s="37"/>
      <c r="C45" s="332">
        <f t="shared" ref="C45:AG45" si="31">C44/C14</f>
        <v>4.6118548790168466E-3</v>
      </c>
      <c r="D45" s="332">
        <f t="shared" si="31"/>
        <v>6.8715230475933321E-3</v>
      </c>
      <c r="E45" s="332">
        <f t="shared" si="31"/>
        <v>1.1140852380269394E-2</v>
      </c>
      <c r="F45" s="332">
        <f t="shared" si="31"/>
        <v>1.6761469212313033E-2</v>
      </c>
      <c r="G45" s="332">
        <f t="shared" si="31"/>
        <v>2.4881010456499354E-2</v>
      </c>
      <c r="H45" s="284">
        <f t="shared" si="31"/>
        <v>8.0997097651039872E-3</v>
      </c>
      <c r="I45" s="23">
        <f t="shared" si="31"/>
        <v>1.1463678147114407E-2</v>
      </c>
      <c r="J45" s="23">
        <f t="shared" si="31"/>
        <v>1.6493001822328889E-2</v>
      </c>
      <c r="K45" s="23">
        <f t="shared" si="31"/>
        <v>2.4093367928871984E-2</v>
      </c>
      <c r="L45" s="23">
        <f t="shared" si="31"/>
        <v>3.5684967860282517E-2</v>
      </c>
      <c r="M45" s="23">
        <f t="shared" si="31"/>
        <v>5.3498857649231367E-2</v>
      </c>
      <c r="N45" s="178">
        <f t="shared" si="31"/>
        <v>8.1046898332513828E-2</v>
      </c>
      <c r="O45" s="23">
        <f t="shared" si="31"/>
        <v>8.560907582679346E-2</v>
      </c>
      <c r="P45" s="23">
        <f t="shared" si="31"/>
        <v>9.0427428115542163E-2</v>
      </c>
      <c r="Q45" s="207">
        <f t="shared" si="31"/>
        <v>9.5516199765091944E-2</v>
      </c>
      <c r="R45" s="207">
        <f t="shared" si="31"/>
        <v>0.10089105712836541</v>
      </c>
      <c r="S45" s="207">
        <f t="shared" si="31"/>
        <v>0.10656772236454863</v>
      </c>
      <c r="T45" s="207">
        <f t="shared" si="31"/>
        <v>0.1125632922367964</v>
      </c>
      <c r="U45" s="207">
        <f t="shared" si="31"/>
        <v>0.11889588999667587</v>
      </c>
      <c r="V45" s="207">
        <f t="shared" si="31"/>
        <v>0.12558445457746206</v>
      </c>
      <c r="W45" s="207">
        <f t="shared" si="31"/>
        <v>0.13264872053311805</v>
      </c>
      <c r="X45" s="185">
        <f t="shared" si="31"/>
        <v>0.14011009704752253</v>
      </c>
      <c r="Y45" s="172">
        <f t="shared" si="31"/>
        <v>0.14199803474077335</v>
      </c>
      <c r="Z45" s="172">
        <f t="shared" si="31"/>
        <v>0.14391132353898567</v>
      </c>
      <c r="AA45" s="172">
        <f t="shared" si="31"/>
        <v>0.14585017247695717</v>
      </c>
      <c r="AB45" s="172">
        <f t="shared" si="31"/>
        <v>0.1478150466811351</v>
      </c>
      <c r="AC45" s="172">
        <f t="shared" si="31"/>
        <v>0.14980635853900676</v>
      </c>
      <c r="AD45" s="172">
        <f t="shared" si="31"/>
        <v>0.15182429620029395</v>
      </c>
      <c r="AE45" s="172">
        <f t="shared" si="31"/>
        <v>0.15386935347425595</v>
      </c>
      <c r="AF45" s="172">
        <f t="shared" si="31"/>
        <v>0.1559418995655264</v>
      </c>
      <c r="AG45" s="172">
        <f t="shared" si="31"/>
        <v>0.15804243990458217</v>
      </c>
      <c r="AH45" s="185">
        <f>AH44/AH14</f>
        <v>0.16017100169744755</v>
      </c>
      <c r="AI45" s="127"/>
    </row>
    <row r="46" spans="1:36" s="252" customFormat="1">
      <c r="A46" s="10" t="s">
        <v>333</v>
      </c>
      <c r="B46" s="37"/>
      <c r="C46" s="330">
        <f>SUM(EIA_electricity_aeo2014!E50,EIA_electricity_aeo2014!E55)*1000</f>
        <v>1323</v>
      </c>
      <c r="D46" s="330">
        <f>SUM(EIA_electricity_aeo2014!F50,EIA_electricity_aeo2014!F55)*1000</f>
        <v>1454</v>
      </c>
      <c r="E46" s="330">
        <f>SUM(EIA_electricity_aeo2014!G50,EIA_electricity_aeo2014!G55)*1000</f>
        <v>1430.4609557568697</v>
      </c>
      <c r="F46" s="330">
        <f>SUM(EIA_electricity_aeo2014!H50,EIA_electricity_aeo2014!H55)*1000</f>
        <v>1071.9205723238395</v>
      </c>
      <c r="G46" s="330">
        <f>SUM(EIA_electricity_aeo2014!I50,EIA_electricity_aeo2014!I55)*1000</f>
        <v>746.09625484807077</v>
      </c>
      <c r="H46" s="286">
        <f>SUM(EIA_electricity_aeo2014!J50,EIA_electricity_aeo2014!J55)*1000</f>
        <v>746.1748645999869</v>
      </c>
      <c r="I46" s="286">
        <f>SUM(EIA_electricity_aeo2014!K50,EIA_electricity_aeo2014!K55)*1000</f>
        <v>736.26347657865779</v>
      </c>
      <c r="J46" s="286">
        <f>SUM(EIA_electricity_aeo2014!L50,EIA_electricity_aeo2014!L55)*1000</f>
        <v>711.05326974459592</v>
      </c>
      <c r="K46" s="286">
        <f>SUM(EIA_electricity_aeo2014!M50,EIA_electricity_aeo2014!M55)*1000</f>
        <v>726.14341493791267</v>
      </c>
      <c r="L46" s="286">
        <f>SUM(EIA_electricity_aeo2014!N50,EIA_electricity_aeo2014!N55)*1000</f>
        <v>740.36830788446503</v>
      </c>
      <c r="M46" s="286">
        <f>SUM(EIA_electricity_aeo2014!O50,EIA_electricity_aeo2014!O55)*1000</f>
        <v>748.68345070061957</v>
      </c>
      <c r="N46" s="286">
        <f>SUM(EIA_electricity_aeo2014!P50,EIA_electricity_aeo2014!P55)*1000</f>
        <v>752.27648308000914</v>
      </c>
      <c r="O46" s="286">
        <f>SUM(EIA_electricity_aeo2014!Q50,EIA_electricity_aeo2014!Q55)*1000</f>
        <v>759.01750880657528</v>
      </c>
      <c r="P46" s="286">
        <f>SUM(EIA_electricity_aeo2014!R50,EIA_electricity_aeo2014!R55)*1000</f>
        <v>763.45350448340139</v>
      </c>
      <c r="Q46" s="286">
        <f>SUM(EIA_electricity_aeo2014!S50,EIA_electricity_aeo2014!S55)*1000</f>
        <v>764.80908021586674</v>
      </c>
      <c r="R46" s="286">
        <f>SUM(EIA_electricity_aeo2014!T50,EIA_electricity_aeo2014!T55)*1000</f>
        <v>760.65958380821178</v>
      </c>
      <c r="S46" s="286">
        <f>SUM(EIA_electricity_aeo2014!U50,EIA_electricity_aeo2014!U55)*1000</f>
        <v>758.11203745379373</v>
      </c>
      <c r="T46" s="286">
        <f>SUM(EIA_electricity_aeo2014!V50,EIA_electricity_aeo2014!V55)*1000</f>
        <v>754.49994673183301</v>
      </c>
      <c r="U46" s="286">
        <f>SUM(EIA_electricity_aeo2014!W50,EIA_electricity_aeo2014!W55)*1000</f>
        <v>752.27402688376333</v>
      </c>
      <c r="V46" s="286">
        <f>SUM(EIA_electricity_aeo2014!X50,EIA_electricity_aeo2014!X55)*1000</f>
        <v>750.30105442561694</v>
      </c>
      <c r="W46" s="286">
        <f>SUM(EIA_electricity_aeo2014!Y50,EIA_electricity_aeo2014!Y55)*1000</f>
        <v>750.3865421202363</v>
      </c>
      <c r="X46" s="286">
        <f>SUM(EIA_electricity_aeo2014!Z50,EIA_electricity_aeo2014!Z55)*1000</f>
        <v>754.05892429770745</v>
      </c>
      <c r="Y46" s="286">
        <f>SUM(EIA_electricity_aeo2014!AA50,EIA_electricity_aeo2014!AA55)*1000</f>
        <v>749.48731109873643</v>
      </c>
      <c r="Z46" s="286">
        <f>SUM(EIA_electricity_aeo2014!AB50,EIA_electricity_aeo2014!AB55)*1000</f>
        <v>747.24868701997309</v>
      </c>
      <c r="AA46" s="286">
        <f>SUM(EIA_electricity_aeo2014!AC50,EIA_electricity_aeo2014!AC55)*1000</f>
        <v>747.32768295086157</v>
      </c>
      <c r="AB46" s="286">
        <f>SUM(EIA_electricity_aeo2014!AD50,EIA_electricity_aeo2014!AD55)*1000</f>
        <v>748.3877826094888</v>
      </c>
      <c r="AC46" s="286">
        <f>SUM(EIA_electricity_aeo2014!AE50,EIA_electricity_aeo2014!AE55)*1000</f>
        <v>747.80970783222324</v>
      </c>
      <c r="AD46" s="286">
        <f>SUM(EIA_electricity_aeo2014!AF50,EIA_electricity_aeo2014!AF55)*1000</f>
        <v>747.30605601018488</v>
      </c>
      <c r="AE46" s="286">
        <f>SUM(EIA_electricity_aeo2014!AG50,EIA_electricity_aeo2014!AG55)*1000</f>
        <v>747.06774910207696</v>
      </c>
      <c r="AF46" s="286">
        <f>SUM(EIA_electricity_aeo2014!AH50,EIA_electricity_aeo2014!AH55)*1000</f>
        <v>746.55931126512212</v>
      </c>
      <c r="AG46" s="286">
        <f>SUM(EIA_electricity_aeo2014!AI50,EIA_electricity_aeo2014!AI55)*1000</f>
        <v>747.1302233392978</v>
      </c>
      <c r="AH46" s="286">
        <f>SUM(EIA_electricity_aeo2014!AJ50,EIA_electricity_aeo2014!AJ55)*1000</f>
        <v>746.48361602816817</v>
      </c>
      <c r="AI46" s="292"/>
    </row>
    <row r="47" spans="1:36" s="252" customFormat="1">
      <c r="A47" s="10" t="s">
        <v>142</v>
      </c>
      <c r="B47" s="37"/>
      <c r="C47" s="330">
        <f>(C$14-C$43-C$46)*0.7</f>
        <v>82857.290543999989</v>
      </c>
      <c r="D47" s="330">
        <f>(D$14-D$30-D$43-D$46)*EIA_electricity_aeo2014!F60</f>
        <v>117451.32876572643</v>
      </c>
      <c r="E47" s="330">
        <f>(E$14-E$30-E$43-E$46)*EIA_electricity_aeo2014!G60</f>
        <v>120192.79878655961</v>
      </c>
      <c r="F47" s="330">
        <f>(F$14-F$30-F$43-F$46)*EIA_electricity_aeo2014!H60</f>
        <v>102883.6919528313</v>
      </c>
      <c r="G47" s="330">
        <f>(G$14-G$30-G$43-G$46)*EIA_electricity_aeo2014!I60</f>
        <v>115779.89369679836</v>
      </c>
      <c r="H47" s="286">
        <f>(H$14-H$30-H$43-H$46)*EIA_electricity_aeo2014!J60</f>
        <v>118370.40009452369</v>
      </c>
      <c r="I47" s="286">
        <f>(I$14-I$30-I$43-I$46)*EIA_electricity_aeo2014!K60</f>
        <v>116139.98441384577</v>
      </c>
      <c r="J47" s="286">
        <f>(J$14-J$30-J$43-J$46)*EIA_electricity_aeo2014!L60</f>
        <v>114924.27677351508</v>
      </c>
      <c r="K47" s="286">
        <f>(K$14-K$30-K$43-K$46)*EIA_electricity_aeo2014!M60</f>
        <v>116266.02466876141</v>
      </c>
      <c r="L47" s="286">
        <f>(L$14-L$30-L$43-L$46)*EIA_electricity_aeo2014!N60</f>
        <v>116601.65956702072</v>
      </c>
      <c r="M47" s="286">
        <f>(M$14-M$30-M$43-M$46)*EIA_electricity_aeo2014!O60</f>
        <v>114895.48617301206</v>
      </c>
      <c r="N47" s="287">
        <f>(N$14-N$43-N$46)*EIA_electricity_aeo2014!P60 - N30</f>
        <v>111725.66535200682</v>
      </c>
      <c r="O47" s="286">
        <f>(O$14-O$43-O$46)*EIA_electricity_aeo2014!Q60 - O30</f>
        <v>111994.77244337907</v>
      </c>
      <c r="P47" s="286">
        <f>(P$14-P$43-P$46)*EIA_electricity_aeo2014!R60 - P30</f>
        <v>111870.66086756004</v>
      </c>
      <c r="Q47" s="286">
        <f>(Q$14-Q$43-Q$46)*EIA_electricity_aeo2014!S60 - Q30</f>
        <v>111707.9120131713</v>
      </c>
      <c r="R47" s="286">
        <f>(R$14-R$43-R$46)*EIA_electricity_aeo2014!T60 - R30</f>
        <v>111465.68247630715</v>
      </c>
      <c r="S47" s="286">
        <f>(S$14-S$43-S$46)*EIA_electricity_aeo2014!U60 - S30</f>
        <v>111244.96754117699</v>
      </c>
      <c r="T47" s="286">
        <f>(T$14-T$43-T$46)*EIA_electricity_aeo2014!V60 - T30</f>
        <v>110406.36041327295</v>
      </c>
      <c r="U47" s="286">
        <f>(U$14-U$43-U$46)*EIA_electricity_aeo2014!W60 - U30</f>
        <v>109603.95778614892</v>
      </c>
      <c r="V47" s="286">
        <f>(V$14-V$43-V$46)*EIA_electricity_aeo2014!X60 - V30</f>
        <v>108773.89772966201</v>
      </c>
      <c r="W47" s="286">
        <f>(W$14-W$43-W$46)*EIA_electricity_aeo2014!Y60 - W30</f>
        <v>107829.24117831216</v>
      </c>
      <c r="X47" s="287">
        <f>(X$14-X$43-X$46)*EIA_electricity_aeo2014!Z60 - X30</f>
        <v>106838.42659679744</v>
      </c>
      <c r="Y47" s="286">
        <f>(Y$14-Y$43-Y$46)*EIA_electricity_aeo2014!AA60 - Y30</f>
        <v>106503.55582760015</v>
      </c>
      <c r="Z47" s="286">
        <f>(Z$14-Z$43-Z$46)*EIA_electricity_aeo2014!AB60 - Z30</f>
        <v>106136.25047595779</v>
      </c>
      <c r="AA47" s="286">
        <f>(AA$14-AA$43-AA$46)*EIA_electricity_aeo2014!AC60 - AA30</f>
        <v>105751.62389972183</v>
      </c>
      <c r="AB47" s="286">
        <f>(AB$14-AB$43-AB$46)*EIA_electricity_aeo2014!AD60 - AB30</f>
        <v>105424.57862397651</v>
      </c>
      <c r="AC47" s="286">
        <f>(AC$14-AC$43-AC$46)*EIA_electricity_aeo2014!AE60 - AC30</f>
        <v>105080.77432441674</v>
      </c>
      <c r="AD47" s="286">
        <f>(AD$14-AD$43-AD$46)*EIA_electricity_aeo2014!AF60 - AD30</f>
        <v>104715.42972523706</v>
      </c>
      <c r="AE47" s="286">
        <f>(AE$14-AE$43-AE$46)*EIA_electricity_aeo2014!AG60 - AE30</f>
        <v>104352.41598231554</v>
      </c>
      <c r="AF47" s="286">
        <f>(AF$14-AF$43-AF$46)*EIA_electricity_aeo2014!AH60 - AF30</f>
        <v>104002.77518751036</v>
      </c>
      <c r="AG47" s="286">
        <f>(AG$14-AG$43-AG$46)*EIA_electricity_aeo2014!AI60 - AG30</f>
        <v>103676.16779027312</v>
      </c>
      <c r="AH47" s="287">
        <f>(AH$14-AH$43-AH$46)*EIA_electricity_aeo2014!AJ60 - AH30</f>
        <v>103341.82873109877</v>
      </c>
      <c r="AI47" s="292"/>
      <c r="AJ47" s="398"/>
    </row>
    <row r="48" spans="1:36" s="252" customFormat="1">
      <c r="A48" s="10" t="s">
        <v>222</v>
      </c>
      <c r="B48" s="37"/>
      <c r="C48" s="330">
        <f>(C$14-C$43-C$46)* 0.3</f>
        <v>35510.267375999996</v>
      </c>
      <c r="D48" s="330">
        <f t="shared" ref="D48:AH48" si="32">(D$14-SUM(D30:D42,D46:D47))</f>
        <v>7105.2132892190129</v>
      </c>
      <c r="E48" s="330">
        <f t="shared" si="32"/>
        <v>6978.0076409254689</v>
      </c>
      <c r="F48" s="330">
        <f>(F$14-SUM(F30:F42,F46:F47))</f>
        <v>10054.611461906607</v>
      </c>
      <c r="G48" s="330">
        <f t="shared" si="32"/>
        <v>7980.2350315166696</v>
      </c>
      <c r="H48" s="286">
        <f t="shared" si="32"/>
        <v>7849.1503189615032</v>
      </c>
      <c r="I48" s="286">
        <f t="shared" si="32"/>
        <v>8710.7830550061772</v>
      </c>
      <c r="J48" s="286">
        <f t="shared" si="32"/>
        <v>9987.4806666172517</v>
      </c>
      <c r="K48" s="286">
        <f t="shared" si="32"/>
        <v>10215.119806807168</v>
      </c>
      <c r="L48" s="286">
        <f t="shared" si="32"/>
        <v>10367.202669606399</v>
      </c>
      <c r="M48" s="286">
        <f t="shared" si="32"/>
        <v>10285.892570029624</v>
      </c>
      <c r="N48" s="287">
        <f t="shared" si="32"/>
        <v>10043.663765351928</v>
      </c>
      <c r="O48" s="286">
        <f t="shared" si="32"/>
        <v>9805.7216572298203</v>
      </c>
      <c r="P48" s="286">
        <f t="shared" si="32"/>
        <v>9897.8646961622289</v>
      </c>
      <c r="Q48" s="286">
        <f t="shared" si="32"/>
        <v>10282.536875855527</v>
      </c>
      <c r="R48" s="286">
        <f t="shared" si="32"/>
        <v>10168.654632606514</v>
      </c>
      <c r="S48" s="286">
        <f t="shared" si="32"/>
        <v>10132.103722965781</v>
      </c>
      <c r="T48" s="286">
        <f t="shared" si="32"/>
        <v>10613.610336219863</v>
      </c>
      <c r="U48" s="286">
        <f t="shared" si="32"/>
        <v>10715.944708171999</v>
      </c>
      <c r="V48" s="286">
        <f t="shared" si="32"/>
        <v>10570.689886252163</v>
      </c>
      <c r="W48" s="286">
        <f t="shared" si="32"/>
        <v>10624.341896558646</v>
      </c>
      <c r="X48" s="287">
        <f t="shared" si="32"/>
        <v>10483.86566936053</v>
      </c>
      <c r="Y48" s="286">
        <f t="shared" si="32"/>
        <v>11082.132844223175</v>
      </c>
      <c r="Z48" s="286">
        <f t="shared" si="32"/>
        <v>11602.453706399043</v>
      </c>
      <c r="AA48" s="286">
        <f t="shared" si="32"/>
        <v>12165.492959082243</v>
      </c>
      <c r="AB48" s="286">
        <f t="shared" si="32"/>
        <v>12586.788494955661</v>
      </c>
      <c r="AC48" s="286">
        <f t="shared" si="32"/>
        <v>12899.73341087607</v>
      </c>
      <c r="AD48" s="286">
        <f t="shared" si="32"/>
        <v>13257.321766219131</v>
      </c>
      <c r="AE48" s="286">
        <f t="shared" si="32"/>
        <v>13526.743682055909</v>
      </c>
      <c r="AF48" s="286">
        <f t="shared" si="32"/>
        <v>13702.713220578909</v>
      </c>
      <c r="AG48" s="286">
        <f t="shared" si="32"/>
        <v>13684.64797556086</v>
      </c>
      <c r="AH48" s="287">
        <f t="shared" si="32"/>
        <v>13763.545695917419</v>
      </c>
      <c r="AI48" s="292"/>
    </row>
    <row r="49" spans="1:35" s="252" customFormat="1">
      <c r="A49" s="10" t="s">
        <v>334</v>
      </c>
      <c r="B49" s="37"/>
      <c r="C49" s="330">
        <f>SUM(C43,C46:C48)</f>
        <v>136052</v>
      </c>
      <c r="D49" s="330">
        <f t="shared" ref="D49:M49" si="33">SUM(D43,D46:D48)+D30</f>
        <v>143344</v>
      </c>
      <c r="E49" s="330">
        <f t="shared" si="33"/>
        <v>146737.28023506945</v>
      </c>
      <c r="F49" s="330">
        <f t="shared" si="33"/>
        <v>130688.63420819565</v>
      </c>
      <c r="G49" s="330">
        <f t="shared" si="33"/>
        <v>143795.31300471694</v>
      </c>
      <c r="H49" s="286">
        <f>SUM(H43,H46:H48)+H30</f>
        <v>143553.09184099018</v>
      </c>
      <c r="I49" s="286">
        <f t="shared" si="33"/>
        <v>142284.45086790866</v>
      </c>
      <c r="J49" s="286">
        <f t="shared" si="33"/>
        <v>142886.57777310995</v>
      </c>
      <c r="K49" s="286">
        <f t="shared" si="33"/>
        <v>145689.71959000817</v>
      </c>
      <c r="L49" s="286">
        <f t="shared" si="33"/>
        <v>147964.53514494299</v>
      </c>
      <c r="M49" s="286">
        <f t="shared" si="33"/>
        <v>148703.50134726759</v>
      </c>
      <c r="N49" s="287">
        <f t="shared" ref="N49:AH49" si="34">SUM(N43,N46:N48)+N30</f>
        <v>149259.03811054709</v>
      </c>
      <c r="O49" s="286">
        <f t="shared" si="34"/>
        <v>150086.42676989175</v>
      </c>
      <c r="P49" s="286">
        <f t="shared" si="34"/>
        <v>150889.54649775344</v>
      </c>
      <c r="Q49" s="286">
        <f t="shared" si="34"/>
        <v>152063.18463726813</v>
      </c>
      <c r="R49" s="286">
        <f t="shared" si="34"/>
        <v>152578.07227402943</v>
      </c>
      <c r="S49" s="286">
        <f t="shared" si="34"/>
        <v>153283.58587983053</v>
      </c>
      <c r="T49" s="286">
        <f t="shared" si="34"/>
        <v>153933.23963663686</v>
      </c>
      <c r="U49" s="286">
        <f t="shared" si="34"/>
        <v>154223.58971328317</v>
      </c>
      <c r="V49" s="286">
        <f t="shared" si="34"/>
        <v>154235.91467762031</v>
      </c>
      <c r="W49" s="286">
        <f t="shared" si="34"/>
        <v>154435.41873557237</v>
      </c>
      <c r="X49" s="287">
        <f t="shared" si="34"/>
        <v>154409.22697334082</v>
      </c>
      <c r="Y49" s="286">
        <f t="shared" si="34"/>
        <v>155094.78668609634</v>
      </c>
      <c r="Z49" s="286">
        <f t="shared" si="34"/>
        <v>155646.68162042298</v>
      </c>
      <c r="AA49" s="286">
        <f t="shared" si="34"/>
        <v>156242.84878608884</v>
      </c>
      <c r="AB49" s="286">
        <f t="shared" si="34"/>
        <v>156737.39467165136</v>
      </c>
      <c r="AC49" s="286">
        <f t="shared" si="34"/>
        <v>157072.09835125768</v>
      </c>
      <c r="AD49" s="286">
        <f t="shared" si="34"/>
        <v>157444.70893889651</v>
      </c>
      <c r="AE49" s="286">
        <f t="shared" si="34"/>
        <v>157711.07011899247</v>
      </c>
      <c r="AF49" s="286">
        <f t="shared" si="34"/>
        <v>157877.45298397058</v>
      </c>
      <c r="AG49" s="286">
        <f t="shared" si="34"/>
        <v>157823.53008093376</v>
      </c>
      <c r="AH49" s="287">
        <f t="shared" si="34"/>
        <v>157893.16950071082</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0.56982761095352252</v>
      </c>
      <c r="E51" s="332">
        <f t="shared" ref="E51:X51" si="36">E44/D44-1</f>
        <v>0.65968763411002151</v>
      </c>
      <c r="F51" s="332">
        <f t="shared" si="36"/>
        <v>0.33995748197569253</v>
      </c>
      <c r="G51" s="332">
        <f>G44/F44-1</f>
        <v>0.63328826331863008</v>
      </c>
      <c r="H51" s="284"/>
      <c r="I51" s="164">
        <f t="shared" ref="I51:N51" si="37">I44/H44-1</f>
        <v>0.40281182631618395</v>
      </c>
      <c r="J51" s="172">
        <f t="shared" si="37"/>
        <v>0.44480659452481874</v>
      </c>
      <c r="K51" s="172">
        <f t="shared" si="37"/>
        <v>0.48948206603639322</v>
      </c>
      <c r="L51" s="172">
        <f t="shared" si="37"/>
        <v>0.5042378899200588</v>
      </c>
      <c r="M51" s="172">
        <f t="shared" si="37"/>
        <v>0.50668602187993539</v>
      </c>
      <c r="N51" s="172">
        <f t="shared" si="37"/>
        <v>0.52058721403781072</v>
      </c>
      <c r="O51" s="172">
        <f t="shared" ref="O51:R51" si="38">O44/N44-1</f>
        <v>6.2145930080574896E-2</v>
      </c>
      <c r="P51" s="172">
        <f t="shared" si="38"/>
        <v>6.1935417226264056E-2</v>
      </c>
      <c r="Q51" s="172">
        <f t="shared" si="38"/>
        <v>6.4490486531676883E-2</v>
      </c>
      <c r="R51" s="172">
        <f t="shared" si="38"/>
        <v>5.9848231194572499E-2</v>
      </c>
      <c r="S51" s="164">
        <f t="shared" si="36"/>
        <v>6.1149415926559092E-2</v>
      </c>
      <c r="T51" s="164">
        <f t="shared" si="36"/>
        <v>6.0737349053212819E-2</v>
      </c>
      <c r="U51" s="164">
        <f t="shared" si="36"/>
        <v>5.8250429462339604E-2</v>
      </c>
      <c r="V51" s="164">
        <f t="shared" si="36"/>
        <v>5.6340053590208772E-2</v>
      </c>
      <c r="W51" s="164">
        <f t="shared" si="36"/>
        <v>5.7617378010675457E-2</v>
      </c>
      <c r="X51" s="185">
        <f t="shared" si="36"/>
        <v>5.607000393121675E-2</v>
      </c>
      <c r="Y51" s="172">
        <f t="shared" ref="Y51:AH51" si="39">Y44/X44-1</f>
        <v>1.7974386946375542E-2</v>
      </c>
      <c r="Z51" s="172">
        <f t="shared" si="39"/>
        <v>1.7080434209042261E-2</v>
      </c>
      <c r="AA51" s="172">
        <f t="shared" si="39"/>
        <v>1.73543879033764E-2</v>
      </c>
      <c r="AB51" s="172">
        <f t="shared" si="39"/>
        <v>1.6679747746952023E-2</v>
      </c>
      <c r="AC51" s="172">
        <f t="shared" si="39"/>
        <v>1.5635855488853156E-2</v>
      </c>
      <c r="AD51" s="172">
        <f t="shared" si="39"/>
        <v>1.5874488219363769E-2</v>
      </c>
      <c r="AE51" s="172">
        <f t="shared" si="39"/>
        <v>1.5184458687994562E-2</v>
      </c>
      <c r="AF51" s="172">
        <f t="shared" si="39"/>
        <v>1.4538713894361566E-2</v>
      </c>
      <c r="AG51" s="172">
        <f t="shared" si="39"/>
        <v>1.3123869149892275E-2</v>
      </c>
      <c r="AH51" s="185">
        <f t="shared" si="39"/>
        <v>1.3915483920994731E-2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3.8807955781612912E-3</v>
      </c>
      <c r="D56" s="336">
        <f t="shared" si="40"/>
        <v>4.0649077534412482E-3</v>
      </c>
      <c r="E56" s="336">
        <f t="shared" si="40"/>
        <v>4.2490199287212047E-3</v>
      </c>
      <c r="F56" s="336">
        <f t="shared" si="40"/>
        <v>4.4331321040011612E-3</v>
      </c>
      <c r="G56" s="336">
        <f t="shared" si="40"/>
        <v>4.6172442792811177E-3</v>
      </c>
      <c r="H56" s="396">
        <f t="shared" si="40"/>
        <v>5.1609163801939291E-3</v>
      </c>
      <c r="I56" s="173">
        <f t="shared" si="40"/>
        <v>5.2851019012017438E-3</v>
      </c>
      <c r="J56" s="173">
        <f t="shared" si="40"/>
        <v>5.4092874222095577E-3</v>
      </c>
      <c r="K56" s="173">
        <f t="shared" si="40"/>
        <v>5.5334729432173716E-3</v>
      </c>
      <c r="L56" s="173">
        <f t="shared" si="40"/>
        <v>5.6576584642251855E-3</v>
      </c>
      <c r="M56" s="173">
        <f t="shared" si="40"/>
        <v>5.7818439852329994E-3</v>
      </c>
      <c r="N56" s="178">
        <f>N26</f>
        <v>5.906029506240815E-3</v>
      </c>
      <c r="O56" s="116">
        <f t="shared" ref="O56:AH56" si="41">O31/O$49</f>
        <v>5.8885973627195087E-3</v>
      </c>
      <c r="P56" s="116">
        <f t="shared" si="41"/>
        <v>5.8711652191982024E-3</v>
      </c>
      <c r="Q56" s="116">
        <f t="shared" si="41"/>
        <v>5.853733075676896E-3</v>
      </c>
      <c r="R56" s="116">
        <f t="shared" si="41"/>
        <v>5.8363009321555897E-3</v>
      </c>
      <c r="S56" s="116">
        <f t="shared" si="41"/>
        <v>5.8188687886342834E-3</v>
      </c>
      <c r="T56" s="116">
        <f t="shared" si="41"/>
        <v>5.801436645112977E-3</v>
      </c>
      <c r="U56" s="116">
        <f t="shared" si="41"/>
        <v>5.7840045015916707E-3</v>
      </c>
      <c r="V56" s="116">
        <f t="shared" si="41"/>
        <v>5.7665723580703643E-3</v>
      </c>
      <c r="W56" s="116">
        <f t="shared" si="41"/>
        <v>5.749140214549058E-3</v>
      </c>
      <c r="X56" s="178">
        <f t="shared" si="41"/>
        <v>5.7317080710277525E-3</v>
      </c>
      <c r="Y56" s="173">
        <f t="shared" si="41"/>
        <v>5.7210752280279758E-3</v>
      </c>
      <c r="Z56" s="173">
        <f t="shared" si="41"/>
        <v>5.7104423850281982E-3</v>
      </c>
      <c r="AA56" s="173">
        <f t="shared" si="41"/>
        <v>5.6998095420284205E-3</v>
      </c>
      <c r="AB56" s="173">
        <f t="shared" si="41"/>
        <v>5.6891766990286429E-3</v>
      </c>
      <c r="AC56" s="173">
        <f t="shared" si="41"/>
        <v>5.6785438560288653E-3</v>
      </c>
      <c r="AD56" s="173">
        <f t="shared" si="41"/>
        <v>5.6679110130290877E-3</v>
      </c>
      <c r="AE56" s="173">
        <f t="shared" si="41"/>
        <v>5.65727817002931E-3</v>
      </c>
      <c r="AF56" s="173">
        <f t="shared" si="41"/>
        <v>5.6466453270295324E-3</v>
      </c>
      <c r="AG56" s="173">
        <f t="shared" si="41"/>
        <v>5.6360124840297548E-3</v>
      </c>
      <c r="AH56" s="178">
        <f t="shared" si="41"/>
        <v>5.6253796410299806E-3</v>
      </c>
      <c r="AI56" s="127"/>
    </row>
    <row r="57" spans="1:35">
      <c r="A57" s="9" t="s">
        <v>59</v>
      </c>
      <c r="B57" s="37"/>
      <c r="C57" s="336">
        <f t="shared" ref="C57:M57" si="42">C32/C$49</f>
        <v>0.11176608943639196</v>
      </c>
      <c r="D57" s="336">
        <f t="shared" si="42"/>
        <v>0.10998567228702326</v>
      </c>
      <c r="E57" s="336">
        <f t="shared" si="42"/>
        <v>0.10820525513765455</v>
      </c>
      <c r="F57" s="336">
        <f t="shared" si="42"/>
        <v>0.10642483798828585</v>
      </c>
      <c r="G57" s="336">
        <f t="shared" si="42"/>
        <v>0.10464442083891715</v>
      </c>
      <c r="H57" s="396">
        <f t="shared" si="42"/>
        <v>0.10228802801589812</v>
      </c>
      <c r="I57" s="116">
        <f t="shared" si="42"/>
        <v>0.1006036068121378</v>
      </c>
      <c r="J57" s="116">
        <f t="shared" si="42"/>
        <v>9.891918560837748E-2</v>
      </c>
      <c r="K57" s="116">
        <f t="shared" si="42"/>
        <v>9.7234764404617161E-2</v>
      </c>
      <c r="L57" s="116">
        <f t="shared" si="42"/>
        <v>9.5550343200856841E-2</v>
      </c>
      <c r="M57" s="116">
        <f t="shared" si="42"/>
        <v>9.3865921997096521E-2</v>
      </c>
      <c r="N57" s="178">
        <f>N18</f>
        <v>9.218150079333623E-2</v>
      </c>
      <c r="O57" s="116">
        <f t="shared" ref="O57:AH57" si="43">O32/O$49</f>
        <v>9.1909419329784303E-2</v>
      </c>
      <c r="P57" s="116">
        <f t="shared" si="43"/>
        <v>9.1637337866232377E-2</v>
      </c>
      <c r="Q57" s="116">
        <f t="shared" si="43"/>
        <v>9.136525640268045E-2</v>
      </c>
      <c r="R57" s="116">
        <f t="shared" si="43"/>
        <v>9.1093174939128524E-2</v>
      </c>
      <c r="S57" s="116">
        <f t="shared" si="43"/>
        <v>9.0821093475576598E-2</v>
      </c>
      <c r="T57" s="116">
        <f t="shared" si="43"/>
        <v>9.0549012012024671E-2</v>
      </c>
      <c r="U57" s="116">
        <f t="shared" si="43"/>
        <v>9.0276930548472745E-2</v>
      </c>
      <c r="V57" s="116">
        <f t="shared" si="43"/>
        <v>9.0004849084920818E-2</v>
      </c>
      <c r="W57" s="116">
        <f>W32/W$49</f>
        <v>8.9732767621368892E-2</v>
      </c>
      <c r="X57" s="178">
        <f t="shared" si="43"/>
        <v>8.9460686157817007E-2</v>
      </c>
      <c r="Y57" s="173">
        <f t="shared" si="43"/>
        <v>8.9294728398143841E-2</v>
      </c>
      <c r="Z57" s="173">
        <f t="shared" si="43"/>
        <v>8.9128770638470661E-2</v>
      </c>
      <c r="AA57" s="173">
        <f t="shared" si="43"/>
        <v>8.8962812878797481E-2</v>
      </c>
      <c r="AB57" s="173">
        <f t="shared" si="43"/>
        <v>8.8796855119124302E-2</v>
      </c>
      <c r="AC57" s="173">
        <f t="shared" si="43"/>
        <v>8.8630897359451122E-2</v>
      </c>
      <c r="AD57" s="173">
        <f t="shared" si="43"/>
        <v>8.8464939599777942E-2</v>
      </c>
      <c r="AE57" s="173">
        <f t="shared" si="43"/>
        <v>8.8298981840104762E-2</v>
      </c>
      <c r="AF57" s="173">
        <f t="shared" si="43"/>
        <v>8.8133024080431582E-2</v>
      </c>
      <c r="AG57" s="173">
        <f t="shared" si="43"/>
        <v>8.7967066320758402E-2</v>
      </c>
      <c r="AH57" s="178">
        <f t="shared" si="43"/>
        <v>8.7801108561085278E-2</v>
      </c>
      <c r="AI57" s="127"/>
    </row>
    <row r="58" spans="1:35">
      <c r="A58" s="9" t="s">
        <v>121</v>
      </c>
      <c r="B58" s="37"/>
      <c r="C58" s="336">
        <f>C34/C$49</f>
        <v>3.0135536412548144E-3</v>
      </c>
      <c r="D58" s="336">
        <f t="shared" ref="D58:G59" si="44">C58*($N71)</f>
        <v>4.8064597534495076E-3</v>
      </c>
      <c r="E58" s="336">
        <f t="shared" si="44"/>
        <v>7.6660508196265027E-3</v>
      </c>
      <c r="F58" s="336">
        <f t="shared" si="44"/>
        <v>1.2226948353602508E-2</v>
      </c>
      <c r="G58" s="336">
        <f t="shared" si="44"/>
        <v>1.9501340332746031E-2</v>
      </c>
      <c r="H58" s="396">
        <f>H34/H$49</f>
        <v>3.7337241258464126E-3</v>
      </c>
      <c r="I58" s="116">
        <f t="shared" ref="I58:N59" si="45">H58*($N71)</f>
        <v>5.9550938452489896E-3</v>
      </c>
      <c r="J58" s="116">
        <f t="shared" si="45"/>
        <v>9.4980618573910092E-3</v>
      </c>
      <c r="K58" s="116">
        <f t="shared" si="45"/>
        <v>1.5148909721850743E-2</v>
      </c>
      <c r="L58" s="116">
        <f t="shared" si="45"/>
        <v>2.4161715222164457E-2</v>
      </c>
      <c r="M58" s="116">
        <f t="shared" si="45"/>
        <v>3.853666654537645E-2</v>
      </c>
      <c r="N58" s="178">
        <f t="shared" si="45"/>
        <v>6.1463958778357808E-2</v>
      </c>
      <c r="O58" s="116">
        <f t="shared" ref="O58:W58" si="46">N58*$X71</f>
        <v>6.492094466098805E-2</v>
      </c>
      <c r="P58" s="116">
        <f t="shared" si="46"/>
        <v>6.8572365650471728E-2</v>
      </c>
      <c r="Q58" s="116">
        <f t="shared" si="46"/>
        <v>7.2429157577055356E-2</v>
      </c>
      <c r="R58" s="116">
        <f t="shared" si="46"/>
        <v>7.6502871347064683E-2</v>
      </c>
      <c r="S58" s="116">
        <f t="shared" si="46"/>
        <v>8.0805707537313518E-2</v>
      </c>
      <c r="T58" s="116">
        <f t="shared" si="46"/>
        <v>8.5350552935244531E-2</v>
      </c>
      <c r="U58" s="116">
        <f t="shared" si="46"/>
        <v>9.0151019134237856E-2</v>
      </c>
      <c r="V58" s="116">
        <f t="shared" si="46"/>
        <v>9.5221483299678583E-2</v>
      </c>
      <c r="W58" s="116">
        <f t="shared" si="46"/>
        <v>0.10057713122787562</v>
      </c>
      <c r="X58" s="178">
        <f t="shared" ref="X58:X66" si="47">X34/X$49</f>
        <v>0.10623400282679127</v>
      </c>
      <c r="Y58" s="173">
        <f>X58*$AH71</f>
        <v>0.10766207365583112</v>
      </c>
      <c r="Z58" s="173">
        <f t="shared" ref="Z58:AG58" si="48">Y58*$AH71</f>
        <v>0.1091093415991516</v>
      </c>
      <c r="AA58" s="173">
        <f t="shared" si="48"/>
        <v>0.11057606471762001</v>
      </c>
      <c r="AB58" s="173">
        <f t="shared" si="48"/>
        <v>0.11206250454113603</v>
      </c>
      <c r="AC58" s="173">
        <f t="shared" si="48"/>
        <v>0.11356892611526487</v>
      </c>
      <c r="AD58" s="173">
        <f t="shared" si="48"/>
        <v>0.11509559804849726</v>
      </c>
      <c r="AE58" s="173">
        <f t="shared" si="48"/>
        <v>0.11664279256014475</v>
      </c>
      <c r="AF58" s="173">
        <f t="shared" si="48"/>
        <v>0.11821078552887887</v>
      </c>
      <c r="AG58" s="173">
        <f t="shared" si="48"/>
        <v>0.11979985654192278</v>
      </c>
      <c r="AH58" s="178">
        <f t="shared" ref="AH58:AH66" si="49">AH34/AH$49</f>
        <v>0.12141028894490428</v>
      </c>
      <c r="AI58" s="127"/>
    </row>
    <row r="59" spans="1:35">
      <c r="A59" s="9" t="s">
        <v>50</v>
      </c>
      <c r="B59" s="37"/>
      <c r="C59" s="336">
        <f t="shared" ref="C59:C65" si="50">C35/C$49</f>
        <v>0</v>
      </c>
      <c r="D59" s="336">
        <f t="shared" si="44"/>
        <v>0</v>
      </c>
      <c r="E59" s="336">
        <f t="shared" si="44"/>
        <v>0</v>
      </c>
      <c r="F59" s="336">
        <f t="shared" si="44"/>
        <v>0</v>
      </c>
      <c r="G59" s="336">
        <f t="shared" si="44"/>
        <v>0</v>
      </c>
      <c r="H59" s="396">
        <f>H35/H$49</f>
        <v>6.966063824718402E-13</v>
      </c>
      <c r="I59" s="116">
        <f t="shared" si="45"/>
        <v>8.3253663162231496E-13</v>
      </c>
      <c r="J59" s="116">
        <f t="shared" si="45"/>
        <v>9.9499123239952345E-13</v>
      </c>
      <c r="K59" s="116">
        <f t="shared" si="45"/>
        <v>1.1891459365851006E-12</v>
      </c>
      <c r="L59" s="116">
        <f t="shared" si="45"/>
        <v>1.4211864511476003E-12</v>
      </c>
      <c r="M59" s="116">
        <f t="shared" si="45"/>
        <v>1.6985055128941837E-12</v>
      </c>
      <c r="N59" s="178">
        <f t="shared" si="45"/>
        <v>2.0299384187080984E-12</v>
      </c>
      <c r="O59" s="116">
        <f t="shared" ref="O59:V59" si="51">N59*$X72</f>
        <v>2.1441105058232159E-12</v>
      </c>
      <c r="P59" s="116">
        <f t="shared" si="51"/>
        <v>2.2647041007811761E-12</v>
      </c>
      <c r="Q59" s="116">
        <f t="shared" si="51"/>
        <v>2.3920803755988673E-12</v>
      </c>
      <c r="R59" s="116">
        <f t="shared" si="51"/>
        <v>2.526620816093141E-12</v>
      </c>
      <c r="S59" s="116">
        <f t="shared" si="51"/>
        <v>2.6687283644124855E-12</v>
      </c>
      <c r="T59" s="116">
        <f t="shared" si="51"/>
        <v>2.8188286258293819E-12</v>
      </c>
      <c r="U59" s="116">
        <f t="shared" si="51"/>
        <v>2.9773711434076247E-12</v>
      </c>
      <c r="V59" s="116">
        <f t="shared" si="51"/>
        <v>3.1448307443621765E-12</v>
      </c>
      <c r="W59" s="116">
        <f>V59*$X72</f>
        <v>3.3217089621438408E-12</v>
      </c>
      <c r="X59" s="178">
        <f t="shared" si="47"/>
        <v>3.5085355385078252E-12</v>
      </c>
      <c r="Y59" s="173">
        <f>X59*$AH72</f>
        <v>3.5556996961397465E-12</v>
      </c>
      <c r="Z59" s="173">
        <f t="shared" ref="Z59:AG59" si="52">Y59*$AH72</f>
        <v>3.6034978669491643E-12</v>
      </c>
      <c r="AA59" s="173">
        <f t="shared" si="52"/>
        <v>3.651938573779047E-12</v>
      </c>
      <c r="AB59" s="173">
        <f t="shared" si="52"/>
        <v>3.7010304540423043E-12</v>
      </c>
      <c r="AC59" s="173">
        <f t="shared" si="52"/>
        <v>3.7507822612619146E-12</v>
      </c>
      <c r="AD59" s="173">
        <f t="shared" si="52"/>
        <v>3.8012028666317567E-12</v>
      </c>
      <c r="AE59" s="173">
        <f t="shared" si="52"/>
        <v>3.8523012605984256E-12</v>
      </c>
      <c r="AF59" s="173">
        <f t="shared" si="52"/>
        <v>3.9040865544643061E-12</v>
      </c>
      <c r="AG59" s="173">
        <f t="shared" si="52"/>
        <v>3.9565679820122027E-12</v>
      </c>
      <c r="AH59" s="178">
        <f t="shared" si="49"/>
        <v>4.0097549011518005E-12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1.4553259048011055E-3</v>
      </c>
      <c r="D61" s="336">
        <f t="shared" ref="D61:M61" si="56">C61*($N74)</f>
        <v>1.7374583614078679E-3</v>
      </c>
      <c r="E61" s="336">
        <f t="shared" si="56"/>
        <v>2.0742855931219595E-3</v>
      </c>
      <c r="F61" s="336">
        <f t="shared" si="56"/>
        <v>2.4764108409175687E-3</v>
      </c>
      <c r="G61" s="336">
        <f t="shared" si="56"/>
        <v>2.9564929117518522E-3</v>
      </c>
      <c r="H61" s="396">
        <f t="shared" si="53"/>
        <v>1.62970587204398E-3</v>
      </c>
      <c r="I61" s="116">
        <f t="shared" si="56"/>
        <v>1.9456439857746446E-3</v>
      </c>
      <c r="J61" s="116">
        <f t="shared" si="56"/>
        <v>2.3228305084482676E-3</v>
      </c>
      <c r="K61" s="116">
        <f t="shared" si="56"/>
        <v>2.7731391818991181E-3</v>
      </c>
      <c r="L61" s="116">
        <f t="shared" si="56"/>
        <v>3.3107456158398322E-3</v>
      </c>
      <c r="M61" s="116">
        <f t="shared" si="56"/>
        <v>3.9525735326765192E-3</v>
      </c>
      <c r="N61" s="178">
        <f>M61*($N74)</f>
        <v>4.7188275222564673E-3</v>
      </c>
      <c r="O61" s="116">
        <f t="shared" ref="O61:W61" si="57">N61*$X74</f>
        <v>4.9842337936916161E-3</v>
      </c>
      <c r="P61" s="116">
        <f t="shared" si="57"/>
        <v>5.2645676056195835E-3</v>
      </c>
      <c r="Q61" s="116">
        <f t="shared" si="57"/>
        <v>5.5606685443242944E-3</v>
      </c>
      <c r="R61" s="116">
        <f t="shared" si="57"/>
        <v>5.8734234178760419E-3</v>
      </c>
      <c r="S61" s="116">
        <f t="shared" si="57"/>
        <v>6.2037689120790079E-3</v>
      </c>
      <c r="T61" s="116">
        <f t="shared" si="57"/>
        <v>6.5526943958001934E-3</v>
      </c>
      <c r="U61" s="116">
        <f t="shared" si="57"/>
        <v>6.9212448840815927E-3</v>
      </c>
      <c r="V61" s="116">
        <f t="shared" si="57"/>
        <v>7.3105241679099833E-3</v>
      </c>
      <c r="W61" s="116">
        <f t="shared" si="57"/>
        <v>7.7216981200178437E-3</v>
      </c>
      <c r="X61" s="178">
        <f t="shared" si="47"/>
        <v>8.1559981866161126E-3</v>
      </c>
      <c r="Y61" s="173">
        <f t="shared" si="55"/>
        <v>8.2656367466071076E-3</v>
      </c>
      <c r="Z61" s="173">
        <f t="shared" si="55"/>
        <v>8.3767491438356614E-3</v>
      </c>
      <c r="AA61" s="173">
        <f t="shared" si="55"/>
        <v>8.4893551906397233E-3</v>
      </c>
      <c r="AB61" s="173">
        <f t="shared" si="55"/>
        <v>8.6034749656883711E-3</v>
      </c>
      <c r="AC61" s="173">
        <f t="shared" si="55"/>
        <v>8.7191288175620194E-3</v>
      </c>
      <c r="AD61" s="173">
        <f t="shared" si="55"/>
        <v>8.8363373683807509E-3</v>
      </c>
      <c r="AE61" s="173">
        <f t="shared" si="55"/>
        <v>8.9551215174814309E-3</v>
      </c>
      <c r="AF61" s="173">
        <f t="shared" si="55"/>
        <v>9.0755024451442401E-3</v>
      </c>
      <c r="AG61" s="173">
        <f t="shared" si="55"/>
        <v>9.1975016163693135E-3</v>
      </c>
      <c r="AH61" s="178">
        <f t="shared" si="49"/>
        <v>9.3211407847041284E-3</v>
      </c>
      <c r="AI61" s="127"/>
    </row>
    <row r="62" spans="1:35">
      <c r="A62" s="9" t="s">
        <v>347</v>
      </c>
      <c r="B62" s="37"/>
      <c r="C62" s="339">
        <f t="shared" si="50"/>
        <v>3.9999999999999996E-5</v>
      </c>
      <c r="D62" s="339">
        <f t="shared" ref="D62:N62" si="58">C62*($N75)</f>
        <v>5.7237072304305854E-5</v>
      </c>
      <c r="E62" s="339">
        <f t="shared" si="58"/>
        <v>8.1902061149208408E-5</v>
      </c>
      <c r="F62" s="339">
        <f t="shared" si="58"/>
        <v>1.1719585489672304E-4</v>
      </c>
      <c r="G62" s="339">
        <f t="shared" si="58"/>
        <v>1.6769869051221686E-4</v>
      </c>
      <c r="H62" s="396">
        <f t="shared" si="53"/>
        <v>1.2000696606382472E-3</v>
      </c>
      <c r="I62" s="116">
        <f t="shared" si="58"/>
        <v>1.7172118484038788E-3</v>
      </c>
      <c r="J62" s="116">
        <f t="shared" si="58"/>
        <v>2.457204468222588E-3</v>
      </c>
      <c r="K62" s="116">
        <f t="shared" si="58"/>
        <v>3.5160797453529925E-3</v>
      </c>
      <c r="L62" s="116">
        <f t="shared" si="58"/>
        <v>5.0312527653118642E-3</v>
      </c>
      <c r="M62" s="116">
        <f t="shared" si="58"/>
        <v>7.199354457734849E-3</v>
      </c>
      <c r="N62" s="178">
        <f t="shared" si="58"/>
        <v>1.0301749291042406E-2</v>
      </c>
      <c r="O62" s="116">
        <f t="shared" ref="O62:W62" si="59">N62*$X75</f>
        <v>1.0881162048914901E-2</v>
      </c>
      <c r="P62" s="116">
        <f t="shared" si="59"/>
        <v>1.1493163363788811E-2</v>
      </c>
      <c r="Q62" s="116">
        <f t="shared" si="59"/>
        <v>1.2139586150167664E-2</v>
      </c>
      <c r="R62" s="116">
        <f t="shared" si="59"/>
        <v>1.2822366413206629E-2</v>
      </c>
      <c r="S62" s="116">
        <f t="shared" si="59"/>
        <v>1.3543549046954838E-2</v>
      </c>
      <c r="T62" s="116">
        <f t="shared" si="59"/>
        <v>1.4305293958714719E-2</v>
      </c>
      <c r="U62" s="116">
        <f t="shared" si="59"/>
        <v>1.5109882537860478E-2</v>
      </c>
      <c r="V62" s="116">
        <f t="shared" si="59"/>
        <v>1.5959724488489556E-2</v>
      </c>
      <c r="W62" s="116">
        <f t="shared" si="59"/>
        <v>1.68573650463705E-2</v>
      </c>
      <c r="X62" s="178">
        <f t="shared" si="47"/>
        <v>1.7805492601801691E-2</v>
      </c>
      <c r="Y62" s="173">
        <f t="shared" si="55"/>
        <v>1.8044846329466232E-2</v>
      </c>
      <c r="Z62" s="173">
        <f t="shared" si="55"/>
        <v>1.8287417615230856E-2</v>
      </c>
      <c r="AA62" s="173">
        <f t="shared" si="55"/>
        <v>1.8533249711733528E-2</v>
      </c>
      <c r="AB62" s="173">
        <f t="shared" si="55"/>
        <v>1.8782386453044034E-2</v>
      </c>
      <c r="AC62" s="173">
        <f t="shared" si="55"/>
        <v>1.9034872262480004E-2</v>
      </c>
      <c r="AD62" s="173">
        <f t="shared" si="55"/>
        <v>1.9290752160527978E-2</v>
      </c>
      <c r="AE62" s="173">
        <f t="shared" si="55"/>
        <v>1.9550071772870967E-2</v>
      </c>
      <c r="AF62" s="173">
        <f t="shared" si="55"/>
        <v>1.9812877338523924E-2</v>
      </c>
      <c r="AG62" s="173">
        <f t="shared" si="55"/>
        <v>2.0079215718078566E-2</v>
      </c>
      <c r="AH62" s="178">
        <f t="shared" si="49"/>
        <v>2.0349134402059071E-2</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6.9660638247184015E-8</v>
      </c>
      <c r="I63" s="116">
        <f t="shared" si="60"/>
        <v>8.3253663162231487E-8</v>
      </c>
      <c r="J63" s="116">
        <f t="shared" si="60"/>
        <v>9.9499123239952343E-8</v>
      </c>
      <c r="K63" s="116">
        <f t="shared" si="60"/>
        <v>1.1891459365851005E-7</v>
      </c>
      <c r="L63" s="116">
        <f t="shared" si="60"/>
        <v>1.4211864511476003E-7</v>
      </c>
      <c r="M63" s="116">
        <f t="shared" si="60"/>
        <v>1.6985055128941836E-7</v>
      </c>
      <c r="N63" s="178">
        <f t="shared" si="60"/>
        <v>2.0299384187080983E-7</v>
      </c>
      <c r="O63" s="116">
        <f t="shared" ref="O63:W63" si="61">N63*$X76</f>
        <v>2.1441105058232157E-7</v>
      </c>
      <c r="P63" s="116">
        <f t="shared" si="61"/>
        <v>2.2647041007811758E-7</v>
      </c>
      <c r="Q63" s="116">
        <f t="shared" si="61"/>
        <v>2.3920803755988667E-7</v>
      </c>
      <c r="R63" s="116">
        <f t="shared" si="61"/>
        <v>2.5266208160931402E-7</v>
      </c>
      <c r="S63" s="116">
        <f t="shared" si="61"/>
        <v>2.668728364412485E-7</v>
      </c>
      <c r="T63" s="116">
        <f t="shared" si="61"/>
        <v>2.8188286258293812E-7</v>
      </c>
      <c r="U63" s="116">
        <f t="shared" si="61"/>
        <v>2.9773711434076239E-7</v>
      </c>
      <c r="V63" s="116">
        <f t="shared" si="61"/>
        <v>3.1448307443621755E-7</v>
      </c>
      <c r="W63" s="116">
        <f t="shared" si="61"/>
        <v>3.3217089621438394E-7</v>
      </c>
      <c r="X63" s="178">
        <f t="shared" si="47"/>
        <v>3.5085355385078246E-7</v>
      </c>
      <c r="Y63" s="173">
        <f t="shared" si="55"/>
        <v>3.5556996961397458E-7</v>
      </c>
      <c r="Z63" s="173">
        <f t="shared" si="55"/>
        <v>3.6034978669491635E-7</v>
      </c>
      <c r="AA63" s="173">
        <f t="shared" si="55"/>
        <v>3.6519385737790461E-7</v>
      </c>
      <c r="AB63" s="173">
        <f t="shared" si="55"/>
        <v>3.7010304540423032E-7</v>
      </c>
      <c r="AC63" s="173">
        <f t="shared" si="55"/>
        <v>3.750782261261913E-7</v>
      </c>
      <c r="AD63" s="173">
        <f t="shared" si="55"/>
        <v>3.8012028666317558E-7</v>
      </c>
      <c r="AE63" s="173">
        <f t="shared" si="55"/>
        <v>3.8523012605984245E-7</v>
      </c>
      <c r="AF63" s="173">
        <f t="shared" si="55"/>
        <v>3.9040865544643052E-7</v>
      </c>
      <c r="AG63" s="173">
        <f t="shared" si="55"/>
        <v>3.9565679820122016E-7</v>
      </c>
      <c r="AH63" s="178">
        <f t="shared" si="49"/>
        <v>4.0097549011517994E-7</v>
      </c>
      <c r="AI63" s="127"/>
    </row>
    <row r="64" spans="1:35">
      <c r="A64" s="9" t="s">
        <v>344</v>
      </c>
      <c r="B64" s="37"/>
      <c r="C64" s="336">
        <f t="shared" si="50"/>
        <v>7.350130832328816E-8</v>
      </c>
      <c r="D64" s="336">
        <f t="shared" ref="D64:N64" si="62">C64*($N77)</f>
        <v>8.7843771161222761E-8</v>
      </c>
      <c r="E64" s="336">
        <f t="shared" si="62"/>
        <v>1.0498490853910917E-7</v>
      </c>
      <c r="F64" s="336">
        <f t="shared" si="62"/>
        <v>1.2547083162830482E-7</v>
      </c>
      <c r="G64" s="336">
        <f t="shared" si="62"/>
        <v>1.4995421540643463E-7</v>
      </c>
      <c r="H64" s="396">
        <f t="shared" si="53"/>
        <v>6.9660638247184015E-8</v>
      </c>
      <c r="I64" s="116">
        <f t="shared" si="62"/>
        <v>8.3253663162231487E-8</v>
      </c>
      <c r="J64" s="116">
        <f t="shared" si="62"/>
        <v>9.9499123239952343E-8</v>
      </c>
      <c r="K64" s="116">
        <f t="shared" si="62"/>
        <v>1.1891459365851005E-7</v>
      </c>
      <c r="L64" s="116">
        <f t="shared" si="62"/>
        <v>1.4211864511476003E-7</v>
      </c>
      <c r="M64" s="116">
        <f t="shared" si="62"/>
        <v>1.6985055128941836E-7</v>
      </c>
      <c r="N64" s="178">
        <f t="shared" si="62"/>
        <v>2.0299384187080983E-7</v>
      </c>
      <c r="O64" s="116">
        <f t="shared" ref="O64:W64" si="63">N64*$X77</f>
        <v>2.1441105058232157E-7</v>
      </c>
      <c r="P64" s="116">
        <f t="shared" si="63"/>
        <v>2.2647041007811758E-7</v>
      </c>
      <c r="Q64" s="116">
        <f t="shared" si="63"/>
        <v>2.3920803755988667E-7</v>
      </c>
      <c r="R64" s="116">
        <f t="shared" si="63"/>
        <v>2.5266208160931402E-7</v>
      </c>
      <c r="S64" s="116">
        <f t="shared" si="63"/>
        <v>2.668728364412485E-7</v>
      </c>
      <c r="T64" s="116">
        <f t="shared" si="63"/>
        <v>2.8188286258293812E-7</v>
      </c>
      <c r="U64" s="116">
        <f t="shared" si="63"/>
        <v>2.9773711434076239E-7</v>
      </c>
      <c r="V64" s="116">
        <f t="shared" si="63"/>
        <v>3.1448307443621755E-7</v>
      </c>
      <c r="W64" s="116">
        <f t="shared" si="63"/>
        <v>3.3217089621438394E-7</v>
      </c>
      <c r="X64" s="178">
        <f t="shared" si="47"/>
        <v>3.5085355385078246E-7</v>
      </c>
      <c r="Y64" s="173">
        <f t="shared" si="55"/>
        <v>3.5556996961397458E-7</v>
      </c>
      <c r="Z64" s="173">
        <f t="shared" si="55"/>
        <v>3.6034978669491635E-7</v>
      </c>
      <c r="AA64" s="173">
        <f t="shared" si="55"/>
        <v>3.6519385737790461E-7</v>
      </c>
      <c r="AB64" s="173">
        <f t="shared" si="55"/>
        <v>3.7010304540423032E-7</v>
      </c>
      <c r="AC64" s="173">
        <f t="shared" si="55"/>
        <v>3.750782261261913E-7</v>
      </c>
      <c r="AD64" s="173">
        <f t="shared" si="55"/>
        <v>3.8012028666317558E-7</v>
      </c>
      <c r="AE64" s="173">
        <f t="shared" si="55"/>
        <v>3.8523012605984245E-7</v>
      </c>
      <c r="AF64" s="173">
        <f t="shared" si="55"/>
        <v>3.9040865544643052E-7</v>
      </c>
      <c r="AG64" s="173">
        <f t="shared" si="55"/>
        <v>3.9565679820122016E-7</v>
      </c>
      <c r="AH64" s="178">
        <f t="shared" si="49"/>
        <v>4.0097549011517994E-7</v>
      </c>
      <c r="AI64" s="127"/>
    </row>
    <row r="65" spans="1:35">
      <c r="A65" s="9" t="s">
        <v>120</v>
      </c>
      <c r="B65" s="37"/>
      <c r="C65" s="336">
        <f t="shared" si="50"/>
        <v>0</v>
      </c>
      <c r="D65" s="336">
        <v>0</v>
      </c>
      <c r="E65" s="336">
        <v>0</v>
      </c>
      <c r="F65" s="336">
        <v>0</v>
      </c>
      <c r="G65" s="336">
        <v>0</v>
      </c>
      <c r="H65" s="396">
        <f t="shared" si="53"/>
        <v>6.9660638247184018E-6</v>
      </c>
      <c r="I65" s="173">
        <v>0</v>
      </c>
      <c r="J65" s="173">
        <v>0</v>
      </c>
      <c r="K65" s="173">
        <v>0</v>
      </c>
      <c r="L65" s="173">
        <v>0</v>
      </c>
      <c r="M65" s="173">
        <v>0</v>
      </c>
      <c r="N65" s="178">
        <v>0</v>
      </c>
      <c r="O65" s="116">
        <f t="shared" ref="O65:AG65" si="64">O41/O$49</f>
        <v>5.3302621510640484E-5</v>
      </c>
      <c r="P65" s="116">
        <f t="shared" si="64"/>
        <v>5.9646279075628334E-5</v>
      </c>
      <c r="Q65" s="116">
        <f t="shared" si="64"/>
        <v>6.5762137126445315E-5</v>
      </c>
      <c r="R65" s="116">
        <f t="shared" si="64"/>
        <v>7.2094238943090443E-5</v>
      </c>
      <c r="S65" s="116">
        <f t="shared" si="64"/>
        <v>7.8286268755531463E-5</v>
      </c>
      <c r="T65" s="116">
        <f t="shared" si="64"/>
        <v>8.4452195189855121E-5</v>
      </c>
      <c r="U65" s="116">
        <f t="shared" si="64"/>
        <v>9.0777293058911274E-5</v>
      </c>
      <c r="V65" s="116">
        <f t="shared" si="64"/>
        <v>9.7253613280360739E-5</v>
      </c>
      <c r="W65" s="116">
        <f t="shared" si="64"/>
        <v>1.036031768554048E-4</v>
      </c>
      <c r="X65" s="178">
        <f t="shared" si="47"/>
        <v>1.1009704752252336E-4</v>
      </c>
      <c r="Y65" s="173">
        <f t="shared" si="64"/>
        <v>1.1605805962021825E-4</v>
      </c>
      <c r="Z65" s="173">
        <f t="shared" si="64"/>
        <v>1.2207134647647342E-4</v>
      </c>
      <c r="AA65" s="173">
        <f t="shared" si="64"/>
        <v>1.2800585854256844E-4</v>
      </c>
      <c r="AB65" s="173">
        <f t="shared" si="64"/>
        <v>1.3398206627073794E-4</v>
      </c>
      <c r="AC65" s="173">
        <f t="shared" si="64"/>
        <v>1.4006306804918193E-4</v>
      </c>
      <c r="AD65" s="173">
        <f t="shared" si="64"/>
        <v>1.4608302911548577E-4</v>
      </c>
      <c r="AE65" s="173">
        <f t="shared" si="64"/>
        <v>1.5217701574082328E-4</v>
      </c>
      <c r="AF65" s="173">
        <f t="shared" si="64"/>
        <v>1.58350667099616E-4</v>
      </c>
      <c r="AG65" s="173">
        <f t="shared" si="64"/>
        <v>1.6474096091163905E-4</v>
      </c>
      <c r="AH65" s="178">
        <f t="shared" si="49"/>
        <v>1.7100169744757988E-4</v>
      </c>
      <c r="AI65" s="127"/>
    </row>
    <row r="66" spans="1:35">
      <c r="A66" s="9" t="s">
        <v>53</v>
      </c>
      <c r="B66" s="37"/>
      <c r="C66" s="336">
        <f>C42/C$49</f>
        <v>1.0290183165260341E-4</v>
      </c>
      <c r="D66" s="336">
        <f t="shared" ref="D66:N66" si="65">C66*($N79)</f>
        <v>1.2325204374245957E-4</v>
      </c>
      <c r="E66" s="336">
        <f t="shared" si="65"/>
        <v>1.4762678217408419E-4</v>
      </c>
      <c r="F66" s="336">
        <f t="shared" si="65"/>
        <v>1.7682195080361753E-4</v>
      </c>
      <c r="G66" s="336">
        <f t="shared" si="65"/>
        <v>2.1179085410889399E-4</v>
      </c>
      <c r="H66" s="396">
        <f t="shared" si="53"/>
        <v>1.5291047207775278E-3</v>
      </c>
      <c r="I66" s="116">
        <f t="shared" si="65"/>
        <v>1.8315056098158881E-3</v>
      </c>
      <c r="J66" s="116">
        <f t="shared" si="65"/>
        <v>2.1937103150668435E-3</v>
      </c>
      <c r="K66" s="116">
        <f t="shared" si="65"/>
        <v>2.6275458402305585E-3</v>
      </c>
      <c r="L66" s="116">
        <f t="shared" si="65"/>
        <v>3.1471781370105579E-3</v>
      </c>
      <c r="M66" s="116">
        <f t="shared" si="65"/>
        <v>3.7695746633322818E-3</v>
      </c>
      <c r="N66" s="178">
        <f t="shared" si="65"/>
        <v>4.5150584186296463E-3</v>
      </c>
      <c r="O66" s="116">
        <f t="shared" ref="O66:W66" si="66">N66*$X79</f>
        <v>4.7690038774429733E-3</v>
      </c>
      <c r="P66" s="116">
        <f t="shared" si="66"/>
        <v>5.0372322735015478E-3</v>
      </c>
      <c r="Q66" s="116">
        <f t="shared" si="66"/>
        <v>5.3205469379509814E-3</v>
      </c>
      <c r="R66" s="116">
        <f t="shared" si="66"/>
        <v>5.619796384585137E-3</v>
      </c>
      <c r="S66" s="116">
        <f t="shared" si="66"/>
        <v>5.9358768511041269E-3</v>
      </c>
      <c r="T66" s="116">
        <f t="shared" si="66"/>
        <v>6.2697349833031229E-3</v>
      </c>
      <c r="U66" s="116">
        <f t="shared" si="66"/>
        <v>6.6223706702309825E-3</v>
      </c>
      <c r="V66" s="116">
        <f t="shared" si="66"/>
        <v>6.9948400388098603E-3</v>
      </c>
      <c r="W66" s="116">
        <f t="shared" si="66"/>
        <v>7.3882586168845434E-3</v>
      </c>
      <c r="X66" s="178">
        <f t="shared" si="47"/>
        <v>7.803804674174698E-3</v>
      </c>
      <c r="Y66" s="173">
        <f t="shared" si="55"/>
        <v>7.9087088057537766E-3</v>
      </c>
      <c r="Z66" s="173">
        <f t="shared" si="55"/>
        <v>8.0150231311142007E-3</v>
      </c>
      <c r="AA66" s="173">
        <f t="shared" si="55"/>
        <v>8.1227666070546323E-3</v>
      </c>
      <c r="AB66" s="173">
        <f t="shared" si="55"/>
        <v>8.231958445204109E-3</v>
      </c>
      <c r="AC66" s="173">
        <f t="shared" si="55"/>
        <v>8.3426181154476527E-3</v>
      </c>
      <c r="AD66" s="173">
        <f t="shared" si="55"/>
        <v>8.4547653493979285E-3</v>
      </c>
      <c r="AE66" s="173">
        <f t="shared" si="55"/>
        <v>8.5684201439135636E-3</v>
      </c>
      <c r="AF66" s="173">
        <f t="shared" si="55"/>
        <v>8.6836027646647676E-3</v>
      </c>
      <c r="AG66" s="173">
        <f t="shared" si="55"/>
        <v>8.8003337497468848E-3</v>
      </c>
      <c r="AH66" s="178">
        <f t="shared" si="49"/>
        <v>8.9186339133425115E-3</v>
      </c>
      <c r="AI66" s="127"/>
    </row>
    <row r="67" spans="1:35" s="1" customFormat="1">
      <c r="A67" s="11" t="s">
        <v>540</v>
      </c>
      <c r="B67" s="36"/>
      <c r="C67" s="340">
        <f t="shared" ref="C67:AG67" si="67">SUM(C58:C66)</f>
        <v>4.6118548790168466E-3</v>
      </c>
      <c r="D67" s="340">
        <f t="shared" si="67"/>
        <v>6.724495074675302E-3</v>
      </c>
      <c r="E67" s="340">
        <f t="shared" si="67"/>
        <v>9.9699702409802946E-3</v>
      </c>
      <c r="F67" s="340">
        <f t="shared" si="67"/>
        <v>1.4997502471052046E-2</v>
      </c>
      <c r="G67" s="340">
        <f t="shared" si="67"/>
        <v>2.2837472743334402E-2</v>
      </c>
      <c r="H67" s="403">
        <f t="shared" si="67"/>
        <v>8.0997097651039872E-3</v>
      </c>
      <c r="I67" s="85">
        <f t="shared" si="67"/>
        <v>1.1449621797402262E-2</v>
      </c>
      <c r="J67" s="85">
        <f t="shared" si="67"/>
        <v>1.6472006148370178E-2</v>
      </c>
      <c r="K67" s="85">
        <f t="shared" si="67"/>
        <v>2.4065912319709875E-2</v>
      </c>
      <c r="L67" s="85">
        <f t="shared" si="67"/>
        <v>3.5651175979038129E-2</v>
      </c>
      <c r="M67" s="85">
        <f t="shared" si="67"/>
        <v>5.3458508901921185E-2</v>
      </c>
      <c r="N67" s="183">
        <f>SUM(N58:N66)</f>
        <v>8.1000000000000016E-2</v>
      </c>
      <c r="O67" s="85">
        <f t="shared" si="67"/>
        <v>8.5609075826793446E-2</v>
      </c>
      <c r="P67" s="85">
        <f t="shared" si="67"/>
        <v>9.0427428115542149E-2</v>
      </c>
      <c r="Q67" s="85">
        <f t="shared" si="67"/>
        <v>9.5516199765091944E-2</v>
      </c>
      <c r="R67" s="85">
        <f t="shared" si="67"/>
        <v>0.10089105712836541</v>
      </c>
      <c r="S67" s="85">
        <f t="shared" si="67"/>
        <v>0.10656772236454863</v>
      </c>
      <c r="T67" s="85">
        <f t="shared" si="67"/>
        <v>0.1125632922367964</v>
      </c>
      <c r="U67" s="85">
        <f t="shared" si="67"/>
        <v>0.11889588999667587</v>
      </c>
      <c r="V67" s="85">
        <f t="shared" si="67"/>
        <v>0.12558445457746209</v>
      </c>
      <c r="W67" s="85">
        <f t="shared" si="67"/>
        <v>0.13264872053311802</v>
      </c>
      <c r="X67" s="183">
        <f t="shared" si="67"/>
        <v>0.1401100970475225</v>
      </c>
      <c r="Y67" s="85">
        <f t="shared" si="67"/>
        <v>0.14199803474077338</v>
      </c>
      <c r="Z67" s="85">
        <f t="shared" si="67"/>
        <v>0.1439113235389857</v>
      </c>
      <c r="AA67" s="85">
        <f t="shared" si="67"/>
        <v>0.14585017247695714</v>
      </c>
      <c r="AB67" s="85">
        <f t="shared" si="67"/>
        <v>0.14781504668113513</v>
      </c>
      <c r="AC67" s="85">
        <f t="shared" si="67"/>
        <v>0.14980635853900673</v>
      </c>
      <c r="AD67" s="85">
        <f t="shared" si="67"/>
        <v>0.15182429620029395</v>
      </c>
      <c r="AE67" s="85">
        <f t="shared" si="67"/>
        <v>0.15386935347425595</v>
      </c>
      <c r="AF67" s="85">
        <f t="shared" si="67"/>
        <v>0.15594189956552643</v>
      </c>
      <c r="AG67" s="85">
        <f t="shared" si="67"/>
        <v>0.15804243990458222</v>
      </c>
      <c r="AH67" s="183">
        <f>SUM(AH58:AH66)</f>
        <v>0.16017100169744758</v>
      </c>
      <c r="AI67" s="196"/>
    </row>
    <row r="68" spans="1:35" s="252" customFormat="1">
      <c r="A68" s="10" t="s">
        <v>548</v>
      </c>
      <c r="B68" s="37"/>
      <c r="C68" s="332"/>
      <c r="D68" s="332">
        <f>D67/C67-1</f>
        <v>0.45808904466413458</v>
      </c>
      <c r="E68" s="332">
        <f t="shared" ref="E68:W68" si="68">E67/D67-1</f>
        <v>0.48263477484392436</v>
      </c>
      <c r="F68" s="332">
        <f t="shared" si="68"/>
        <v>0.50426752623660986</v>
      </c>
      <c r="G68" s="332">
        <f t="shared" si="68"/>
        <v>0.52275172398970748</v>
      </c>
      <c r="H68" s="284"/>
      <c r="I68" s="284">
        <f t="shared" si="68"/>
        <v>0.41358420603300061</v>
      </c>
      <c r="J68" s="284">
        <f t="shared" si="68"/>
        <v>0.43865067683785108</v>
      </c>
      <c r="K68" s="284">
        <f t="shared" si="68"/>
        <v>0.46101890097285292</v>
      </c>
      <c r="L68" s="284">
        <f t="shared" si="68"/>
        <v>0.48139723545157165</v>
      </c>
      <c r="M68" s="284">
        <f t="shared" si="68"/>
        <v>0.49948795331052365</v>
      </c>
      <c r="N68" s="283">
        <f t="shared" si="68"/>
        <v>0.51519377670275879</v>
      </c>
      <c r="O68" s="284">
        <f t="shared" si="68"/>
        <v>5.6902170701153443E-2</v>
      </c>
      <c r="P68" s="284">
        <f t="shared" si="68"/>
        <v>5.6283194768943945E-2</v>
      </c>
      <c r="Q68" s="284">
        <f t="shared" si="68"/>
        <v>5.627464758864642E-2</v>
      </c>
      <c r="R68" s="284">
        <f t="shared" si="68"/>
        <v>5.6271683510149328E-2</v>
      </c>
      <c r="S68" s="284">
        <f t="shared" si="68"/>
        <v>5.6265296427221445E-2</v>
      </c>
      <c r="T68" s="284">
        <f t="shared" si="68"/>
        <v>5.6260655095339507E-2</v>
      </c>
      <c r="U68" s="284">
        <f t="shared" si="68"/>
        <v>5.6258107186113238E-2</v>
      </c>
      <c r="V68" s="284">
        <f t="shared" si="68"/>
        <v>5.6255641645587717E-2</v>
      </c>
      <c r="W68" s="284">
        <f t="shared" si="68"/>
        <v>5.6251117858688415E-2</v>
      </c>
      <c r="X68" s="284">
        <f>X67/W67-1</f>
        <v>5.624914046978402E-2</v>
      </c>
      <c r="Y68" s="289">
        <f t="shared" ref="Y68:AG68" si="69">Y67/X67-1</f>
        <v>1.347467265410951E-2</v>
      </c>
      <c r="Z68" s="289">
        <f t="shared" si="69"/>
        <v>1.3474051255041308E-2</v>
      </c>
      <c r="AA68" s="289">
        <f t="shared" si="69"/>
        <v>1.347252523493192E-2</v>
      </c>
      <c r="AB68" s="289">
        <f t="shared" si="69"/>
        <v>1.3471867539192717E-2</v>
      </c>
      <c r="AC68" s="289">
        <f t="shared" si="69"/>
        <v>1.3471645157798084E-2</v>
      </c>
      <c r="AD68" s="289">
        <f t="shared" si="69"/>
        <v>1.3470307141614235E-2</v>
      </c>
      <c r="AE68" s="289">
        <f t="shared" si="69"/>
        <v>1.3469894642317737E-2</v>
      </c>
      <c r="AF68" s="289">
        <f t="shared" si="69"/>
        <v>1.3469518422440263E-2</v>
      </c>
      <c r="AG68" s="289">
        <f t="shared" si="69"/>
        <v>1.3470018929538252E-2</v>
      </c>
      <c r="AH68" s="283">
        <f>AH67/AG67-1</f>
        <v>1.3468292403929327E-2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1.5949474692105181</v>
      </c>
      <c r="O71" s="164"/>
      <c r="P71" s="164"/>
      <c r="Q71" s="164"/>
      <c r="R71" s="164"/>
      <c r="S71" s="164"/>
      <c r="T71" s="164"/>
      <c r="U71" s="164"/>
      <c r="V71" s="164"/>
      <c r="W71" s="164"/>
      <c r="X71" s="186">
        <f>(X86/N86)^(1/10)</f>
        <v>1.0562441136454668</v>
      </c>
      <c r="Y71" s="20"/>
      <c r="Z71" s="20"/>
      <c r="AA71" s="20"/>
      <c r="AB71" s="20"/>
      <c r="AC71" s="20"/>
      <c r="AD71" s="20"/>
      <c r="AE71" s="20"/>
      <c r="AF71" s="20"/>
      <c r="AG71" s="20"/>
      <c r="AH71" s="186">
        <f>(AH86/X86)^(1/10)</f>
        <v>1.0134426905796654</v>
      </c>
      <c r="AI71" s="127"/>
    </row>
    <row r="72" spans="1:35">
      <c r="A72" s="9" t="s">
        <v>50</v>
      </c>
      <c r="B72" s="37"/>
      <c r="C72" s="332"/>
      <c r="D72" s="332"/>
      <c r="E72" s="332"/>
      <c r="F72" s="332"/>
      <c r="G72" s="332"/>
      <c r="H72" s="284"/>
      <c r="I72" s="164"/>
      <c r="J72" s="164"/>
      <c r="K72" s="395"/>
      <c r="L72" s="395"/>
      <c r="M72" s="164"/>
      <c r="N72" s="186">
        <f>(N87/H87)^(1/6)</f>
        <v>1.1951320754026677</v>
      </c>
      <c r="O72" s="164"/>
      <c r="P72" s="164"/>
      <c r="Q72" s="164"/>
      <c r="R72" s="164"/>
      <c r="S72" s="164"/>
      <c r="T72" s="164"/>
      <c r="U72" s="164"/>
      <c r="V72" s="164"/>
      <c r="W72" s="164"/>
      <c r="X72" s="186">
        <f>(X87/N87)^(1/10)</f>
        <v>1.0562441136454668</v>
      </c>
      <c r="Y72" s="20"/>
      <c r="Z72" s="20"/>
      <c r="AA72" s="20"/>
      <c r="AB72" s="20"/>
      <c r="AC72" s="20"/>
      <c r="AD72" s="20"/>
      <c r="AE72" s="20"/>
      <c r="AF72" s="20"/>
      <c r="AG72" s="20"/>
      <c r="AH72" s="186">
        <f>(AH87/X87)^(1/10)</f>
        <v>1.0134426905796656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1.1938620453851678</v>
      </c>
      <c r="O74" s="164"/>
      <c r="P74" s="164"/>
      <c r="Q74" s="164"/>
      <c r="R74" s="164"/>
      <c r="S74" s="164"/>
      <c r="T74" s="164"/>
      <c r="U74" s="164"/>
      <c r="V74" s="164"/>
      <c r="W74" s="164"/>
      <c r="X74" s="186">
        <f>(X89/N89)^(1/10)</f>
        <v>1.0562441136454668</v>
      </c>
      <c r="AH74" s="186">
        <f>(AH89/X89)^(1/10)</f>
        <v>1.0134426905796656</v>
      </c>
      <c r="AI74" s="127"/>
    </row>
    <row r="75" spans="1:35">
      <c r="A75" s="9" t="s">
        <v>347</v>
      </c>
      <c r="B75" s="37"/>
      <c r="C75" s="332"/>
      <c r="D75" s="332"/>
      <c r="E75" s="332"/>
      <c r="F75" s="332"/>
      <c r="G75" s="332"/>
      <c r="H75" s="284"/>
      <c r="I75" s="164"/>
      <c r="J75" s="164"/>
      <c r="K75" s="395"/>
      <c r="L75" s="395"/>
      <c r="M75" s="164"/>
      <c r="N75" s="179">
        <f>(N90/H90)^(1/6)</f>
        <v>1.4309268076076465</v>
      </c>
      <c r="O75" s="164"/>
      <c r="P75" s="164"/>
      <c r="Q75" s="164"/>
      <c r="R75" s="164"/>
      <c r="S75" s="164"/>
      <c r="T75" s="164"/>
      <c r="U75" s="164"/>
      <c r="V75" s="164"/>
      <c r="W75" s="164"/>
      <c r="X75" s="186">
        <f>(X90/N90)^(1/10)</f>
        <v>1.0562441136454668</v>
      </c>
      <c r="AH75" s="186">
        <f>(AH90/X90)^(1/10)</f>
        <v>1.0134426905796654</v>
      </c>
      <c r="AI75" s="127"/>
    </row>
    <row r="76" spans="1:35">
      <c r="A76" s="9" t="s">
        <v>348</v>
      </c>
      <c r="B76" s="37"/>
      <c r="C76" s="332"/>
      <c r="D76" s="332"/>
      <c r="E76" s="332"/>
      <c r="F76" s="332"/>
      <c r="G76" s="332"/>
      <c r="H76" s="284"/>
      <c r="I76" s="164"/>
      <c r="J76" s="164"/>
      <c r="K76" s="395"/>
      <c r="L76" s="395"/>
      <c r="M76" s="164"/>
      <c r="N76" s="179">
        <f>(N91/H91)^(1/6)</f>
        <v>1.1951320754026677</v>
      </c>
      <c r="O76" s="164"/>
      <c r="P76" s="164"/>
      <c r="Q76" s="164"/>
      <c r="R76" s="164"/>
      <c r="S76" s="164"/>
      <c r="T76" s="164"/>
      <c r="U76" s="164"/>
      <c r="V76" s="164"/>
      <c r="W76" s="164"/>
      <c r="X76" s="186">
        <f>(X91/N91)^(1/10)</f>
        <v>1.0562441136454668</v>
      </c>
      <c r="AH76" s="186">
        <f>(AH91/X91)^(1/10)</f>
        <v>1.0134426905796656</v>
      </c>
      <c r="AI76" s="127"/>
    </row>
    <row r="77" spans="1:35">
      <c r="A77" s="9" t="s">
        <v>344</v>
      </c>
      <c r="B77" s="37"/>
      <c r="C77" s="332"/>
      <c r="D77" s="332"/>
      <c r="E77" s="332"/>
      <c r="F77" s="332"/>
      <c r="G77" s="332"/>
      <c r="H77" s="284"/>
      <c r="I77" s="164"/>
      <c r="J77" s="164"/>
      <c r="K77" s="395"/>
      <c r="L77" s="395"/>
      <c r="M77" s="164"/>
      <c r="N77" s="179">
        <f>(N92/H92)^(1/6)</f>
        <v>1.1951320754026677</v>
      </c>
      <c r="O77" s="164"/>
      <c r="P77" s="164"/>
      <c r="Q77" s="164"/>
      <c r="R77" s="164"/>
      <c r="S77" s="164"/>
      <c r="T77" s="164"/>
      <c r="U77" s="164"/>
      <c r="V77" s="164"/>
      <c r="W77" s="164"/>
      <c r="X77" s="186">
        <f>(X92/N92)^(1/10)</f>
        <v>1.0562441136454668</v>
      </c>
      <c r="AH77" s="186">
        <f>(AH92/X92)^(1/10)</f>
        <v>1.0134426905796656</v>
      </c>
      <c r="AI77" s="127"/>
    </row>
    <row r="78" spans="1:35">
      <c r="A78" s="9" t="s">
        <v>120</v>
      </c>
      <c r="B78" s="37"/>
      <c r="C78" s="332"/>
      <c r="D78" s="332"/>
      <c r="E78" s="332"/>
      <c r="F78" s="332"/>
      <c r="G78" s="332"/>
      <c r="H78" s="284"/>
      <c r="I78" s="164"/>
      <c r="J78" s="164"/>
      <c r="K78" s="395"/>
      <c r="L78" s="395"/>
      <c r="M78" s="164"/>
      <c r="N78" s="186">
        <f t="shared" ref="N78:N79" si="70">(N93/H93)^(1/6)</f>
        <v>1.3741315951335402</v>
      </c>
      <c r="O78" s="164"/>
      <c r="P78" s="164"/>
      <c r="Q78" s="164"/>
      <c r="R78" s="164"/>
      <c r="S78" s="164"/>
      <c r="T78" s="164"/>
      <c r="U78" s="164"/>
      <c r="V78" s="164"/>
      <c r="W78" s="164"/>
      <c r="X78" s="186">
        <f t="shared" ref="X78:X79" si="71">(X93/N93)^(1/10)</f>
        <v>1.0890851268405746</v>
      </c>
      <c r="AH78" s="186">
        <f t="shared" ref="AH78:AH79" si="72">(AH93/X93)^(1/10)</f>
        <v>1.0450148810978654</v>
      </c>
      <c r="AI78" s="127"/>
    </row>
    <row r="79" spans="1:35">
      <c r="A79" s="9" t="s">
        <v>53</v>
      </c>
      <c r="B79" s="37"/>
      <c r="C79" s="332"/>
      <c r="D79" s="332"/>
      <c r="E79" s="332"/>
      <c r="F79" s="332"/>
      <c r="G79" s="332"/>
      <c r="H79" s="284"/>
      <c r="I79" s="164"/>
      <c r="J79" s="164"/>
      <c r="K79" s="395"/>
      <c r="L79" s="395"/>
      <c r="M79" s="164"/>
      <c r="N79" s="186">
        <f t="shared" si="70"/>
        <v>1.197763361089222</v>
      </c>
      <c r="O79" s="164"/>
      <c r="P79" s="164"/>
      <c r="Q79" s="164"/>
      <c r="R79" s="164"/>
      <c r="S79" s="164"/>
      <c r="T79" s="164"/>
      <c r="U79" s="164"/>
      <c r="V79" s="164"/>
      <c r="W79" s="164"/>
      <c r="X79" s="186">
        <f t="shared" si="71"/>
        <v>1.0562441136454668</v>
      </c>
      <c r="AH79" s="186">
        <f t="shared" si="72"/>
        <v>1.0134426905796656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3.8807955781612912E-3</v>
      </c>
      <c r="D84" s="336">
        <f t="shared" si="73"/>
        <v>4.0649077534412482E-3</v>
      </c>
      <c r="E84" s="336">
        <f t="shared" si="73"/>
        <v>4.2490199287212047E-3</v>
      </c>
      <c r="F84" s="336">
        <f t="shared" si="73"/>
        <v>4.4331321040011612E-3</v>
      </c>
      <c r="G84" s="336">
        <f t="shared" si="73"/>
        <v>4.6172442792811177E-3</v>
      </c>
      <c r="H84" s="396">
        <f t="shared" si="73"/>
        <v>5.1609163801939291E-3</v>
      </c>
      <c r="I84" s="116">
        <f t="shared" si="73"/>
        <v>5.2851019012017438E-3</v>
      </c>
      <c r="J84" s="116">
        <f t="shared" si="73"/>
        <v>5.4092874222095577E-3</v>
      </c>
      <c r="K84" s="116">
        <f t="shared" si="73"/>
        <v>5.5334729432173716E-3</v>
      </c>
      <c r="L84" s="116">
        <f t="shared" si="73"/>
        <v>5.6576584642251855E-3</v>
      </c>
      <c r="M84" s="116">
        <f t="shared" si="73"/>
        <v>5.7818439852329994E-3</v>
      </c>
      <c r="N84" s="178">
        <f t="shared" si="73"/>
        <v>5.906029506240815E-3</v>
      </c>
      <c r="O84" s="116">
        <f t="shared" si="73"/>
        <v>5.8885973627195087E-3</v>
      </c>
      <c r="P84" s="116">
        <f t="shared" si="73"/>
        <v>5.8711652191982024E-3</v>
      </c>
      <c r="Q84" s="116">
        <f t="shared" si="73"/>
        <v>5.853733075676896E-3</v>
      </c>
      <c r="R84" s="116">
        <f t="shared" si="73"/>
        <v>5.8363009321555897E-3</v>
      </c>
      <c r="S84" s="116">
        <f t="shared" si="73"/>
        <v>5.8188687886342834E-3</v>
      </c>
      <c r="T84" s="116">
        <f t="shared" si="73"/>
        <v>5.801436645112977E-3</v>
      </c>
      <c r="U84" s="116">
        <f t="shared" si="73"/>
        <v>5.7840045015916707E-3</v>
      </c>
      <c r="V84" s="116">
        <f t="shared" si="73"/>
        <v>5.7665723580703643E-3</v>
      </c>
      <c r="W84" s="116">
        <f t="shared" si="73"/>
        <v>5.749140214549058E-3</v>
      </c>
      <c r="X84" s="178">
        <f t="shared" si="73"/>
        <v>5.7317080710277525E-3</v>
      </c>
      <c r="Y84" s="173">
        <f t="shared" si="73"/>
        <v>5.7210752280279758E-3</v>
      </c>
      <c r="Z84" s="173">
        <f t="shared" si="73"/>
        <v>5.7104423850281982E-3</v>
      </c>
      <c r="AA84" s="173">
        <f t="shared" si="73"/>
        <v>5.6998095420284205E-3</v>
      </c>
      <c r="AB84" s="173">
        <f t="shared" si="73"/>
        <v>5.6891766990286429E-3</v>
      </c>
      <c r="AC84" s="173">
        <f t="shared" si="73"/>
        <v>5.6785438560288653E-3</v>
      </c>
      <c r="AD84" s="173">
        <f t="shared" si="73"/>
        <v>5.6679110130290877E-3</v>
      </c>
      <c r="AE84" s="173">
        <f t="shared" si="73"/>
        <v>5.65727817002931E-3</v>
      </c>
      <c r="AF84" s="173">
        <f t="shared" si="73"/>
        <v>5.6466453270295324E-3</v>
      </c>
      <c r="AG84" s="173">
        <f t="shared" si="73"/>
        <v>5.6360124840297548E-3</v>
      </c>
      <c r="AH84" s="178">
        <f t="shared" si="73"/>
        <v>5.6253796410299806E-3</v>
      </c>
      <c r="AI84" s="127"/>
    </row>
    <row r="85" spans="1:35">
      <c r="A85" s="9" t="s">
        <v>59</v>
      </c>
      <c r="B85" s="37"/>
      <c r="C85" s="336">
        <f t="shared" ref="C85:AH85" si="74">C32/C$49</f>
        <v>0.11176608943639196</v>
      </c>
      <c r="D85" s="336">
        <f t="shared" si="74"/>
        <v>0.10998567228702326</v>
      </c>
      <c r="E85" s="336">
        <f t="shared" si="74"/>
        <v>0.10820525513765455</v>
      </c>
      <c r="F85" s="336">
        <f t="shared" si="74"/>
        <v>0.10642483798828585</v>
      </c>
      <c r="G85" s="336">
        <f t="shared" si="74"/>
        <v>0.10464442083891715</v>
      </c>
      <c r="H85" s="396">
        <f t="shared" si="74"/>
        <v>0.10228802801589812</v>
      </c>
      <c r="I85" s="116">
        <f t="shared" si="74"/>
        <v>0.1006036068121378</v>
      </c>
      <c r="J85" s="116">
        <f t="shared" si="74"/>
        <v>9.891918560837748E-2</v>
      </c>
      <c r="K85" s="116">
        <f t="shared" si="74"/>
        <v>9.7234764404617161E-2</v>
      </c>
      <c r="L85" s="116">
        <f t="shared" si="74"/>
        <v>9.5550343200856841E-2</v>
      </c>
      <c r="M85" s="116">
        <f t="shared" si="74"/>
        <v>9.3865921997096521E-2</v>
      </c>
      <c r="N85" s="178">
        <f t="shared" si="74"/>
        <v>9.218150079333623E-2</v>
      </c>
      <c r="O85" s="116">
        <f t="shared" si="74"/>
        <v>9.1909419329784303E-2</v>
      </c>
      <c r="P85" s="116">
        <f t="shared" si="74"/>
        <v>9.1637337866232377E-2</v>
      </c>
      <c r="Q85" s="116">
        <f t="shared" si="74"/>
        <v>9.136525640268045E-2</v>
      </c>
      <c r="R85" s="116">
        <f t="shared" si="74"/>
        <v>9.1093174939128524E-2</v>
      </c>
      <c r="S85" s="116">
        <f t="shared" si="74"/>
        <v>9.0821093475576598E-2</v>
      </c>
      <c r="T85" s="116">
        <f t="shared" si="74"/>
        <v>9.0549012012024671E-2</v>
      </c>
      <c r="U85" s="116">
        <f t="shared" si="74"/>
        <v>9.0276930548472745E-2</v>
      </c>
      <c r="V85" s="116">
        <f t="shared" si="74"/>
        <v>9.0004849084920818E-2</v>
      </c>
      <c r="W85" s="116">
        <f t="shared" si="74"/>
        <v>8.9732767621368892E-2</v>
      </c>
      <c r="X85" s="178">
        <f t="shared" si="74"/>
        <v>8.9460686157817007E-2</v>
      </c>
      <c r="Y85" s="173">
        <f t="shared" si="74"/>
        <v>8.9294728398143841E-2</v>
      </c>
      <c r="Z85" s="173">
        <f t="shared" si="74"/>
        <v>8.9128770638470661E-2</v>
      </c>
      <c r="AA85" s="173">
        <f t="shared" si="74"/>
        <v>8.8962812878797481E-2</v>
      </c>
      <c r="AB85" s="173">
        <f t="shared" si="74"/>
        <v>8.8796855119124302E-2</v>
      </c>
      <c r="AC85" s="173">
        <f t="shared" si="74"/>
        <v>8.8630897359451122E-2</v>
      </c>
      <c r="AD85" s="173">
        <f t="shared" si="74"/>
        <v>8.8464939599777942E-2</v>
      </c>
      <c r="AE85" s="173">
        <f t="shared" si="74"/>
        <v>8.8298981840104762E-2</v>
      </c>
      <c r="AF85" s="173">
        <f t="shared" si="74"/>
        <v>8.8133024080431582E-2</v>
      </c>
      <c r="AG85" s="173">
        <f t="shared" si="74"/>
        <v>8.7967066320758402E-2</v>
      </c>
      <c r="AH85" s="178">
        <f t="shared" si="74"/>
        <v>8.7801108561085278E-2</v>
      </c>
      <c r="AI85" s="127"/>
    </row>
    <row r="86" spans="1:35" s="252" customFormat="1">
      <c r="A86" s="10" t="s">
        <v>121</v>
      </c>
      <c r="B86" s="37"/>
      <c r="C86" s="410">
        <f t="shared" ref="C86:AH86" si="75">C34/C$49</f>
        <v>3.0135536412548144E-3</v>
      </c>
      <c r="D86" s="336">
        <f t="shared" si="75"/>
        <v>4.8064597534495076E-3</v>
      </c>
      <c r="E86" s="336">
        <f t="shared" si="75"/>
        <v>7.6660508196265019E-3</v>
      </c>
      <c r="F86" s="336">
        <f t="shared" si="75"/>
        <v>1.2226948353602508E-2</v>
      </c>
      <c r="G86" s="336">
        <f t="shared" si="75"/>
        <v>1.9501340332746031E-2</v>
      </c>
      <c r="H86" s="409">
        <f t="shared" si="75"/>
        <v>3.7337241258464126E-3</v>
      </c>
      <c r="I86" s="396">
        <f t="shared" si="75"/>
        <v>5.9550938452489896E-3</v>
      </c>
      <c r="J86" s="396">
        <f t="shared" si="75"/>
        <v>9.4980618573910092E-3</v>
      </c>
      <c r="K86" s="396">
        <f t="shared" si="75"/>
        <v>1.5148909721850743E-2</v>
      </c>
      <c r="L86" s="396">
        <f t="shared" si="75"/>
        <v>2.4161715222164457E-2</v>
      </c>
      <c r="M86" s="396">
        <f t="shared" si="75"/>
        <v>3.853666654537645E-2</v>
      </c>
      <c r="N86" s="397">
        <f>N34/N$49</f>
        <v>6.1463958778357801E-2</v>
      </c>
      <c r="O86" s="396">
        <f t="shared" si="75"/>
        <v>6.492094466098805E-2</v>
      </c>
      <c r="P86" s="396">
        <f t="shared" si="75"/>
        <v>6.8572365650471728E-2</v>
      </c>
      <c r="Q86" s="396">
        <f t="shared" si="75"/>
        <v>7.2429157577055356E-2</v>
      </c>
      <c r="R86" s="396">
        <f t="shared" si="75"/>
        <v>7.6502871347064683E-2</v>
      </c>
      <c r="S86" s="396">
        <f t="shared" si="75"/>
        <v>8.0805707537313518E-2</v>
      </c>
      <c r="T86" s="396">
        <f t="shared" si="75"/>
        <v>8.5350552935244531E-2</v>
      </c>
      <c r="U86" s="396">
        <f t="shared" si="75"/>
        <v>9.0151019134237856E-2</v>
      </c>
      <c r="V86" s="396">
        <f t="shared" si="75"/>
        <v>9.5221483299678583E-2</v>
      </c>
      <c r="W86" s="396">
        <f t="shared" si="75"/>
        <v>0.10057713122787562</v>
      </c>
      <c r="X86" s="397">
        <f t="shared" si="75"/>
        <v>0.10623400282679127</v>
      </c>
      <c r="Y86" s="396">
        <f>Y34/Y$49</f>
        <v>0.10766207365583112</v>
      </c>
      <c r="Z86" s="396">
        <f t="shared" si="75"/>
        <v>0.10910934159915162</v>
      </c>
      <c r="AA86" s="396">
        <f t="shared" si="75"/>
        <v>0.11057606471762001</v>
      </c>
      <c r="AB86" s="396">
        <f t="shared" si="75"/>
        <v>0.11206250454113603</v>
      </c>
      <c r="AC86" s="396">
        <f t="shared" si="75"/>
        <v>0.11356892611526487</v>
      </c>
      <c r="AD86" s="396">
        <f t="shared" si="75"/>
        <v>0.11509559804849726</v>
      </c>
      <c r="AE86" s="396">
        <f t="shared" si="75"/>
        <v>0.11664279256014475</v>
      </c>
      <c r="AF86" s="396">
        <f t="shared" si="75"/>
        <v>0.11821078552887887</v>
      </c>
      <c r="AG86" s="396">
        <f t="shared" si="75"/>
        <v>0.11979985654192278</v>
      </c>
      <c r="AH86" s="397">
        <f t="shared" si="75"/>
        <v>0.12141028894490428</v>
      </c>
      <c r="AI86" s="292"/>
    </row>
    <row r="87" spans="1:35">
      <c r="A87" s="9" t="s">
        <v>50</v>
      </c>
      <c r="B87" s="37"/>
      <c r="C87" s="410">
        <f t="shared" ref="C87:AH87" si="76">C35/C$49</f>
        <v>0</v>
      </c>
      <c r="D87" s="336">
        <f t="shared" si="76"/>
        <v>0</v>
      </c>
      <c r="E87" s="336">
        <f t="shared" si="76"/>
        <v>6.8149007423200501E-13</v>
      </c>
      <c r="F87" s="336">
        <f t="shared" si="76"/>
        <v>7.6517748162164879E-13</v>
      </c>
      <c r="G87" s="336">
        <f t="shared" si="76"/>
        <v>6.9543295890819265E-13</v>
      </c>
      <c r="H87" s="409">
        <f t="shared" si="76"/>
        <v>6.966063824718402E-13</v>
      </c>
      <c r="I87" s="116">
        <f t="shared" si="76"/>
        <v>8.3253663162231496E-13</v>
      </c>
      <c r="J87" s="116">
        <f>J35/J$49</f>
        <v>9.9499123239952345E-13</v>
      </c>
      <c r="K87" s="116">
        <f t="shared" si="76"/>
        <v>1.1891459365851006E-12</v>
      </c>
      <c r="L87" s="116">
        <f t="shared" si="76"/>
        <v>1.4211864511476003E-12</v>
      </c>
      <c r="M87" s="116">
        <f t="shared" si="76"/>
        <v>1.6985055128941839E-12</v>
      </c>
      <c r="N87" s="178">
        <f t="shared" si="76"/>
        <v>2.0299384187080988E-12</v>
      </c>
      <c r="O87" s="116">
        <f t="shared" si="76"/>
        <v>2.1441105058232159E-12</v>
      </c>
      <c r="P87" s="116">
        <f t="shared" si="76"/>
        <v>2.2647041007811761E-12</v>
      </c>
      <c r="Q87" s="116">
        <f t="shared" si="76"/>
        <v>2.3920803755988673E-12</v>
      </c>
      <c r="R87" s="116">
        <f t="shared" si="76"/>
        <v>2.526620816093141E-12</v>
      </c>
      <c r="S87" s="116">
        <f t="shared" si="76"/>
        <v>2.6687283644124855E-12</v>
      </c>
      <c r="T87" s="116">
        <f t="shared" si="76"/>
        <v>2.8188286258293819E-12</v>
      </c>
      <c r="U87" s="116">
        <f t="shared" si="76"/>
        <v>2.9773711434076247E-12</v>
      </c>
      <c r="V87" s="116">
        <f t="shared" si="76"/>
        <v>3.1448307443621769E-12</v>
      </c>
      <c r="W87" s="116">
        <f t="shared" si="76"/>
        <v>3.3217089621438408E-12</v>
      </c>
      <c r="X87" s="178">
        <f t="shared" si="76"/>
        <v>3.5085355385078252E-12</v>
      </c>
      <c r="Y87" s="173">
        <f t="shared" si="76"/>
        <v>3.5556996961397469E-12</v>
      </c>
      <c r="Z87" s="173">
        <f t="shared" si="76"/>
        <v>3.6034978669491643E-12</v>
      </c>
      <c r="AA87" s="173">
        <f t="shared" si="76"/>
        <v>3.651938573779047E-12</v>
      </c>
      <c r="AB87" s="173">
        <f t="shared" si="76"/>
        <v>3.7010304540423043E-12</v>
      </c>
      <c r="AC87" s="173">
        <f t="shared" si="76"/>
        <v>3.7507822612619146E-12</v>
      </c>
      <c r="AD87" s="173">
        <f t="shared" si="76"/>
        <v>3.8012028666317567E-12</v>
      </c>
      <c r="AE87" s="173">
        <f t="shared" si="76"/>
        <v>3.8523012605984256E-12</v>
      </c>
      <c r="AF87" s="173">
        <f t="shared" si="76"/>
        <v>3.9040865544643061E-12</v>
      </c>
      <c r="AG87" s="173">
        <f t="shared" si="76"/>
        <v>3.9565679820122027E-12</v>
      </c>
      <c r="AH87" s="178">
        <f t="shared" si="76"/>
        <v>4.0097549011518005E-12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1.4553259048011055E-3</v>
      </c>
      <c r="D89" s="336">
        <f t="shared" si="78"/>
        <v>1.8417234066302043E-3</v>
      </c>
      <c r="E89" s="336">
        <f t="shared" si="78"/>
        <v>2.0742855931219595E-3</v>
      </c>
      <c r="F89" s="336">
        <f t="shared" si="78"/>
        <v>2.4764108409175687E-3</v>
      </c>
      <c r="G89" s="336">
        <f t="shared" si="78"/>
        <v>2.9564929117518522E-3</v>
      </c>
      <c r="H89" s="409">
        <f t="shared" si="78"/>
        <v>1.62970587204398E-3</v>
      </c>
      <c r="I89" s="116">
        <f t="shared" si="78"/>
        <v>1.9456439857746446E-3</v>
      </c>
      <c r="J89" s="116">
        <f t="shared" si="78"/>
        <v>2.3228305084482676E-3</v>
      </c>
      <c r="K89" s="116">
        <f t="shared" si="78"/>
        <v>2.7731391818991181E-3</v>
      </c>
      <c r="L89" s="116">
        <f t="shared" si="78"/>
        <v>3.3107456158398322E-3</v>
      </c>
      <c r="M89" s="116">
        <f t="shared" si="78"/>
        <v>3.9525735326765192E-3</v>
      </c>
      <c r="N89" s="178">
        <f t="shared" si="78"/>
        <v>4.7188275222564656E-3</v>
      </c>
      <c r="O89" s="116">
        <f t="shared" si="78"/>
        <v>4.9842337936916161E-3</v>
      </c>
      <c r="P89" s="116">
        <f t="shared" si="78"/>
        <v>5.2645676056195835E-3</v>
      </c>
      <c r="Q89" s="116">
        <f t="shared" si="78"/>
        <v>5.5606685443242944E-3</v>
      </c>
      <c r="R89" s="116">
        <f t="shared" si="78"/>
        <v>5.8734234178760419E-3</v>
      </c>
      <c r="S89" s="116">
        <f t="shared" si="78"/>
        <v>6.2037689120790079E-3</v>
      </c>
      <c r="T89" s="116">
        <f t="shared" si="78"/>
        <v>6.5526943958001934E-3</v>
      </c>
      <c r="U89" s="116">
        <f t="shared" si="78"/>
        <v>6.9212448840815927E-3</v>
      </c>
      <c r="V89" s="116">
        <f t="shared" si="78"/>
        <v>7.3105241679099833E-3</v>
      </c>
      <c r="W89" s="116">
        <f t="shared" si="78"/>
        <v>7.7216981200178437E-3</v>
      </c>
      <c r="X89" s="178">
        <f t="shared" si="78"/>
        <v>8.1559981866161126E-3</v>
      </c>
      <c r="Y89" s="173">
        <f t="shared" si="78"/>
        <v>8.2656367466071076E-3</v>
      </c>
      <c r="Z89" s="173">
        <f t="shared" si="78"/>
        <v>8.3767491438356614E-3</v>
      </c>
      <c r="AA89" s="173">
        <f t="shared" si="78"/>
        <v>8.4893551906397233E-3</v>
      </c>
      <c r="AB89" s="173">
        <f t="shared" si="78"/>
        <v>8.6034749656883711E-3</v>
      </c>
      <c r="AC89" s="173">
        <f t="shared" si="78"/>
        <v>8.7191288175620194E-3</v>
      </c>
      <c r="AD89" s="173">
        <f t="shared" si="78"/>
        <v>8.8363373683807509E-3</v>
      </c>
      <c r="AE89" s="173">
        <f t="shared" si="78"/>
        <v>8.9551215174814309E-3</v>
      </c>
      <c r="AF89" s="173">
        <f t="shared" si="78"/>
        <v>9.0755024451442401E-3</v>
      </c>
      <c r="AG89" s="173">
        <f t="shared" si="78"/>
        <v>9.1975016163693135E-3</v>
      </c>
      <c r="AH89" s="178">
        <f t="shared" si="78"/>
        <v>9.3211407847041284E-3</v>
      </c>
      <c r="AI89" s="127"/>
    </row>
    <row r="90" spans="1:35" s="252" customFormat="1">
      <c r="A90" s="10" t="s">
        <v>347</v>
      </c>
      <c r="B90" s="37"/>
      <c r="C90" s="410">
        <f t="shared" ref="C90:AH90" si="79">C38/C$49</f>
        <v>3.9999999999999996E-5</v>
      </c>
      <c r="D90" s="336">
        <f t="shared" si="79"/>
        <v>1E-4</v>
      </c>
      <c r="E90" s="336">
        <f t="shared" si="79"/>
        <v>3.0006814900742317E-4</v>
      </c>
      <c r="F90" s="336">
        <f t="shared" si="79"/>
        <v>6.0007651774816211E-4</v>
      </c>
      <c r="G90" s="336">
        <f t="shared" si="79"/>
        <v>9.0006954329589089E-4</v>
      </c>
      <c r="H90" s="409">
        <f t="shared" si="79"/>
        <v>1.2000696606382472E-3</v>
      </c>
      <c r="I90" s="396">
        <f t="shared" si="79"/>
        <v>1.7172118484038788E-3</v>
      </c>
      <c r="J90" s="396">
        <f t="shared" si="79"/>
        <v>2.457204468222588E-3</v>
      </c>
      <c r="K90" s="396">
        <f t="shared" si="79"/>
        <v>3.5160797453529925E-3</v>
      </c>
      <c r="L90" s="396">
        <f t="shared" si="79"/>
        <v>5.0312527653118642E-3</v>
      </c>
      <c r="M90" s="396">
        <f t="shared" si="79"/>
        <v>7.1993544577348481E-3</v>
      </c>
      <c r="N90" s="397">
        <f t="shared" si="79"/>
        <v>1.0301749291042406E-2</v>
      </c>
      <c r="O90" s="396">
        <f t="shared" si="79"/>
        <v>1.0881162048914901E-2</v>
      </c>
      <c r="P90" s="396">
        <f t="shared" si="79"/>
        <v>1.1493163363788811E-2</v>
      </c>
      <c r="Q90" s="396">
        <f t="shared" si="79"/>
        <v>1.2139586150167664E-2</v>
      </c>
      <c r="R90" s="396">
        <f t="shared" si="79"/>
        <v>1.2822366413206629E-2</v>
      </c>
      <c r="S90" s="396">
        <f t="shared" si="79"/>
        <v>1.3543549046954838E-2</v>
      </c>
      <c r="T90" s="396">
        <f t="shared" si="79"/>
        <v>1.4305293958714717E-2</v>
      </c>
      <c r="U90" s="396">
        <f t="shared" si="79"/>
        <v>1.5109882537860478E-2</v>
      </c>
      <c r="V90" s="396">
        <f t="shared" si="79"/>
        <v>1.5959724488489556E-2</v>
      </c>
      <c r="W90" s="396">
        <f t="shared" si="79"/>
        <v>1.68573650463705E-2</v>
      </c>
      <c r="X90" s="397">
        <f t="shared" si="79"/>
        <v>1.7805492601801691E-2</v>
      </c>
      <c r="Y90" s="396">
        <f t="shared" si="79"/>
        <v>1.8044846329466232E-2</v>
      </c>
      <c r="Z90" s="396">
        <f t="shared" si="79"/>
        <v>1.8287417615230856E-2</v>
      </c>
      <c r="AA90" s="396">
        <f t="shared" si="79"/>
        <v>1.8533249711733528E-2</v>
      </c>
      <c r="AB90" s="396">
        <f t="shared" si="79"/>
        <v>1.8782386453044034E-2</v>
      </c>
      <c r="AC90" s="396">
        <f t="shared" si="79"/>
        <v>1.9034872262480004E-2</v>
      </c>
      <c r="AD90" s="396">
        <f t="shared" si="79"/>
        <v>1.9290752160527978E-2</v>
      </c>
      <c r="AE90" s="396">
        <f t="shared" si="79"/>
        <v>1.9550071772870967E-2</v>
      </c>
      <c r="AF90" s="396">
        <f t="shared" si="79"/>
        <v>1.9812877338523924E-2</v>
      </c>
      <c r="AG90" s="396">
        <f t="shared" si="79"/>
        <v>2.0079215718078566E-2</v>
      </c>
      <c r="AH90" s="397">
        <f t="shared" si="79"/>
        <v>2.0349134402059071E-2</v>
      </c>
      <c r="AI90" s="292"/>
    </row>
    <row r="91" spans="1:35" s="252" customFormat="1">
      <c r="A91" s="10" t="s">
        <v>348</v>
      </c>
      <c r="B91" s="37"/>
      <c r="C91" s="410">
        <f t="shared" ref="C91:AH91" si="80">C39/C$49</f>
        <v>0</v>
      </c>
      <c r="D91" s="336">
        <f t="shared" si="80"/>
        <v>0</v>
      </c>
      <c r="E91" s="336">
        <f t="shared" si="80"/>
        <v>6.81490074232005E-8</v>
      </c>
      <c r="F91" s="336">
        <f t="shared" si="80"/>
        <v>7.6517748162164878E-8</v>
      </c>
      <c r="G91" s="336">
        <f t="shared" si="80"/>
        <v>6.9543295890819257E-8</v>
      </c>
      <c r="H91" s="409">
        <f t="shared" si="80"/>
        <v>6.9660638247184015E-8</v>
      </c>
      <c r="I91" s="396">
        <f t="shared" si="80"/>
        <v>8.3253663162231487E-8</v>
      </c>
      <c r="J91" s="396">
        <f t="shared" si="80"/>
        <v>9.9499123239952343E-8</v>
      </c>
      <c r="K91" s="396">
        <f t="shared" si="80"/>
        <v>1.1891459365851006E-7</v>
      </c>
      <c r="L91" s="396">
        <f t="shared" si="80"/>
        <v>1.4211864511476003E-7</v>
      </c>
      <c r="M91" s="396">
        <f t="shared" si="80"/>
        <v>1.6985055128941836E-7</v>
      </c>
      <c r="N91" s="397">
        <f t="shared" si="80"/>
        <v>2.0299384187080983E-7</v>
      </c>
      <c r="O91" s="396">
        <f t="shared" si="80"/>
        <v>2.1441105058232157E-7</v>
      </c>
      <c r="P91" s="396">
        <f t="shared" si="80"/>
        <v>2.2647041007811758E-7</v>
      </c>
      <c r="Q91" s="396">
        <f t="shared" si="80"/>
        <v>2.3920803755988667E-7</v>
      </c>
      <c r="R91" s="396">
        <f t="shared" si="80"/>
        <v>2.5266208160931402E-7</v>
      </c>
      <c r="S91" s="396">
        <f t="shared" si="80"/>
        <v>2.668728364412485E-7</v>
      </c>
      <c r="T91" s="396">
        <f t="shared" si="80"/>
        <v>2.8188286258293812E-7</v>
      </c>
      <c r="U91" s="396">
        <f t="shared" si="80"/>
        <v>2.9773711434076239E-7</v>
      </c>
      <c r="V91" s="396">
        <f t="shared" si="80"/>
        <v>3.1448307443621755E-7</v>
      </c>
      <c r="W91" s="396">
        <f t="shared" si="80"/>
        <v>3.3217089621438394E-7</v>
      </c>
      <c r="X91" s="397">
        <f t="shared" si="80"/>
        <v>3.5085355385078246E-7</v>
      </c>
      <c r="Y91" s="396">
        <f t="shared" si="80"/>
        <v>3.5556996961397458E-7</v>
      </c>
      <c r="Z91" s="396">
        <f t="shared" si="80"/>
        <v>3.6034978669491635E-7</v>
      </c>
      <c r="AA91" s="396">
        <f t="shared" si="80"/>
        <v>3.6519385737790461E-7</v>
      </c>
      <c r="AB91" s="396">
        <f t="shared" si="80"/>
        <v>3.7010304540423032E-7</v>
      </c>
      <c r="AC91" s="396">
        <f t="shared" si="80"/>
        <v>3.750782261261913E-7</v>
      </c>
      <c r="AD91" s="396">
        <f t="shared" si="80"/>
        <v>3.8012028666317558E-7</v>
      </c>
      <c r="AE91" s="396">
        <f t="shared" si="80"/>
        <v>3.8523012605984245E-7</v>
      </c>
      <c r="AF91" s="396">
        <f t="shared" si="80"/>
        <v>3.9040865544643052E-7</v>
      </c>
      <c r="AG91" s="396">
        <f t="shared" si="80"/>
        <v>3.9565679820122016E-7</v>
      </c>
      <c r="AH91" s="397">
        <f t="shared" si="80"/>
        <v>4.0097549011517994E-7</v>
      </c>
      <c r="AI91" s="292"/>
    </row>
    <row r="92" spans="1:35">
      <c r="A92" s="9" t="s">
        <v>344</v>
      </c>
      <c r="B92" s="37"/>
      <c r="C92" s="410">
        <f t="shared" ref="C92:AH92" si="81">C40/C$49</f>
        <v>7.350130832328816E-8</v>
      </c>
      <c r="D92" s="336">
        <f t="shared" si="81"/>
        <v>8.7843771161222761E-8</v>
      </c>
      <c r="E92" s="336">
        <f t="shared" si="81"/>
        <v>1.0498490853910917E-7</v>
      </c>
      <c r="F92" s="336">
        <f t="shared" si="81"/>
        <v>1.2547083162830482E-7</v>
      </c>
      <c r="G92" s="336">
        <f t="shared" si="81"/>
        <v>1.4995421540643463E-7</v>
      </c>
      <c r="H92" s="409">
        <f t="shared" si="81"/>
        <v>6.9660638247184015E-8</v>
      </c>
      <c r="I92" s="116">
        <f t="shared" si="81"/>
        <v>8.3253663162231487E-8</v>
      </c>
      <c r="J92" s="116">
        <f t="shared" si="81"/>
        <v>9.9499123239952343E-8</v>
      </c>
      <c r="K92" s="116">
        <f t="shared" si="81"/>
        <v>1.1891459365851006E-7</v>
      </c>
      <c r="L92" s="116">
        <f t="shared" si="81"/>
        <v>1.4211864511476003E-7</v>
      </c>
      <c r="M92" s="116">
        <f t="shared" si="81"/>
        <v>1.6985055128941836E-7</v>
      </c>
      <c r="N92" s="178">
        <f t="shared" si="81"/>
        <v>2.0299384187080983E-7</v>
      </c>
      <c r="O92" s="116">
        <f t="shared" si="81"/>
        <v>2.1441105058232157E-7</v>
      </c>
      <c r="P92" s="116">
        <f t="shared" si="81"/>
        <v>2.2647041007811758E-7</v>
      </c>
      <c r="Q92" s="116">
        <f t="shared" si="81"/>
        <v>2.3920803755988667E-7</v>
      </c>
      <c r="R92" s="116">
        <f t="shared" si="81"/>
        <v>2.5266208160931402E-7</v>
      </c>
      <c r="S92" s="116">
        <f t="shared" si="81"/>
        <v>2.668728364412485E-7</v>
      </c>
      <c r="T92" s="116">
        <f t="shared" si="81"/>
        <v>2.8188286258293812E-7</v>
      </c>
      <c r="U92" s="116">
        <f t="shared" si="81"/>
        <v>2.9773711434076239E-7</v>
      </c>
      <c r="V92" s="116">
        <f t="shared" si="81"/>
        <v>3.1448307443621755E-7</v>
      </c>
      <c r="W92" s="116">
        <f t="shared" si="81"/>
        <v>3.3217089621438394E-7</v>
      </c>
      <c r="X92" s="178">
        <f t="shared" si="81"/>
        <v>3.5085355385078246E-7</v>
      </c>
      <c r="Y92" s="173">
        <f t="shared" si="81"/>
        <v>3.5556996961397458E-7</v>
      </c>
      <c r="Z92" s="173">
        <f t="shared" si="81"/>
        <v>3.6034978669491635E-7</v>
      </c>
      <c r="AA92" s="173">
        <f t="shared" si="81"/>
        <v>3.6519385737790461E-7</v>
      </c>
      <c r="AB92" s="173">
        <f t="shared" si="81"/>
        <v>3.7010304540423032E-7</v>
      </c>
      <c r="AC92" s="173">
        <f t="shared" si="81"/>
        <v>3.750782261261913E-7</v>
      </c>
      <c r="AD92" s="173">
        <f t="shared" si="81"/>
        <v>3.8012028666317558E-7</v>
      </c>
      <c r="AE92" s="173">
        <f t="shared" si="81"/>
        <v>3.8523012605984245E-7</v>
      </c>
      <c r="AF92" s="173">
        <f t="shared" si="81"/>
        <v>3.9040865544643052E-7</v>
      </c>
      <c r="AG92" s="173">
        <f t="shared" si="81"/>
        <v>3.9565679820122016E-7</v>
      </c>
      <c r="AH92" s="178">
        <f t="shared" si="81"/>
        <v>4.0097549011517994E-7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6.9660638247184018E-6</v>
      </c>
      <c r="I93" s="116">
        <f t="shared" si="82"/>
        <v>1.4056349712146144E-5</v>
      </c>
      <c r="J93" s="116">
        <f t="shared" si="82"/>
        <v>2.099567395870947E-5</v>
      </c>
      <c r="K93" s="116">
        <f t="shared" si="82"/>
        <v>2.7455609162105436E-5</v>
      </c>
      <c r="L93" s="116">
        <f t="shared" si="82"/>
        <v>3.3791881244394842E-5</v>
      </c>
      <c r="M93" s="116">
        <f t="shared" si="82"/>
        <v>4.0348747310180596E-5</v>
      </c>
      <c r="N93" s="178">
        <f t="shared" si="82"/>
        <v>4.6898332513810828E-5</v>
      </c>
      <c r="O93" s="116">
        <f t="shared" si="82"/>
        <v>5.3302621510640484E-5</v>
      </c>
      <c r="P93" s="116">
        <f t="shared" si="82"/>
        <v>5.9646279075628334E-5</v>
      </c>
      <c r="Q93" s="116">
        <f t="shared" si="82"/>
        <v>6.5762137126445315E-5</v>
      </c>
      <c r="R93" s="116">
        <f t="shared" si="82"/>
        <v>7.2094238943090443E-5</v>
      </c>
      <c r="S93" s="116">
        <f t="shared" si="82"/>
        <v>7.8286268755531463E-5</v>
      </c>
      <c r="T93" s="116">
        <f t="shared" si="82"/>
        <v>8.4452195189855121E-5</v>
      </c>
      <c r="U93" s="116">
        <f t="shared" si="82"/>
        <v>9.0777293058911274E-5</v>
      </c>
      <c r="V93" s="116">
        <f t="shared" si="82"/>
        <v>9.7253613280360739E-5</v>
      </c>
      <c r="W93" s="116">
        <f t="shared" si="82"/>
        <v>1.036031768554048E-4</v>
      </c>
      <c r="X93" s="178">
        <f t="shared" si="82"/>
        <v>1.1009704752252336E-4</v>
      </c>
      <c r="Y93" s="173">
        <f t="shared" si="82"/>
        <v>1.1605805962021825E-4</v>
      </c>
      <c r="Z93" s="173">
        <f t="shared" si="82"/>
        <v>1.2207134647647342E-4</v>
      </c>
      <c r="AA93" s="173">
        <f t="shared" si="82"/>
        <v>1.2800585854256844E-4</v>
      </c>
      <c r="AB93" s="173">
        <f t="shared" si="82"/>
        <v>1.3398206627073794E-4</v>
      </c>
      <c r="AC93" s="173">
        <f t="shared" si="82"/>
        <v>1.4006306804918193E-4</v>
      </c>
      <c r="AD93" s="173">
        <f t="shared" si="82"/>
        <v>1.4608302911548577E-4</v>
      </c>
      <c r="AE93" s="173">
        <f t="shared" si="82"/>
        <v>1.5217701574082328E-4</v>
      </c>
      <c r="AF93" s="173">
        <f t="shared" si="82"/>
        <v>1.58350667099616E-4</v>
      </c>
      <c r="AG93" s="173">
        <f t="shared" si="82"/>
        <v>1.6474096091163905E-4</v>
      </c>
      <c r="AH93" s="178">
        <f t="shared" si="82"/>
        <v>1.7100169744757988E-4</v>
      </c>
      <c r="AI93" s="127"/>
    </row>
    <row r="94" spans="1:35">
      <c r="A94" s="9" t="s">
        <v>53</v>
      </c>
      <c r="B94" s="37"/>
      <c r="C94" s="410">
        <f t="shared" ref="C94:AH94" si="83">C42/C$49</f>
        <v>1.0290183165260341E-4</v>
      </c>
      <c r="D94" s="336">
        <f t="shared" si="83"/>
        <v>1.2325204374245957E-4</v>
      </c>
      <c r="E94" s="336">
        <f t="shared" si="83"/>
        <v>1.1002746839160564E-3</v>
      </c>
      <c r="F94" s="336">
        <f t="shared" si="83"/>
        <v>1.4578315106998235E-3</v>
      </c>
      <c r="G94" s="336">
        <f t="shared" si="83"/>
        <v>1.5228881704988492E-3</v>
      </c>
      <c r="H94" s="409">
        <f t="shared" si="83"/>
        <v>1.5291047207775278E-3</v>
      </c>
      <c r="I94" s="116">
        <f t="shared" si="83"/>
        <v>1.8315056098158881E-3</v>
      </c>
      <c r="J94" s="116">
        <f t="shared" si="83"/>
        <v>2.1937103150668435E-3</v>
      </c>
      <c r="K94" s="116">
        <f t="shared" si="83"/>
        <v>2.6275458402305585E-3</v>
      </c>
      <c r="L94" s="116">
        <f t="shared" si="83"/>
        <v>3.1471781370105579E-3</v>
      </c>
      <c r="M94" s="116">
        <f t="shared" si="83"/>
        <v>3.7695746633322818E-3</v>
      </c>
      <c r="N94" s="178">
        <f t="shared" si="83"/>
        <v>4.5150584186296463E-3</v>
      </c>
      <c r="O94" s="116">
        <f t="shared" si="83"/>
        <v>4.7690038774429733E-3</v>
      </c>
      <c r="P94" s="116">
        <f t="shared" si="83"/>
        <v>5.0372322735015478E-3</v>
      </c>
      <c r="Q94" s="116">
        <f t="shared" si="83"/>
        <v>5.3205469379509814E-3</v>
      </c>
      <c r="R94" s="116">
        <f t="shared" si="83"/>
        <v>5.619796384585137E-3</v>
      </c>
      <c r="S94" s="116">
        <f t="shared" si="83"/>
        <v>5.9358768511041269E-3</v>
      </c>
      <c r="T94" s="116">
        <f t="shared" si="83"/>
        <v>6.2697349833031229E-3</v>
      </c>
      <c r="U94" s="116">
        <f t="shared" si="83"/>
        <v>6.6223706702309825E-3</v>
      </c>
      <c r="V94" s="116">
        <f t="shared" si="83"/>
        <v>6.9948400388098594E-3</v>
      </c>
      <c r="W94" s="116">
        <f t="shared" si="83"/>
        <v>7.3882586168845434E-3</v>
      </c>
      <c r="X94" s="178">
        <f t="shared" si="83"/>
        <v>7.803804674174698E-3</v>
      </c>
      <c r="Y94" s="173">
        <f t="shared" si="83"/>
        <v>7.9087088057537766E-3</v>
      </c>
      <c r="Z94" s="173">
        <f t="shared" si="83"/>
        <v>8.0150231311142007E-3</v>
      </c>
      <c r="AA94" s="173">
        <f t="shared" si="83"/>
        <v>8.1227666070546323E-3</v>
      </c>
      <c r="AB94" s="173">
        <f t="shared" si="83"/>
        <v>8.231958445204109E-3</v>
      </c>
      <c r="AC94" s="173">
        <f t="shared" si="83"/>
        <v>8.3426181154476527E-3</v>
      </c>
      <c r="AD94" s="173">
        <f t="shared" si="83"/>
        <v>8.4547653493979285E-3</v>
      </c>
      <c r="AE94" s="173">
        <f t="shared" si="83"/>
        <v>8.5684201439135636E-3</v>
      </c>
      <c r="AF94" s="173">
        <f t="shared" si="83"/>
        <v>8.6836027646647676E-3</v>
      </c>
      <c r="AG94" s="173">
        <f t="shared" si="83"/>
        <v>8.8003337497468848E-3</v>
      </c>
      <c r="AH94" s="178">
        <f t="shared" si="83"/>
        <v>8.9186339133425115E-3</v>
      </c>
      <c r="AI94" s="127"/>
    </row>
    <row r="95" spans="1:35" s="378" customFormat="1">
      <c r="A95" s="373" t="s">
        <v>540</v>
      </c>
      <c r="B95" s="374"/>
      <c r="C95" s="375">
        <f>SUM(C86:C94)</f>
        <v>4.6118548790168466E-3</v>
      </c>
      <c r="D95" s="375">
        <f>SUM(D86:D94)</f>
        <v>6.871523047593333E-3</v>
      </c>
      <c r="E95" s="375">
        <f>SUM(E86:E94)</f>
        <v>1.1140852380269394E-2</v>
      </c>
      <c r="F95" s="375">
        <f>SUM(F86:F94)</f>
        <v>1.6761469212313029E-2</v>
      </c>
      <c r="G95" s="375">
        <f t="shared" ref="G95:AH95" si="84">SUM(G86:G94)</f>
        <v>2.4881010456499351E-2</v>
      </c>
      <c r="H95" s="375">
        <f t="shared" si="84"/>
        <v>8.0997097651039872E-3</v>
      </c>
      <c r="I95" s="375">
        <f t="shared" si="84"/>
        <v>1.1463678147114409E-2</v>
      </c>
      <c r="J95" s="375">
        <f t="shared" si="84"/>
        <v>1.6493001822328886E-2</v>
      </c>
      <c r="K95" s="375">
        <f t="shared" si="84"/>
        <v>2.409336792887198E-2</v>
      </c>
      <c r="L95" s="375">
        <f t="shared" si="84"/>
        <v>3.5684967860282524E-2</v>
      </c>
      <c r="M95" s="375">
        <f t="shared" si="84"/>
        <v>5.3498857649231367E-2</v>
      </c>
      <c r="N95" s="376">
        <f t="shared" si="84"/>
        <v>8.1046898332513828E-2</v>
      </c>
      <c r="O95" s="375">
        <f t="shared" si="84"/>
        <v>8.5609075826793446E-2</v>
      </c>
      <c r="P95" s="375">
        <f t="shared" si="84"/>
        <v>9.0427428115542149E-2</v>
      </c>
      <c r="Q95" s="375">
        <f t="shared" si="84"/>
        <v>9.5516199765091944E-2</v>
      </c>
      <c r="R95" s="375">
        <f t="shared" si="84"/>
        <v>0.10089105712836541</v>
      </c>
      <c r="S95" s="375">
        <f t="shared" si="84"/>
        <v>0.10656772236454863</v>
      </c>
      <c r="T95" s="375">
        <f t="shared" si="84"/>
        <v>0.1125632922367964</v>
      </c>
      <c r="U95" s="375">
        <f t="shared" si="84"/>
        <v>0.11889588999667587</v>
      </c>
      <c r="V95" s="375">
        <f t="shared" si="84"/>
        <v>0.12558445457746206</v>
      </c>
      <c r="W95" s="375">
        <f t="shared" si="84"/>
        <v>0.13264872053311802</v>
      </c>
      <c r="X95" s="376">
        <f t="shared" si="84"/>
        <v>0.1401100970475225</v>
      </c>
      <c r="Y95" s="375">
        <f t="shared" si="84"/>
        <v>0.14199803474077338</v>
      </c>
      <c r="Z95" s="375">
        <f t="shared" si="84"/>
        <v>0.14391132353898572</v>
      </c>
      <c r="AA95" s="375">
        <f t="shared" si="84"/>
        <v>0.14585017247695714</v>
      </c>
      <c r="AB95" s="375">
        <f t="shared" si="84"/>
        <v>0.14781504668113513</v>
      </c>
      <c r="AC95" s="375">
        <f t="shared" si="84"/>
        <v>0.14980635853900673</v>
      </c>
      <c r="AD95" s="375">
        <f t="shared" si="84"/>
        <v>0.15182429620029395</v>
      </c>
      <c r="AE95" s="375">
        <f t="shared" si="84"/>
        <v>0.15386935347425595</v>
      </c>
      <c r="AF95" s="375">
        <f t="shared" si="84"/>
        <v>0.15594189956552643</v>
      </c>
      <c r="AG95" s="375">
        <f t="shared" si="84"/>
        <v>0.15804243990458222</v>
      </c>
      <c r="AH95" s="376">
        <f t="shared" si="84"/>
        <v>0.16017100169744758</v>
      </c>
      <c r="AI95" s="377"/>
    </row>
    <row r="96" spans="1:35">
      <c r="A96" s="10" t="s">
        <v>543</v>
      </c>
      <c r="B96" s="37"/>
      <c r="C96" s="332"/>
      <c r="D96" s="332">
        <f>D95/C95-1</f>
        <v>0.48996948686689845</v>
      </c>
      <c r="E96" s="332">
        <f t="shared" ref="E96:O96" si="85">E95/D95-1</f>
        <v>0.62130757666182035</v>
      </c>
      <c r="F96" s="332">
        <f t="shared" si="85"/>
        <v>0.50450509890947193</v>
      </c>
      <c r="G96" s="332">
        <f t="shared" si="85"/>
        <v>0.48441703655796964</v>
      </c>
      <c r="H96" s="284"/>
      <c r="I96" s="164">
        <f t="shared" si="85"/>
        <v>0.41531962003174727</v>
      </c>
      <c r="J96" s="164">
        <f t="shared" si="85"/>
        <v>0.43871815055104624</v>
      </c>
      <c r="K96" s="164">
        <f t="shared" si="85"/>
        <v>0.46082369894929709</v>
      </c>
      <c r="L96" s="164">
        <f t="shared" si="85"/>
        <v>0.48111164722304745</v>
      </c>
      <c r="M96" s="164">
        <f t="shared" si="85"/>
        <v>0.49919870626465546</v>
      </c>
      <c r="N96" s="164">
        <f t="shared" si="85"/>
        <v>0.51492764320133566</v>
      </c>
      <c r="O96" s="172">
        <f t="shared" si="85"/>
        <v>5.6290587155627181E-2</v>
      </c>
      <c r="P96" s="172">
        <f t="shared" ref="P96:AH96" si="86">P95/O95-1</f>
        <v>5.6283194768943945E-2</v>
      </c>
      <c r="Q96" s="172">
        <f t="shared" si="86"/>
        <v>5.627464758864642E-2</v>
      </c>
      <c r="R96" s="172">
        <f t="shared" si="86"/>
        <v>5.6271683510149328E-2</v>
      </c>
      <c r="S96" s="172">
        <f t="shared" si="86"/>
        <v>5.6265296427221445E-2</v>
      </c>
      <c r="T96" s="172">
        <f t="shared" si="86"/>
        <v>5.6260655095339507E-2</v>
      </c>
      <c r="U96" s="172">
        <f t="shared" si="86"/>
        <v>5.6258107186113238E-2</v>
      </c>
      <c r="V96" s="172">
        <f t="shared" si="86"/>
        <v>5.6255641645587495E-2</v>
      </c>
      <c r="W96" s="172">
        <f t="shared" si="86"/>
        <v>5.6251117858688637E-2</v>
      </c>
      <c r="X96" s="185">
        <f t="shared" si="86"/>
        <v>5.624914046978402E-2</v>
      </c>
      <c r="Y96" s="172">
        <f t="shared" si="86"/>
        <v>1.347467265410951E-2</v>
      </c>
      <c r="Z96" s="172">
        <f t="shared" si="86"/>
        <v>1.347405125504153E-2</v>
      </c>
      <c r="AA96" s="172">
        <f t="shared" si="86"/>
        <v>1.3472525234931698E-2</v>
      </c>
      <c r="AB96" s="172">
        <f t="shared" si="86"/>
        <v>1.3471867539192717E-2</v>
      </c>
      <c r="AC96" s="172">
        <f t="shared" si="86"/>
        <v>1.3471645157798084E-2</v>
      </c>
      <c r="AD96" s="172">
        <f t="shared" si="86"/>
        <v>1.3470307141614235E-2</v>
      </c>
      <c r="AE96" s="172">
        <f t="shared" si="86"/>
        <v>1.3469894642317737E-2</v>
      </c>
      <c r="AF96" s="172">
        <f t="shared" si="86"/>
        <v>1.3469518422440263E-2</v>
      </c>
      <c r="AG96" s="172">
        <f t="shared" si="86"/>
        <v>1.3470018929538252E-2</v>
      </c>
      <c r="AH96" s="185">
        <f t="shared" si="86"/>
        <v>1.3468292403929327E-2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79.198499999999996</v>
      </c>
      <c r="D102" s="331">
        <f>D31*Inputs!$C$48</f>
        <v>87.40202055139234</v>
      </c>
      <c r="E102" s="331">
        <f>E31*Inputs!$C$48</f>
        <v>93.523444200773739</v>
      </c>
      <c r="F102" s="331">
        <f>F31*Inputs!$C$48</f>
        <v>86.903996990462474</v>
      </c>
      <c r="G102" s="331">
        <f>G31*Inputs!$C$48</f>
        <v>99.590712953770051</v>
      </c>
      <c r="H102" s="402">
        <f>H31*Inputs!$C$48</f>
        <v>111.12982546644746</v>
      </c>
      <c r="I102" s="14">
        <f>I31*Inputs!$C$48</f>
        <v>112.79817326901453</v>
      </c>
      <c r="J102" s="14">
        <f>J31*Inputs!$C$48</f>
        <v>115.93718519259771</v>
      </c>
      <c r="K102" s="14">
        <f>K31*Inputs!$C$48</f>
        <v>120.9255182184354</v>
      </c>
      <c r="L102" s="14">
        <f>L31*Inputs!$C$48</f>
        <v>125.56992070018974</v>
      </c>
      <c r="M102" s="14">
        <f>M31*Inputs!$C$48</f>
        <v>128.96706672716795</v>
      </c>
      <c r="N102" s="182">
        <f>N31*Inputs!$C$48</f>
        <v>132.229242473102</v>
      </c>
      <c r="O102" s="14">
        <f>O31*Inputs!$C$48</f>
        <v>132.56978052857687</v>
      </c>
      <c r="P102" s="14">
        <f>P31*Inputs!$C$48</f>
        <v>132.88461860072999</v>
      </c>
      <c r="Q102" s="14">
        <f>Q31*Inputs!$C$48</f>
        <v>133.5205940255909</v>
      </c>
      <c r="R102" s="14">
        <f>R31*Inputs!$C$48</f>
        <v>133.57373181591313</v>
      </c>
      <c r="S102" s="14">
        <f>S31*Inputs!$C$48</f>
        <v>133.79056105291329</v>
      </c>
      <c r="T102" s="14">
        <f>T31*Inputs!$C$48</f>
        <v>133.95509059934139</v>
      </c>
      <c r="U102" s="14">
        <f>U31*Inputs!$C$48</f>
        <v>133.80449057298853</v>
      </c>
      <c r="V102" s="14">
        <f>V31*Inputs!$C$48</f>
        <v>133.41188433024968</v>
      </c>
      <c r="W102" s="14">
        <f>W31*Inputs!$C$48</f>
        <v>133.18063146051031</v>
      </c>
      <c r="X102" s="187">
        <f>X31*Inputs!$C$48</f>
        <v>132.75429187263805</v>
      </c>
      <c r="Y102" s="158">
        <f>Y31*Inputs!$C$48</f>
        <v>133.09634131591633</v>
      </c>
      <c r="Z102" s="158">
        <f>Z31*Inputs!$C$48</f>
        <v>133.32171117213792</v>
      </c>
      <c r="AA102" s="158">
        <f>AA31*Inputs!$C$48</f>
        <v>133.58317205769791</v>
      </c>
      <c r="AB102" s="158">
        <f>AB31*Inputs!$C$48</f>
        <v>133.75601004486225</v>
      </c>
      <c r="AC102" s="158">
        <f>AC31*Inputs!$C$48</f>
        <v>133.79111985691441</v>
      </c>
      <c r="AD102" s="158">
        <f>AD31*Inputs!$C$48</f>
        <v>133.8573899606896</v>
      </c>
      <c r="AE102" s="158">
        <f>AE31*Inputs!$C$48</f>
        <v>133.83230912342069</v>
      </c>
      <c r="AF102" s="158">
        <f>AF31*Inputs!$C$48</f>
        <v>133.72169732028934</v>
      </c>
      <c r="AG102" s="158">
        <f>AG31*Inputs!$C$48</f>
        <v>133.42430787146822</v>
      </c>
      <c r="AH102" s="187">
        <f>AH31*Inputs!$C$48</f>
        <v>133.23135317504918</v>
      </c>
    </row>
    <row r="103" spans="1:36">
      <c r="A103" s="10" t="s">
        <v>59</v>
      </c>
      <c r="B103" s="35">
        <v>0</v>
      </c>
      <c r="C103" s="331">
        <f>C32*Inputs!$C$53</f>
        <v>2128.84</v>
      </c>
      <c r="D103" s="331">
        <f>D32*Inputs!$C$53</f>
        <v>2207.2100691635487</v>
      </c>
      <c r="E103" s="331">
        <f>E32*Inputs!$C$53</f>
        <v>2222.8842784457688</v>
      </c>
      <c r="F103" s="331">
        <f>F32*Inputs!$C$53</f>
        <v>1947.1923411524606</v>
      </c>
      <c r="G103" s="331">
        <f>G32*Inputs!$C$53</f>
        <v>2106.6328148221182</v>
      </c>
      <c r="H103" s="402">
        <f>H32*Inputs!$C$53</f>
        <v>2055.7267752000002</v>
      </c>
      <c r="I103" s="14">
        <f>I32*Inputs!$C$53</f>
        <v>2004.0060530834432</v>
      </c>
      <c r="J103" s="14">
        <f>J32*Inputs!$C$53</f>
        <v>1978.791347075778</v>
      </c>
      <c r="K103" s="14">
        <f>K32*Inputs!$C$53</f>
        <v>1983.2547784712858</v>
      </c>
      <c r="L103" s="14">
        <f>L32*Inputs!$C$53</f>
        <v>1979.3286960516366</v>
      </c>
      <c r="M103" s="14">
        <f>M32*Inputs!$C$53</f>
        <v>1954.1467761420863</v>
      </c>
      <c r="N103" s="182">
        <f>N32*Inputs!$C$53</f>
        <v>1926.2490995999999</v>
      </c>
      <c r="O103" s="14">
        <f>O32*Inputs!$C$53</f>
        <v>1931.2098867184127</v>
      </c>
      <c r="P103" s="14">
        <f>P32*Inputs!$C$53</f>
        <v>1935.79628940561</v>
      </c>
      <c r="Q103" s="14">
        <f>Q32*Inputs!$C$53</f>
        <v>1945.0608595309</v>
      </c>
      <c r="R103" s="14">
        <f>R32*Inputs!$C$53</f>
        <v>1945.8349441346425</v>
      </c>
      <c r="S103" s="14">
        <f>S32*Inputs!$C$53</f>
        <v>1948.9936034049128</v>
      </c>
      <c r="T103" s="14">
        <f>T32*Inputs!$C$53</f>
        <v>1951.3903870870788</v>
      </c>
      <c r="U103" s="14">
        <f>U32*Inputs!$C$53</f>
        <v>1949.196521647511</v>
      </c>
      <c r="V103" s="14">
        <f>V32*Inputs!$C$53</f>
        <v>1943.4772313647518</v>
      </c>
      <c r="W103" s="14">
        <f>W32*Inputs!$C$53</f>
        <v>1940.1084558671082</v>
      </c>
      <c r="X103" s="187">
        <f>X32*Inputs!$C$53</f>
        <v>1933.8977551786447</v>
      </c>
      <c r="Y103" s="158">
        <f>Y32*Inputs!$C$53</f>
        <v>1938.880559434424</v>
      </c>
      <c r="Z103" s="158">
        <f>Z32*Inputs!$C$53</f>
        <v>1942.1636341500048</v>
      </c>
      <c r="AA103" s="158">
        <f>AA32*Inputs!$C$53</f>
        <v>1945.97246482899</v>
      </c>
      <c r="AB103" s="158">
        <f>AB32*Inputs!$C$53</f>
        <v>1948.4902816970684</v>
      </c>
      <c r="AC103" s="158">
        <f>AC32*Inputs!$C$53</f>
        <v>1949.0017437805507</v>
      </c>
      <c r="AD103" s="158">
        <f>AD32*Inputs!$C$53</f>
        <v>1949.9671333217739</v>
      </c>
      <c r="AE103" s="158">
        <f>AE32*Inputs!$C$53</f>
        <v>1949.6017682988568</v>
      </c>
      <c r="AF103" s="158">
        <f>AF32*Inputs!$C$53</f>
        <v>1947.9904311830878</v>
      </c>
      <c r="AG103" s="158">
        <f>AG32*Inputs!$C$53</f>
        <v>1943.6582112647993</v>
      </c>
      <c r="AH103" s="187">
        <f>AH32*Inputs!$C$53</f>
        <v>1940.8473442940053</v>
      </c>
    </row>
    <row r="104" spans="1:36">
      <c r="A104" s="10" t="s">
        <v>121</v>
      </c>
      <c r="B104" s="35">
        <v>1</v>
      </c>
      <c r="C104" s="331">
        <f>C34*Inputs!$C$46</f>
        <v>86.1</v>
      </c>
      <c r="D104" s="331">
        <f>D34*Inputs!$C$46</f>
        <v>144.68520504867789</v>
      </c>
      <c r="E104" s="331">
        <f>E34*Inputs!$C$46</f>
        <v>236.22804395732174</v>
      </c>
      <c r="F104" s="331">
        <f>F34*Inputs!$C$46</f>
        <v>335.56386798195626</v>
      </c>
      <c r="G104" s="331">
        <f>G34*Inputs!$C$46</f>
        <v>588.88228080333249</v>
      </c>
      <c r="H104" s="402">
        <f>H34*Inputs!$C$46</f>
        <v>112.55740489277568</v>
      </c>
      <c r="I104" s="14">
        <f>I34*Inputs!$C$46</f>
        <v>177.93662410400415</v>
      </c>
      <c r="J104" s="14">
        <f>J34*Inputs!$C$46</f>
        <v>285.00056639878102</v>
      </c>
      <c r="K104" s="14">
        <f>K34*Inputs!$C$46</f>
        <v>463.47848598886446</v>
      </c>
      <c r="L104" s="14">
        <f>L34*Inputs!$C$46</f>
        <v>750.76616184193188</v>
      </c>
      <c r="M104" s="14">
        <f>M34*Inputs!$C$46</f>
        <v>1203.4128215654137</v>
      </c>
      <c r="N104" s="182">
        <f>N34*Inputs!$C$46</f>
        <v>1926.5507868020404</v>
      </c>
      <c r="O104" s="14">
        <f>O34*Inputs!$C$46</f>
        <v>2046.1880474056516</v>
      </c>
      <c r="P104" s="14">
        <f>P34*Inputs!$C$46</f>
        <v>2172.8391626083389</v>
      </c>
      <c r="Q104" s="14">
        <f>Q34*Inputs!$C$46</f>
        <v>2312.8997559699269</v>
      </c>
      <c r="R104" s="14">
        <f>R34*Inputs!$C$46</f>
        <v>2451.2587330482738</v>
      </c>
      <c r="S104" s="14">
        <f>S34*Inputs!$C$46</f>
        <v>2601.0996082840156</v>
      </c>
      <c r="T104" s="14">
        <f>T34*Inputs!$C$46</f>
        <v>2759.0402948010956</v>
      </c>
      <c r="U104" s="14">
        <f>U34*Inputs!$C$46</f>
        <v>2919.7168953105383</v>
      </c>
      <c r="V104" s="14">
        <f>V34*Inputs!$C$46</f>
        <v>3084.180240473991</v>
      </c>
      <c r="W104" s="14">
        <f>W34*Inputs!$C$46</f>
        <v>3261.8609890439125</v>
      </c>
      <c r="X104" s="187">
        <f>X34*Inputs!$C$46</f>
        <v>3444.7371535013935</v>
      </c>
      <c r="Y104" s="158">
        <f>Y34*Inputs!$C$46</f>
        <v>3506.5435330451232</v>
      </c>
      <c r="Z104" s="158">
        <f>Z34*Inputs!$C$46</f>
        <v>3566.3264602763961</v>
      </c>
      <c r="AA104" s="158">
        <f>AA34*Inputs!$C$46</f>
        <v>3628.1110653975338</v>
      </c>
      <c r="AB104" s="158">
        <f>AB34*Inputs!$C$46</f>
        <v>3688.5208504531292</v>
      </c>
      <c r="AC104" s="158">
        <f>AC34*Inputs!$C$46</f>
        <v>3746.0870018089558</v>
      </c>
      <c r="AD104" s="158">
        <f>AD34*Inputs!$C$46</f>
        <v>3805.4505163277136</v>
      </c>
      <c r="AE104" s="158">
        <f>AE34*Inputs!$C$46</f>
        <v>3863.1305236288968</v>
      </c>
      <c r="AF104" s="158">
        <f>AF34*Inputs!$C$46</f>
        <v>3919.191724252099</v>
      </c>
      <c r="AG104" s="158">
        <f>AG34*Inputs!$C$46</f>
        <v>3970.5196151534965</v>
      </c>
      <c r="AH104" s="187">
        <f>AH34*Inputs!$C$46</f>
        <v>4025.6696196166904</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2.961425436444986E-8</v>
      </c>
      <c r="J105" s="14">
        <f>J35*Inputs!$C$49</f>
        <v>3.5542723027954255E-8</v>
      </c>
      <c r="K105" s="14">
        <f>K35*Inputs!$C$49</f>
        <v>4.3311584513170237E-8</v>
      </c>
      <c r="L105" s="14">
        <f>L35*Inputs!$C$49</f>
        <v>5.2571298149586479E-8</v>
      </c>
      <c r="M105" s="14">
        <f>M35*Inputs!$C$49</f>
        <v>6.3143429206250424E-8</v>
      </c>
      <c r="N105" s="182">
        <f>N35*Inputs!$C$49</f>
        <v>7.5746663950003955E-8</v>
      </c>
      <c r="O105" s="14">
        <f>O35*Inputs!$C$49</f>
        <v>8.0450471104697915E-8</v>
      </c>
      <c r="P105" s="14">
        <f>P35*Inputs!$C$49</f>
        <v>8.5430043679618541E-8</v>
      </c>
      <c r="Q105" s="14">
        <f>Q35*Inputs!$C$49</f>
        <v>9.093683995546906E-8</v>
      </c>
      <c r="R105" s="14">
        <f>R35*Inputs!$C$49</f>
        <v>9.637673337173162E-8</v>
      </c>
      <c r="S105" s="14">
        <f>S35*Inputs!$C$49</f>
        <v>1.0226806335909022E-7</v>
      </c>
      <c r="T105" s="14">
        <f>T35*Inputs!$C$49</f>
        <v>1.084778555886015E-7</v>
      </c>
      <c r="U105" s="14">
        <f>U35*Inputs!$C$49</f>
        <v>1.1479521641126658E-7</v>
      </c>
      <c r="V105" s="14">
        <f>V35*Inputs!$C$49</f>
        <v>1.2126146159075047E-7</v>
      </c>
      <c r="W105" s="14">
        <f>W35*Inputs!$C$49</f>
        <v>1.2824737862159689E-7</v>
      </c>
      <c r="X105" s="187">
        <f>X35*Inputs!$C$49</f>
        <v>1.3543756507737184E-7</v>
      </c>
      <c r="Y105" s="158">
        <f>Y35*Inputs!$C$49</f>
        <v>1.378676214731529E-7</v>
      </c>
      <c r="Z105" s="158">
        <f>Z35*Inputs!$C$49</f>
        <v>1.4021812130422748E-7</v>
      </c>
      <c r="AA105" s="158">
        <f>AA35*Inputs!$C$49</f>
        <v>1.4264732158976114E-7</v>
      </c>
      <c r="AB105" s="158">
        <f>AB35*Inputs!$C$49</f>
        <v>1.4502246774175743E-7</v>
      </c>
      <c r="AC105" s="158">
        <f>AC35*Inputs!$C$49</f>
        <v>1.4728581005877102E-7</v>
      </c>
      <c r="AD105" s="158">
        <f>AD35*Inputs!$C$49</f>
        <v>1.49619819738634E-7</v>
      </c>
      <c r="AE105" s="158">
        <f>AE35*Inputs!$C$49</f>
        <v>1.5188763855743034E-7</v>
      </c>
      <c r="AF105" s="158">
        <f>AF35*Inputs!$C$49</f>
        <v>1.5409181036194755E-7</v>
      </c>
      <c r="AG105" s="158">
        <f>AG35*Inputs!$C$49</f>
        <v>1.5610988148159057E-7</v>
      </c>
      <c r="AH105" s="187">
        <f>AH35*Inputs!$C$49</f>
        <v>1.5827822756596681E-7</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29.7</v>
      </c>
      <c r="D107" s="331">
        <f>D37*Inputs!$C$52</f>
        <v>39.6</v>
      </c>
      <c r="E107" s="331">
        <f>E37*Inputs!$C$52</f>
        <v>45.65625395482563</v>
      </c>
      <c r="F107" s="331">
        <f>F37*Inputs!$C$52</f>
        <v>48.545812580682949</v>
      </c>
      <c r="G107" s="331">
        <f>G37*Inputs!$C$52</f>
        <v>63.769473546237677</v>
      </c>
      <c r="H107" s="402">
        <f>H37*Inputs!$C$52</f>
        <v>35.092397508499566</v>
      </c>
      <c r="I107" s="14">
        <f>I37*Inputs!$C$52</f>
        <v>41.525232915059156</v>
      </c>
      <c r="J107" s="14">
        <f>J37*Inputs!$C$52</f>
        <v>49.785195314871892</v>
      </c>
      <c r="K107" s="14">
        <f>K37*Inputs!$C$52</f>
        <v>60.602680469242074</v>
      </c>
      <c r="L107" s="14">
        <f>L37*Inputs!$C$52</f>
        <v>73.480940404634808</v>
      </c>
      <c r="M107" s="14">
        <f>M37*Inputs!$C$52</f>
        <v>88.164228546230547</v>
      </c>
      <c r="N107" s="182">
        <f>N37*Inputs!$C$52</f>
        <v>105.64914854723644</v>
      </c>
      <c r="O107" s="14">
        <f>O37*Inputs!$C$52</f>
        <v>112.20987604213748</v>
      </c>
      <c r="P107" s="14">
        <f>P37*Inputs!$C$52</f>
        <v>119.1552327778054</v>
      </c>
      <c r="Q107" s="14">
        <f>Q37*Inputs!$C$52</f>
        <v>126.83594513433513</v>
      </c>
      <c r="R107" s="14">
        <f>R37*Inputs!$C$52</f>
        <v>134.42334341230014</v>
      </c>
      <c r="S107" s="14">
        <f>S37*Inputs!$C$52</f>
        <v>142.64039172199281</v>
      </c>
      <c r="T107" s="14">
        <f>T37*Inputs!$C$52</f>
        <v>151.30162150415379</v>
      </c>
      <c r="U107" s="14">
        <f>U37*Inputs!$C$52</f>
        <v>160.11288469616395</v>
      </c>
      <c r="V107" s="14">
        <f>V37*Inputs!$C$52</f>
        <v>169.1318072715668</v>
      </c>
      <c r="W107" s="14">
        <f>W37*Inputs!$C$52</f>
        <v>178.87555237719565</v>
      </c>
      <c r="X107" s="187">
        <f>X37*Inputs!$C$52</f>
        <v>188.90420627870452</v>
      </c>
      <c r="Y107" s="158">
        <f>Y37*Inputs!$C$52</f>
        <v>192.2935752059683</v>
      </c>
      <c r="Z107" s="158">
        <f>Z37*Inputs!$C$52</f>
        <v>195.571981050711</v>
      </c>
      <c r="AA107" s="158">
        <f>AA37*Inputs!$C$52</f>
        <v>198.9601559013781</v>
      </c>
      <c r="AB107" s="158">
        <f>AB37*Inputs!$C$52</f>
        <v>202.27293768671555</v>
      </c>
      <c r="AC107" s="158">
        <f>AC37*Inputs!$C$52</f>
        <v>205.42977887540798</v>
      </c>
      <c r="AD107" s="158">
        <f>AD37*Inputs!$C$52</f>
        <v>208.68518475759029</v>
      </c>
      <c r="AE107" s="158">
        <f>AE37*Inputs!$C$52</f>
        <v>211.84826963514183</v>
      </c>
      <c r="AF107" s="158">
        <f>AF37*Inputs!$C$52</f>
        <v>214.92258158837544</v>
      </c>
      <c r="AG107" s="158">
        <f>AG37*Inputs!$C$52</f>
        <v>217.7373259530749</v>
      </c>
      <c r="AH107" s="187">
        <f>AH37*Inputs!$C$52</f>
        <v>220.76166927889165</v>
      </c>
    </row>
    <row r="108" spans="1:36">
      <c r="A108" s="9" t="s">
        <v>347</v>
      </c>
      <c r="B108" s="35">
        <v>1</v>
      </c>
      <c r="C108" s="331">
        <f>C38*Inputs!$C$54</f>
        <v>4.2992432000000003</v>
      </c>
      <c r="D108" s="331">
        <f>D38*Inputs!$C$54</f>
        <v>11.324176000000001</v>
      </c>
      <c r="E108" s="331">
        <f>E38*Inputs!$C$54</f>
        <v>34.784635415711456</v>
      </c>
      <c r="F108" s="331">
        <f>F38*Inputs!$C$54</f>
        <v>61.954312614684738</v>
      </c>
      <c r="G108" s="331">
        <f>G38*Inputs!$C$54</f>
        <v>102.24636754635375</v>
      </c>
      <c r="H108" s="402">
        <f>H38*Inputs!$C$54</f>
        <v>136.09623106525868</v>
      </c>
      <c r="I108" s="14">
        <f>I38*Inputs!$C$54</f>
        <v>193.02271045046973</v>
      </c>
      <c r="J108" s="14">
        <f>J38*Inputs!$C$54</f>
        <v>277.37021450896486</v>
      </c>
      <c r="K108" s="14">
        <f>K38*Inputs!$C$54</f>
        <v>404.68277100370204</v>
      </c>
      <c r="L108" s="14">
        <f>L38*Inputs!$C$54</f>
        <v>588.11311152670237</v>
      </c>
      <c r="M108" s="14">
        <f>M38*Inputs!$C$54</f>
        <v>845.74968009113252</v>
      </c>
      <c r="N108" s="182">
        <f>N38*Inputs!$C$54</f>
        <v>1214.72706012923</v>
      </c>
      <c r="O108" s="14">
        <f>O38*Inputs!$C$54</f>
        <v>1290.1606375103754</v>
      </c>
      <c r="P108" s="14">
        <f>P38*Inputs!$C$54</f>
        <v>1370.0165841514836</v>
      </c>
      <c r="Q108" s="14">
        <f>Q38*Inputs!$C$54</f>
        <v>1458.3274628366451</v>
      </c>
      <c r="R108" s="14">
        <f>R38*Inputs!$C$54</f>
        <v>1545.5654399614796</v>
      </c>
      <c r="S108" s="14">
        <f>S38*Inputs!$C$54</f>
        <v>1640.0429731307131</v>
      </c>
      <c r="T108" s="14">
        <f>T38*Inputs!$C$54</f>
        <v>1739.6275919852994</v>
      </c>
      <c r="U108" s="14">
        <f>U38*Inputs!$C$54</f>
        <v>1840.9372568565682</v>
      </c>
      <c r="V108" s="14">
        <f>V38*Inputs!$C$54</f>
        <v>1944.6345365431521</v>
      </c>
      <c r="W108" s="14">
        <f>W38*Inputs!$C$54</f>
        <v>2056.6656414745576</v>
      </c>
      <c r="X108" s="187">
        <f>X38*Inputs!$C$54</f>
        <v>2171.972555333753</v>
      </c>
      <c r="Y108" s="158">
        <f>Y38*Inputs!$C$54</f>
        <v>2210.9426578790435</v>
      </c>
      <c r="Z108" s="158">
        <f>Z38*Inputs!$C$54</f>
        <v>2248.6369351018661</v>
      </c>
      <c r="AA108" s="158">
        <f>AA38*Inputs!$C$54</f>
        <v>2287.5933084579128</v>
      </c>
      <c r="AB108" s="158">
        <f>AB38*Inputs!$C$54</f>
        <v>2325.6828315093303</v>
      </c>
      <c r="AC108" s="158">
        <f>AC38*Inputs!$C$54</f>
        <v>2361.9793892115499</v>
      </c>
      <c r="AD108" s="158">
        <f>AD38*Inputs!$C$54</f>
        <v>2399.4092187101064</v>
      </c>
      <c r="AE108" s="158">
        <f>AE38*Inputs!$C$54</f>
        <v>2435.7775647600452</v>
      </c>
      <c r="AF108" s="158">
        <f>AF38*Inputs!$C$54</f>
        <v>2471.1252222870899</v>
      </c>
      <c r="AG108" s="158">
        <f>AG38*Inputs!$C$54</f>
        <v>2503.4884376481473</v>
      </c>
      <c r="AH108" s="187">
        <f>AH38*Inputs!$C$54</f>
        <v>2538.2615685962764</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2.7245114015293872E-3</v>
      </c>
      <c r="J109" s="14">
        <f>J39*Inputs!$C$55</f>
        <v>3.2699305185717917E-3</v>
      </c>
      <c r="K109" s="14">
        <f>K39*Inputs!$C$55</f>
        <v>3.9846657752116614E-3</v>
      </c>
      <c r="L109" s="14">
        <f>L39*Inputs!$C$55</f>
        <v>4.8365594297619559E-3</v>
      </c>
      <c r="M109" s="14">
        <f>M39*Inputs!$C$55</f>
        <v>5.8091954869750389E-3</v>
      </c>
      <c r="N109" s="182">
        <f>N39*Inputs!$C$55</f>
        <v>6.9686930834003619E-3</v>
      </c>
      <c r="O109" s="14">
        <f>O39*Inputs!$C$55</f>
        <v>7.4014433416322084E-3</v>
      </c>
      <c r="P109" s="14">
        <f>P39*Inputs!$C$55</f>
        <v>7.859564018524905E-3</v>
      </c>
      <c r="Q109" s="14">
        <f>Q39*Inputs!$C$55</f>
        <v>8.3661892759031523E-3</v>
      </c>
      <c r="R109" s="14">
        <f>R39*Inputs!$C$55</f>
        <v>8.8666594701993055E-3</v>
      </c>
      <c r="S109" s="14">
        <f>S39*Inputs!$C$55</f>
        <v>9.4086618290363001E-3</v>
      </c>
      <c r="T109" s="14">
        <f>T39*Inputs!$C$55</f>
        <v>9.9799627141513372E-3</v>
      </c>
      <c r="U109" s="14">
        <f>U39*Inputs!$C$55</f>
        <v>1.0561159909836523E-2</v>
      </c>
      <c r="V109" s="14">
        <f>V39*Inputs!$C$55</f>
        <v>1.115605446634904E-2</v>
      </c>
      <c r="W109" s="14">
        <f>W39*Inputs!$C$55</f>
        <v>1.179875883318691E-2</v>
      </c>
      <c r="X109" s="187">
        <f>X39*Inputs!$C$55</f>
        <v>1.2460255987118207E-2</v>
      </c>
      <c r="Y109" s="158">
        <f>Y39*Inputs!$C$55</f>
        <v>1.2683821175530064E-2</v>
      </c>
      <c r="Z109" s="158">
        <f>Z39*Inputs!$C$55</f>
        <v>1.2900067159988926E-2</v>
      </c>
      <c r="AA109" s="158">
        <f>AA39*Inputs!$C$55</f>
        <v>1.3123553586258024E-2</v>
      </c>
      <c r="AB109" s="158">
        <f>AB39*Inputs!$C$55</f>
        <v>1.3342067032241679E-2</v>
      </c>
      <c r="AC109" s="158">
        <f>AC39*Inputs!$C$55</f>
        <v>1.3550294525406929E-2</v>
      </c>
      <c r="AD109" s="158">
        <f>AD39*Inputs!$C$55</f>
        <v>1.3765023415954324E-2</v>
      </c>
      <c r="AE109" s="158">
        <f>AE39*Inputs!$C$55</f>
        <v>1.3973662747283589E-2</v>
      </c>
      <c r="AF109" s="158">
        <f>AF39*Inputs!$C$55</f>
        <v>1.4176446553299173E-2</v>
      </c>
      <c r="AG109" s="158">
        <f>AG39*Inputs!$C$55</f>
        <v>1.4362109096306329E-2</v>
      </c>
      <c r="AH109" s="187">
        <f>AH39*Inputs!$C$55</f>
        <v>1.4561596936068942E-2</v>
      </c>
    </row>
    <row r="110" spans="1:36">
      <c r="A110" s="9" t="s">
        <v>344</v>
      </c>
      <c r="B110" s="35">
        <v>1</v>
      </c>
      <c r="C110" s="331">
        <f>C40*Inputs!$C$51</f>
        <v>2.7000000000000001E-3</v>
      </c>
      <c r="D110" s="331">
        <f>D40*Inputs!$C$51</f>
        <v>3.3998069340002656E-3</v>
      </c>
      <c r="E110" s="331">
        <f>E40*Inputs!$C$51</f>
        <v>4.1594039850842285E-3</v>
      </c>
      <c r="F110" s="331">
        <f>F40*Inputs!$C$51</f>
        <v>4.4273551369868012E-3</v>
      </c>
      <c r="G110" s="331">
        <f>G40*Inputs!$C$51</f>
        <v>5.8219326020011548E-3</v>
      </c>
      <c r="H110" s="402">
        <f>H40*Inputs!$C$51</f>
        <v>2.7000000000000001E-3</v>
      </c>
      <c r="I110" s="14">
        <f>I40*Inputs!$C$51</f>
        <v>3.1983394713605848E-3</v>
      </c>
      <c r="J110" s="14">
        <f>J40*Inputs!$C$51</f>
        <v>3.8386140870190601E-3</v>
      </c>
      <c r="K110" s="14">
        <f>K40*Inputs!$C$51</f>
        <v>4.6776511274223857E-3</v>
      </c>
      <c r="L110" s="14">
        <f>L40*Inputs!$C$51</f>
        <v>5.6777002001553402E-3</v>
      </c>
      <c r="M110" s="14">
        <f>M40*Inputs!$C$51</f>
        <v>6.819490354275046E-3</v>
      </c>
      <c r="N110" s="182">
        <f>N40*Inputs!$C$51</f>
        <v>8.1806397066004257E-3</v>
      </c>
      <c r="O110" s="14">
        <f>O40*Inputs!$C$51</f>
        <v>8.6886508793073743E-3</v>
      </c>
      <c r="P110" s="14">
        <f>P40*Inputs!$C$51</f>
        <v>9.2264447173988021E-3</v>
      </c>
      <c r="Q110" s="14">
        <f>Q40*Inputs!$C$51</f>
        <v>9.8211787151906565E-3</v>
      </c>
      <c r="R110" s="14">
        <f>R40*Inputs!$C$51</f>
        <v>1.0408687204147012E-2</v>
      </c>
      <c r="S110" s="14">
        <f>S40*Inputs!$C$51</f>
        <v>1.1044950842781743E-2</v>
      </c>
      <c r="T110" s="14">
        <f>T40*Inputs!$C$51</f>
        <v>1.171560840356896E-2</v>
      </c>
      <c r="U110" s="14">
        <f>U40*Inputs!$C$51</f>
        <v>1.2397883372416789E-2</v>
      </c>
      <c r="V110" s="14">
        <f>V40*Inputs!$C$51</f>
        <v>1.3096237851801047E-2</v>
      </c>
      <c r="W110" s="14">
        <f>W40*Inputs!$C$51</f>
        <v>1.3850716891132459E-2</v>
      </c>
      <c r="X110" s="187">
        <f>X40*Inputs!$C$51</f>
        <v>1.4627257028356157E-2</v>
      </c>
      <c r="Y110" s="158">
        <f>Y40*Inputs!$C$51</f>
        <v>1.488970311910051E-2</v>
      </c>
      <c r="Z110" s="158">
        <f>Z40*Inputs!$C$51</f>
        <v>1.5143557100856566E-2</v>
      </c>
      <c r="AA110" s="158">
        <f>AA40*Inputs!$C$51</f>
        <v>1.5405910731694202E-2</v>
      </c>
      <c r="AB110" s="158">
        <f>AB40*Inputs!$C$51</f>
        <v>1.5662426516109797E-2</v>
      </c>
      <c r="AC110" s="158">
        <f>AC40*Inputs!$C$51</f>
        <v>1.5906867486347266E-2</v>
      </c>
      <c r="AD110" s="158">
        <f>AD40*Inputs!$C$51</f>
        <v>1.6158940531772466E-2</v>
      </c>
      <c r="AE110" s="158">
        <f>AE40*Inputs!$C$51</f>
        <v>1.6403864964202475E-2</v>
      </c>
      <c r="AF110" s="158">
        <f>AF40*Inputs!$C$51</f>
        <v>1.6641915519090333E-2</v>
      </c>
      <c r="AG110" s="158">
        <f>AG40*Inputs!$C$51</f>
        <v>1.6859867200011779E-2</v>
      </c>
      <c r="AH110" s="187">
        <f>AH40*Inputs!$C$51</f>
        <v>1.7094048577124411E-2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2.3800000000000003</v>
      </c>
      <c r="D112" s="331">
        <f>D42*Inputs!$C$57</f>
        <v>3.0034649628972514</v>
      </c>
      <c r="E112" s="331">
        <f>E42*Inputs!$C$57</f>
        <v>27.446723486988287</v>
      </c>
      <c r="F112" s="331">
        <f>F42*Inputs!$C$57</f>
        <v>32.388741536635187</v>
      </c>
      <c r="G112" s="331">
        <f>G42*Inputs!$C$57</f>
        <v>37.227310795170673</v>
      </c>
      <c r="H112" s="402">
        <f>H42*Inputs!$C$57</f>
        <v>37.316310770765575</v>
      </c>
      <c r="I112" s="14">
        <f>I42*Inputs!$C$57</f>
        <v>44.301110892205131</v>
      </c>
      <c r="J112" s="14">
        <f>J42*Inputs!$C$57</f>
        <v>53.286799122730251</v>
      </c>
      <c r="K112" s="14">
        <f>K42*Inputs!$C$57</f>
        <v>65.077090834424027</v>
      </c>
      <c r="L112" s="14">
        <f>L42*Inputs!$C$57</f>
        <v>79.164027510386134</v>
      </c>
      <c r="M112" s="14">
        <f>M42*Inputs!$C$57</f>
        <v>95.293321674667823</v>
      </c>
      <c r="N112" s="182">
        <f>N42*Inputs!$C$57</f>
        <v>114.56525701819011</v>
      </c>
      <c r="O112" s="14">
        <f>O42*Inputs!$C$57</f>
        <v>121.67966770691969</v>
      </c>
      <c r="P112" s="14">
        <f>P42*Inputs!$C$57</f>
        <v>129.21116786992434</v>
      </c>
      <c r="Q112" s="14">
        <f>Q42*Inputs!$C$57</f>
        <v>137.5400829374716</v>
      </c>
      <c r="R112" s="14">
        <f>R42*Inputs!$C$57</f>
        <v>145.76780881853526</v>
      </c>
      <c r="S112" s="14">
        <f>S42*Inputs!$C$57</f>
        <v>154.67832314331397</v>
      </c>
      <c r="T112" s="14">
        <f>T42*Inputs!$C$57</f>
        <v>164.07050499931088</v>
      </c>
      <c r="U112" s="14">
        <f>U42*Inputs!$C$57</f>
        <v>173.62538211974714</v>
      </c>
      <c r="V112" s="14">
        <f>V42*Inputs!$C$57</f>
        <v>183.4054437396116</v>
      </c>
      <c r="W112" s="14">
        <f>W42*Inputs!$C$57</f>
        <v>193.97149824829509</v>
      </c>
      <c r="X112" s="187">
        <f>X42*Inputs!$C$57</f>
        <v>204.84650602234404</v>
      </c>
      <c r="Y112" s="158">
        <f>Y42*Inputs!$C$57</f>
        <v>208.52191588244176</v>
      </c>
      <c r="Z112" s="158">
        <f>Z42*Inputs!$C$57</f>
        <v>212.07699808970582</v>
      </c>
      <c r="AA112" s="158">
        <f>AA42*Inputs!$C$57</f>
        <v>215.75111310082394</v>
      </c>
      <c r="AB112" s="158">
        <f>AB42*Inputs!$C$57</f>
        <v>219.3434723569203</v>
      </c>
      <c r="AC112" s="158">
        <f>AC42*Inputs!$C$57</f>
        <v>222.7667306332182</v>
      </c>
      <c r="AD112" s="158">
        <f>AD42*Inputs!$C$57</f>
        <v>226.29687182904615</v>
      </c>
      <c r="AE112" s="158">
        <f>AE42*Inputs!$C$57</f>
        <v>229.72690072137573</v>
      </c>
      <c r="AF112" s="158">
        <f>AF42*Inputs!$C$57</f>
        <v>233.0606648256726</v>
      </c>
      <c r="AG112" s="158">
        <f>AG42*Inputs!$C$57</f>
        <v>236.11295550682382</v>
      </c>
      <c r="AH112" s="187">
        <f>AH42*Inputs!$C$57</f>
        <v>239.39253395301012</v>
      </c>
      <c r="AI112" s="31" t="s">
        <v>0</v>
      </c>
    </row>
    <row r="113" spans="1:35" s="20" customFormat="1">
      <c r="A113" s="10" t="s">
        <v>383</v>
      </c>
      <c r="B113" s="37"/>
      <c r="C113" s="334">
        <f>SUM(C100:C112)</f>
        <v>2330.5204432</v>
      </c>
      <c r="D113" s="334">
        <f t="shared" ref="D113:AH113" si="87">SUM(D100:D112)</f>
        <v>2493.2283355334503</v>
      </c>
      <c r="E113" s="334">
        <f t="shared" si="87"/>
        <v>2660.5298388903752</v>
      </c>
      <c r="F113" s="334">
        <f t="shared" si="87"/>
        <v>2512.5558002370199</v>
      </c>
      <c r="G113" s="334">
        <f t="shared" si="87"/>
        <v>2998.3570824245849</v>
      </c>
      <c r="H113" s="404">
        <f t="shared" si="87"/>
        <v>2487.9239449287475</v>
      </c>
      <c r="I113" s="19">
        <f t="shared" si="87"/>
        <v>2573.5958275946828</v>
      </c>
      <c r="J113" s="19">
        <f t="shared" si="87"/>
        <v>2760.1784161938713</v>
      </c>
      <c r="K113" s="19">
        <f t="shared" si="87"/>
        <v>3098.0299873461677</v>
      </c>
      <c r="L113" s="19">
        <f t="shared" si="87"/>
        <v>3596.433372347683</v>
      </c>
      <c r="M113" s="19">
        <f t="shared" si="87"/>
        <v>4315.7465234956835</v>
      </c>
      <c r="N113" s="182">
        <f t="shared" si="87"/>
        <v>5419.9857439783364</v>
      </c>
      <c r="O113" s="19">
        <f t="shared" si="87"/>
        <v>5634.0339860867443</v>
      </c>
      <c r="P113" s="19">
        <f t="shared" si="87"/>
        <v>5859.9201415080588</v>
      </c>
      <c r="Q113" s="19">
        <f t="shared" si="87"/>
        <v>6114.2028878937972</v>
      </c>
      <c r="R113" s="19">
        <f t="shared" si="87"/>
        <v>6356.4432766341952</v>
      </c>
      <c r="S113" s="19">
        <f t="shared" si="87"/>
        <v>6621.2659144528016</v>
      </c>
      <c r="T113" s="19">
        <f t="shared" si="87"/>
        <v>6899.4071866558761</v>
      </c>
      <c r="U113" s="19">
        <f t="shared" si="87"/>
        <v>7177.4163903615945</v>
      </c>
      <c r="V113" s="19">
        <f t="shared" si="87"/>
        <v>7458.2653961369015</v>
      </c>
      <c r="W113" s="19">
        <f t="shared" si="87"/>
        <v>7764.6884180755496</v>
      </c>
      <c r="X113" s="182">
        <f t="shared" si="87"/>
        <v>8077.1395558359309</v>
      </c>
      <c r="Y113" s="206">
        <f t="shared" si="87"/>
        <v>8190.3061564250802</v>
      </c>
      <c r="Z113" s="206">
        <f t="shared" si="87"/>
        <v>8298.1257636052997</v>
      </c>
      <c r="AA113" s="206">
        <f t="shared" si="87"/>
        <v>8409.9998093513004</v>
      </c>
      <c r="AB113" s="206">
        <f t="shared" si="87"/>
        <v>8518.0953883865968</v>
      </c>
      <c r="AC113" s="206">
        <f t="shared" si="87"/>
        <v>8619.0852214758943</v>
      </c>
      <c r="AD113" s="206">
        <f t="shared" si="87"/>
        <v>8723.6962390204881</v>
      </c>
      <c r="AE113" s="206">
        <f t="shared" si="87"/>
        <v>8823.9477138473358</v>
      </c>
      <c r="AF113" s="206">
        <f t="shared" si="87"/>
        <v>8920.0431399727786</v>
      </c>
      <c r="AG113" s="206">
        <f t="shared" si="87"/>
        <v>9004.9720755302169</v>
      </c>
      <c r="AH113" s="182">
        <f t="shared" si="87"/>
        <v>9098.1957447177138</v>
      </c>
      <c r="AI113" s="31" t="s">
        <v>0</v>
      </c>
    </row>
    <row r="114" spans="1:35" s="20" customFormat="1">
      <c r="A114" s="10" t="s">
        <v>384</v>
      </c>
      <c r="B114" s="37"/>
      <c r="C114" s="334">
        <f>SUM(C101:C103)</f>
        <v>2208.0385000000001</v>
      </c>
      <c r="D114" s="334">
        <f t="shared" ref="D114:AH114" si="88">SUM(D101:D103)</f>
        <v>2294.6120897149412</v>
      </c>
      <c r="E114" s="334">
        <f t="shared" si="88"/>
        <v>2316.4077226465424</v>
      </c>
      <c r="F114" s="334">
        <f t="shared" si="88"/>
        <v>2034.0963381429231</v>
      </c>
      <c r="G114" s="334">
        <f t="shared" si="88"/>
        <v>2206.2235277758882</v>
      </c>
      <c r="H114" s="404">
        <f t="shared" si="88"/>
        <v>2166.8566006664478</v>
      </c>
      <c r="I114" s="19">
        <f t="shared" si="88"/>
        <v>2116.8042263524576</v>
      </c>
      <c r="J114" s="19">
        <f t="shared" si="88"/>
        <v>2094.7285322683756</v>
      </c>
      <c r="K114" s="19">
        <f t="shared" si="88"/>
        <v>2104.1802966897212</v>
      </c>
      <c r="L114" s="19">
        <f t="shared" si="88"/>
        <v>2104.8986167518265</v>
      </c>
      <c r="M114" s="19">
        <f t="shared" si="88"/>
        <v>2083.1138428692543</v>
      </c>
      <c r="N114" s="182">
        <f t="shared" si="88"/>
        <v>2058.4783420731019</v>
      </c>
      <c r="O114" s="19">
        <f t="shared" si="88"/>
        <v>2063.7796672469894</v>
      </c>
      <c r="P114" s="19">
        <f t="shared" si="88"/>
        <v>2068.6809080063399</v>
      </c>
      <c r="Q114" s="19">
        <f t="shared" si="88"/>
        <v>2078.5814535564909</v>
      </c>
      <c r="R114" s="19">
        <f t="shared" si="88"/>
        <v>2079.4086759505558</v>
      </c>
      <c r="S114" s="19">
        <f t="shared" si="88"/>
        <v>2082.7841644578261</v>
      </c>
      <c r="T114" s="19">
        <f t="shared" si="88"/>
        <v>2085.3454776864201</v>
      </c>
      <c r="U114" s="19">
        <f t="shared" si="88"/>
        <v>2083.0010122204994</v>
      </c>
      <c r="V114" s="19">
        <f t="shared" si="88"/>
        <v>2076.8891156950012</v>
      </c>
      <c r="W114" s="19">
        <f t="shared" si="88"/>
        <v>2073.2890873276183</v>
      </c>
      <c r="X114" s="182">
        <f t="shared" si="88"/>
        <v>2066.6520470512828</v>
      </c>
      <c r="Y114" s="206">
        <f t="shared" si="88"/>
        <v>2071.9769007503401</v>
      </c>
      <c r="Z114" s="206">
        <f t="shared" si="88"/>
        <v>2075.4853453221426</v>
      </c>
      <c r="AA114" s="206">
        <f t="shared" si="88"/>
        <v>2079.5556368866878</v>
      </c>
      <c r="AB114" s="206">
        <f t="shared" si="88"/>
        <v>2082.2462917419307</v>
      </c>
      <c r="AC114" s="206">
        <f t="shared" si="88"/>
        <v>2082.792863637465</v>
      </c>
      <c r="AD114" s="206">
        <f t="shared" si="88"/>
        <v>2083.8245232824634</v>
      </c>
      <c r="AE114" s="206">
        <f t="shared" si="88"/>
        <v>2083.4340774222774</v>
      </c>
      <c r="AF114" s="206">
        <f t="shared" si="88"/>
        <v>2081.7121285033772</v>
      </c>
      <c r="AG114" s="206">
        <f t="shared" si="88"/>
        <v>2077.0825191362674</v>
      </c>
      <c r="AH114" s="182">
        <f t="shared" si="88"/>
        <v>2074.0786974690545</v>
      </c>
      <c r="AI114" s="31"/>
    </row>
    <row r="115" spans="1:35" s="20" customFormat="1">
      <c r="A115" s="10" t="s">
        <v>385</v>
      </c>
      <c r="B115" s="37"/>
      <c r="C115" s="334">
        <f>SUMPRODUCT($B104:$B112,C104:C112)</f>
        <v>122.4819432</v>
      </c>
      <c r="D115" s="334">
        <f t="shared" ref="D115:AH115" si="89">SUMPRODUCT($B104:$B112,D104:D112)</f>
        <v>198.61624581850913</v>
      </c>
      <c r="E115" s="334">
        <f t="shared" si="89"/>
        <v>344.12211624383218</v>
      </c>
      <c r="F115" s="334">
        <f t="shared" si="89"/>
        <v>478.45946209409612</v>
      </c>
      <c r="G115" s="334">
        <f t="shared" si="89"/>
        <v>792.13355464869653</v>
      </c>
      <c r="H115" s="404">
        <f t="shared" si="89"/>
        <v>321.06734426229951</v>
      </c>
      <c r="I115" s="19">
        <f t="shared" si="89"/>
        <v>456.79160124222528</v>
      </c>
      <c r="J115" s="19">
        <f t="shared" si="89"/>
        <v>665.44988392549647</v>
      </c>
      <c r="K115" s="19">
        <f t="shared" si="89"/>
        <v>993.84969065644668</v>
      </c>
      <c r="L115" s="19">
        <f t="shared" si="89"/>
        <v>1491.5347555958563</v>
      </c>
      <c r="M115" s="19">
        <f t="shared" si="89"/>
        <v>2232.6326806264292</v>
      </c>
      <c r="N115" s="182">
        <f t="shared" si="89"/>
        <v>3361.5074019052331</v>
      </c>
      <c r="O115" s="19">
        <f t="shared" si="89"/>
        <v>3570.2543188397558</v>
      </c>
      <c r="P115" s="19">
        <f t="shared" si="89"/>
        <v>3791.2392335017184</v>
      </c>
      <c r="Q115" s="19">
        <f t="shared" si="89"/>
        <v>4035.6214343373072</v>
      </c>
      <c r="R115" s="19">
        <f t="shared" si="89"/>
        <v>4277.0346006836398</v>
      </c>
      <c r="S115" s="19">
        <f t="shared" si="89"/>
        <v>4538.481749994975</v>
      </c>
      <c r="T115" s="19">
        <f t="shared" si="89"/>
        <v>4814.0617089694551</v>
      </c>
      <c r="U115" s="19">
        <f t="shared" si="89"/>
        <v>5094.4153781410951</v>
      </c>
      <c r="V115" s="19">
        <f t="shared" si="89"/>
        <v>5381.3762804419011</v>
      </c>
      <c r="W115" s="19">
        <f t="shared" si="89"/>
        <v>5691.3993307479313</v>
      </c>
      <c r="X115" s="182">
        <f t="shared" si="89"/>
        <v>6010.4875087846485</v>
      </c>
      <c r="Y115" s="206">
        <f t="shared" si="89"/>
        <v>6118.3292556747392</v>
      </c>
      <c r="Z115" s="206">
        <f t="shared" si="89"/>
        <v>6222.6404182831575</v>
      </c>
      <c r="AA115" s="206">
        <f t="shared" si="89"/>
        <v>6330.444172464614</v>
      </c>
      <c r="AB115" s="206">
        <f t="shared" si="89"/>
        <v>6435.8490966446661</v>
      </c>
      <c r="AC115" s="206">
        <f t="shared" si="89"/>
        <v>6536.2923578384289</v>
      </c>
      <c r="AD115" s="206">
        <f t="shared" si="89"/>
        <v>6639.8717157380233</v>
      </c>
      <c r="AE115" s="206">
        <f t="shared" si="89"/>
        <v>6740.5136364250584</v>
      </c>
      <c r="AF115" s="206">
        <f t="shared" si="89"/>
        <v>6838.3310114694013</v>
      </c>
      <c r="AG115" s="206">
        <f t="shared" si="89"/>
        <v>6927.8895563939477</v>
      </c>
      <c r="AH115" s="182">
        <f t="shared" si="89"/>
        <v>7024.1170472486592</v>
      </c>
    </row>
    <row r="116" spans="1:35" s="20" customFormat="1">
      <c r="A116" s="10" t="s">
        <v>142</v>
      </c>
      <c r="B116" s="37"/>
      <c r="C116" s="334">
        <f>C47*Inputs!$C$60</f>
        <v>9114.3019598399987</v>
      </c>
      <c r="D116" s="334">
        <f>D47*Inputs!$C$60</f>
        <v>12919.646164229907</v>
      </c>
      <c r="E116" s="334">
        <f>E47*Inputs!$C$60</f>
        <v>13221.207866521558</v>
      </c>
      <c r="F116" s="334">
        <f>F47*Inputs!$C$60</f>
        <v>11317.206114811443</v>
      </c>
      <c r="G116" s="334">
        <f>G47*Inputs!$C$60</f>
        <v>12735.788306647819</v>
      </c>
      <c r="H116" s="404">
        <f>H47*Inputs!$C$60</f>
        <v>13020.744010397606</v>
      </c>
      <c r="I116" s="19">
        <f>I47*Inputs!$C$60</f>
        <v>12775.398285523035</v>
      </c>
      <c r="J116" s="19">
        <f>J47*Inputs!$C$60</f>
        <v>12641.67044508666</v>
      </c>
      <c r="K116" s="19">
        <f>K47*Inputs!$C$60</f>
        <v>12789.262713563756</v>
      </c>
      <c r="L116" s="19">
        <f>L47*Inputs!$C$60</f>
        <v>12826.182552372278</v>
      </c>
      <c r="M116" s="19">
        <f>M47*Inputs!$C$60</f>
        <v>12638.503479031328</v>
      </c>
      <c r="N116" s="182">
        <f>N47*Inputs!$C$60</f>
        <v>12289.823188720751</v>
      </c>
      <c r="O116" s="19">
        <f>O47*Inputs!$C$60</f>
        <v>12319.424968771698</v>
      </c>
      <c r="P116" s="19">
        <f>P47*Inputs!$C$60</f>
        <v>12305.772695431604</v>
      </c>
      <c r="Q116" s="19">
        <f>Q47*Inputs!$C$60</f>
        <v>12287.870321448843</v>
      </c>
      <c r="R116" s="19">
        <f>R47*Inputs!$C$60</f>
        <v>12261.225072393787</v>
      </c>
      <c r="S116" s="19">
        <f>S47*Inputs!$C$60</f>
        <v>12236.946429529469</v>
      </c>
      <c r="T116" s="19">
        <f>T47*Inputs!$C$60</f>
        <v>12144.699645460025</v>
      </c>
      <c r="U116" s="19">
        <f>U47*Inputs!$C$60</f>
        <v>12056.435356476382</v>
      </c>
      <c r="V116" s="19">
        <f>V47*Inputs!$C$60</f>
        <v>11965.128750262822</v>
      </c>
      <c r="W116" s="19">
        <f>W47*Inputs!$C$60</f>
        <v>11861.216529614338</v>
      </c>
      <c r="X116" s="182">
        <f>X47*Inputs!$C$60</f>
        <v>11752.226925647718</v>
      </c>
      <c r="Y116" s="206">
        <f>Y47*Inputs!$C$60</f>
        <v>11715.391141036018</v>
      </c>
      <c r="Z116" s="206">
        <f>Z47*Inputs!$C$60</f>
        <v>11674.987552355356</v>
      </c>
      <c r="AA116" s="206">
        <f>AA47*Inputs!$C$60</f>
        <v>11632.678628969401</v>
      </c>
      <c r="AB116" s="206">
        <f>AB47*Inputs!$C$60</f>
        <v>11596.703648637416</v>
      </c>
      <c r="AC116" s="206">
        <f>AC47*Inputs!$C$60</f>
        <v>11558.88517568584</v>
      </c>
      <c r="AD116" s="206">
        <f>AD47*Inputs!$C$60</f>
        <v>11518.697269776078</v>
      </c>
      <c r="AE116" s="206">
        <f>AE47*Inputs!$C$60</f>
        <v>11478.765758054709</v>
      </c>
      <c r="AF116" s="206">
        <f>AF47*Inputs!$C$60</f>
        <v>11440.305270626139</v>
      </c>
      <c r="AG116" s="206">
        <f>AG47*Inputs!$C$60</f>
        <v>11404.378456930042</v>
      </c>
      <c r="AH116" s="182">
        <f>AH47*Inputs!$C$60</f>
        <v>11367.601160420863</v>
      </c>
      <c r="AI116" s="31"/>
    </row>
    <row r="117" spans="1:35" s="20" customFormat="1">
      <c r="A117" s="10" t="s">
        <v>222</v>
      </c>
      <c r="B117" s="37"/>
      <c r="C117" s="334">
        <f>C48*Inputs!$C$61</f>
        <v>3906.1294113599997</v>
      </c>
      <c r="D117" s="334">
        <f>D48*Inputs!$C$61</f>
        <v>781.57346181409139</v>
      </c>
      <c r="E117" s="334">
        <f>E48*Inputs!$C$61</f>
        <v>767.58084050180162</v>
      </c>
      <c r="F117" s="334">
        <f>F48*Inputs!$C$61</f>
        <v>1106.0072608097266</v>
      </c>
      <c r="G117" s="334">
        <f>G48*Inputs!$C$61</f>
        <v>877.82585346683368</v>
      </c>
      <c r="H117" s="404">
        <f>H48*Inputs!$C$61</f>
        <v>863.40653508576531</v>
      </c>
      <c r="I117" s="19">
        <f>I48*Inputs!$C$61</f>
        <v>958.18613605067947</v>
      </c>
      <c r="J117" s="19">
        <f>J48*Inputs!$C$61</f>
        <v>1098.6228733278977</v>
      </c>
      <c r="K117" s="19">
        <f>K48*Inputs!$C$61</f>
        <v>1123.6631787487886</v>
      </c>
      <c r="L117" s="19">
        <f>L48*Inputs!$C$61</f>
        <v>1140.3922936567039</v>
      </c>
      <c r="M117" s="19">
        <f>M48*Inputs!$C$61</f>
        <v>1131.4481827032587</v>
      </c>
      <c r="N117" s="182">
        <f>N48*Inputs!$C$61</f>
        <v>1104.803014188712</v>
      </c>
      <c r="O117" s="19">
        <f>O48*Inputs!$C$61</f>
        <v>1078.6293822952803</v>
      </c>
      <c r="P117" s="19">
        <f>P48*Inputs!$C$61</f>
        <v>1088.7651165778452</v>
      </c>
      <c r="Q117" s="19">
        <f>Q48*Inputs!$C$61</f>
        <v>1131.079056344108</v>
      </c>
      <c r="R117" s="19">
        <f>R48*Inputs!$C$61</f>
        <v>1118.5520095867166</v>
      </c>
      <c r="S117" s="19">
        <f>S48*Inputs!$C$61</f>
        <v>1114.5314095262358</v>
      </c>
      <c r="T117" s="19">
        <f>T48*Inputs!$C$61</f>
        <v>1167.4971369841849</v>
      </c>
      <c r="U117" s="19">
        <f>U48*Inputs!$C$61</f>
        <v>1178.75391789892</v>
      </c>
      <c r="V117" s="19">
        <f>V48*Inputs!$C$61</f>
        <v>1162.7758874877379</v>
      </c>
      <c r="W117" s="19">
        <f>W48*Inputs!$C$61</f>
        <v>1168.6776086214511</v>
      </c>
      <c r="X117" s="182">
        <f>X48*Inputs!$C$61</f>
        <v>1153.2252236296583</v>
      </c>
      <c r="Y117" s="206">
        <f>Y48*Inputs!$C$61</f>
        <v>1219.0346128645492</v>
      </c>
      <c r="Z117" s="206">
        <f>Z48*Inputs!$C$61</f>
        <v>1276.2699077038947</v>
      </c>
      <c r="AA117" s="206">
        <f>AA48*Inputs!$C$61</f>
        <v>1338.2042254990467</v>
      </c>
      <c r="AB117" s="206">
        <f>AB48*Inputs!$C$61</f>
        <v>1384.5467344451226</v>
      </c>
      <c r="AC117" s="206">
        <f>AC48*Inputs!$C$61</f>
        <v>1418.9706751963677</v>
      </c>
      <c r="AD117" s="206">
        <f>AD48*Inputs!$C$61</f>
        <v>1458.3053942841045</v>
      </c>
      <c r="AE117" s="206">
        <f>AE48*Inputs!$C$61</f>
        <v>1487.94180502615</v>
      </c>
      <c r="AF117" s="206">
        <f>AF48*Inputs!$C$61</f>
        <v>1507.29845426368</v>
      </c>
      <c r="AG117" s="206">
        <f>AG48*Inputs!$C$61</f>
        <v>1505.3112773116945</v>
      </c>
      <c r="AH117" s="182">
        <f>AH48*Inputs!$C$61</f>
        <v>1513.9900265509161</v>
      </c>
      <c r="AI117" s="31"/>
    </row>
    <row r="118" spans="1:35" s="20" customFormat="1">
      <c r="A118" s="10" t="s">
        <v>58</v>
      </c>
      <c r="B118" s="37"/>
      <c r="C118" s="334">
        <f>SUM(C113,C116,C117)</f>
        <v>15350.951814399998</v>
      </c>
      <c r="D118" s="334">
        <f>SUM(D113,D116,D117)</f>
        <v>16194.447961577451</v>
      </c>
      <c r="E118" s="334">
        <f t="shared" ref="E118:AH118" si="90">SUM(E113,E116,E117)</f>
        <v>16649.318545913735</v>
      </c>
      <c r="F118" s="334">
        <f t="shared" si="90"/>
        <v>14935.76917585819</v>
      </c>
      <c r="G118" s="334">
        <f t="shared" si="90"/>
        <v>16611.971242539239</v>
      </c>
      <c r="H118" s="404">
        <f t="shared" si="90"/>
        <v>16372.074490412118</v>
      </c>
      <c r="I118" s="19">
        <f t="shared" si="90"/>
        <v>16307.180249168397</v>
      </c>
      <c r="J118" s="19">
        <f t="shared" si="90"/>
        <v>16500.471734608429</v>
      </c>
      <c r="K118" s="19">
        <f t="shared" si="90"/>
        <v>17010.955879658712</v>
      </c>
      <c r="L118" s="19">
        <f t="shared" si="90"/>
        <v>17563.008218376664</v>
      </c>
      <c r="M118" s="19">
        <f t="shared" si="90"/>
        <v>18085.698185230271</v>
      </c>
      <c r="N118" s="182">
        <f t="shared" si="90"/>
        <v>18814.611946887802</v>
      </c>
      <c r="O118" s="19">
        <f t="shared" si="90"/>
        <v>19032.08833715372</v>
      </c>
      <c r="P118" s="19">
        <f t="shared" si="90"/>
        <v>19254.457953517507</v>
      </c>
      <c r="Q118" s="19">
        <f t="shared" si="90"/>
        <v>19533.152265686749</v>
      </c>
      <c r="R118" s="19">
        <f t="shared" si="90"/>
        <v>19736.220358614701</v>
      </c>
      <c r="S118" s="19">
        <f t="shared" si="90"/>
        <v>19972.743753508508</v>
      </c>
      <c r="T118" s="19">
        <f t="shared" si="90"/>
        <v>20211.603969100084</v>
      </c>
      <c r="U118" s="19">
        <f t="shared" si="90"/>
        <v>20412.605664736897</v>
      </c>
      <c r="V118" s="19">
        <f t="shared" si="90"/>
        <v>20586.170033887462</v>
      </c>
      <c r="W118" s="19">
        <f t="shared" si="90"/>
        <v>20794.582556311339</v>
      </c>
      <c r="X118" s="182">
        <f t="shared" si="90"/>
        <v>20982.591705113307</v>
      </c>
      <c r="Y118" s="206">
        <f t="shared" si="90"/>
        <v>21124.731910325649</v>
      </c>
      <c r="Z118" s="206">
        <f t="shared" si="90"/>
        <v>21249.38322366455</v>
      </c>
      <c r="AA118" s="206">
        <f t="shared" si="90"/>
        <v>21380.88266381975</v>
      </c>
      <c r="AB118" s="206">
        <f t="shared" si="90"/>
        <v>21499.345771469139</v>
      </c>
      <c r="AC118" s="206">
        <f t="shared" si="90"/>
        <v>21596.941072358102</v>
      </c>
      <c r="AD118" s="206">
        <f t="shared" si="90"/>
        <v>21700.698903080669</v>
      </c>
      <c r="AE118" s="206">
        <f t="shared" si="90"/>
        <v>21790.655276928195</v>
      </c>
      <c r="AF118" s="206">
        <f t="shared" si="90"/>
        <v>21867.6468648626</v>
      </c>
      <c r="AG118" s="206">
        <f t="shared" si="90"/>
        <v>21914.661809771955</v>
      </c>
      <c r="AH118" s="182">
        <f t="shared" si="90"/>
        <v>21979.786931689494</v>
      </c>
      <c r="AI118" s="31"/>
    </row>
    <row r="119" spans="1:35" s="1" customFormat="1">
      <c r="A119" s="1" t="s">
        <v>335</v>
      </c>
      <c r="B119" s="13"/>
      <c r="C119" s="341">
        <f>C118-'Output - Jobs vs Yr (BAU)'!C55</f>
        <v>0.61137119999875722</v>
      </c>
      <c r="D119" s="341">
        <f>D118-'Output - Jobs vs Yr (BAU)'!D55</f>
        <v>35.312585577450591</v>
      </c>
      <c r="E119" s="341">
        <f>E118-'Output - Jobs vs Yr (BAU)'!E55</f>
        <v>90.714047064760962</v>
      </c>
      <c r="F119" s="341">
        <f>F118-'Output - Jobs vs Yr (BAU)'!F55</f>
        <v>75.69832002896328</v>
      </c>
      <c r="G119" s="341">
        <f>G118-'Output - Jobs vs Yr (BAU)'!G55</f>
        <v>237.2686659306728</v>
      </c>
      <c r="H119" s="405">
        <f>H118-'Output - Jobs vs Yr (BAU)'!H55</f>
        <v>-19.061208123011966</v>
      </c>
      <c r="I119" s="15">
        <f>I118-'Output - Jobs vs Yr (BAU)'!I55</f>
        <v>-2.2993078744239028</v>
      </c>
      <c r="J119" s="15">
        <f>J118-'Output - Jobs vs Yr (BAU)'!J55</f>
        <v>56.34630359642324</v>
      </c>
      <c r="K119" s="15">
        <f>K118-'Output - Jobs vs Yr (BAU)'!K55</f>
        <v>136.45648308765885</v>
      </c>
      <c r="L119" s="15">
        <f>L118-'Output - Jobs vs Yr (BAU)'!L55</f>
        <v>293.50792735218783</v>
      </c>
      <c r="M119" s="15">
        <f>M118-'Output - Jobs vs Yr (BAU)'!M55</f>
        <v>700.28147177027131</v>
      </c>
      <c r="N119" s="182">
        <f>N118-'Output - Jobs vs Yr (BAU)'!N55</f>
        <v>1304.486619184645</v>
      </c>
      <c r="O119" s="15">
        <f>O118-'Output - Jobs vs Yr (BAU)'!O55</f>
        <v>1367.2737405410007</v>
      </c>
      <c r="P119" s="15">
        <f>P118-'Output - Jobs vs Yr (BAU)'!P55</f>
        <v>1427.5360773485081</v>
      </c>
      <c r="Q119" s="15">
        <f>Q118-'Output - Jobs vs Yr (BAU)'!Q55</f>
        <v>1445.4443462311938</v>
      </c>
      <c r="R119" s="15">
        <f>R118-'Output - Jobs vs Yr (BAU)'!R55</f>
        <v>1537.0398597479289</v>
      </c>
      <c r="S119" s="15">
        <f>S118-'Output - Jobs vs Yr (BAU)'!S55</f>
        <v>1631.3014213579227</v>
      </c>
      <c r="T119" s="15">
        <f>T118-'Output - Jobs vs Yr (BAU)'!T55</f>
        <v>1745.1603246299346</v>
      </c>
      <c r="U119" s="15">
        <f>U118-'Output - Jobs vs Yr (BAU)'!U55</f>
        <v>1869.7595079477614</v>
      </c>
      <c r="V119" s="15">
        <f>V118-'Output - Jobs vs Yr (BAU)'!V55</f>
        <v>1988.3081232535478</v>
      </c>
      <c r="W119" s="15">
        <f>W118-'Output - Jobs vs Yr (BAU)'!W55</f>
        <v>2123.5370019718102</v>
      </c>
      <c r="X119" s="190">
        <f>X118-'Output - Jobs vs Yr (BAU)'!X55</f>
        <v>2210.5298247819337</v>
      </c>
      <c r="Y119" s="130">
        <f>Y118-'Output - Jobs vs Yr (BAU)'!Y55</f>
        <v>2190.4925650989389</v>
      </c>
      <c r="Z119" s="130">
        <f>Z118-'Output - Jobs vs Yr (BAU)'!Z55</f>
        <v>2194.2177477293735</v>
      </c>
      <c r="AA119" s="130">
        <f>AA118-'Output - Jobs vs Yr (BAU)'!AA55</f>
        <v>2211.3627276631269</v>
      </c>
      <c r="AB119" s="130">
        <f>AB118-'Output - Jobs vs Yr (BAU)'!AB55</f>
        <v>2227.1990917811854</v>
      </c>
      <c r="AC119" s="130">
        <f>AC118-'Output - Jobs vs Yr (BAU)'!AC55</f>
        <v>2241.979256334329</v>
      </c>
      <c r="AD119" s="130">
        <f>AD118-'Output - Jobs vs Yr (BAU)'!AD55</f>
        <v>2261.5899115415632</v>
      </c>
      <c r="AE119" s="130">
        <f>AE118-'Output - Jobs vs Yr (BAU)'!AE55</f>
        <v>2273.6218315483602</v>
      </c>
      <c r="AF119" s="130">
        <f>AF118-'Output - Jobs vs Yr (BAU)'!AF55</f>
        <v>2284.2855405879054</v>
      </c>
      <c r="AG119" s="130">
        <f>AG118-'Output - Jobs vs Yr (BAU)'!AG55</f>
        <v>2294.9651552053692</v>
      </c>
      <c r="AH119" s="190">
        <f>AH118-'Output - Jobs vs Yr (BAU)'!AH55</f>
        <v>2306.9931658337227</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7.6485967786443325</v>
      </c>
    </row>
    <row r="123" spans="1:35" hidden="1">
      <c r="W123" s="2" t="s">
        <v>134</v>
      </c>
      <c r="X123" s="187">
        <f>X115-'Output - Jobs vs Yr (BAU)'!X51</f>
        <v>3924.892350957979</v>
      </c>
    </row>
    <row r="124" spans="1:35" hidden="1">
      <c r="W124" s="2" t="s">
        <v>137</v>
      </c>
      <c r="X124" s="187">
        <f>SUM(X101,X106,X111)</f>
        <v>0</v>
      </c>
    </row>
    <row r="125" spans="1:35" hidden="1">
      <c r="W125" s="2" t="s">
        <v>132</v>
      </c>
      <c r="X125" s="187">
        <f>SUM(X121:X124)</f>
        <v>3932.5409477366234</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71.278649999999999</v>
      </c>
      <c r="D129" s="331">
        <f>D102*Inputs!$H48</f>
        <v>78.661818496253105</v>
      </c>
      <c r="E129" s="331">
        <f>E102*Inputs!$H48</f>
        <v>84.171099780696366</v>
      </c>
      <c r="F129" s="331">
        <f>F102*Inputs!$H48</f>
        <v>78.213597291416235</v>
      </c>
      <c r="G129" s="331">
        <f>G102*Inputs!$H48</f>
        <v>89.63164165839305</v>
      </c>
      <c r="H129" s="402">
        <f>H102*Inputs!$H48</f>
        <v>100.01684291980271</v>
      </c>
      <c r="I129" s="14">
        <f>I102*Inputs!$H48</f>
        <v>101.51835594211308</v>
      </c>
      <c r="J129" s="14">
        <f>J102*Inputs!$H48</f>
        <v>104.34346667333794</v>
      </c>
      <c r="K129" s="14">
        <f>K102*Inputs!$H48</f>
        <v>108.83296639659186</v>
      </c>
      <c r="L129" s="14">
        <f>L102*Inputs!$H48</f>
        <v>113.01292863017076</v>
      </c>
      <c r="M129" s="14">
        <f>M102*Inputs!$H48</f>
        <v>116.07036005445116</v>
      </c>
      <c r="N129" s="182">
        <f>N102*Inputs!$H48</f>
        <v>119.0063182257918</v>
      </c>
      <c r="O129" s="14">
        <f>O102*Inputs!$H48</f>
        <v>119.31280247571918</v>
      </c>
      <c r="P129" s="14">
        <f>P102*Inputs!$H48</f>
        <v>119.59615674065699</v>
      </c>
      <c r="Q129" s="14">
        <f>Q102*Inputs!$H48</f>
        <v>120.1685346230318</v>
      </c>
      <c r="R129" s="14">
        <f>R102*Inputs!$H48</f>
        <v>120.21635863432182</v>
      </c>
      <c r="S129" s="14">
        <f>S102*Inputs!$H48</f>
        <v>120.41150494762196</v>
      </c>
      <c r="T129" s="14">
        <f>T102*Inputs!$H48</f>
        <v>120.55958153940725</v>
      </c>
      <c r="U129" s="14">
        <f>U102*Inputs!$H48</f>
        <v>120.42404151568968</v>
      </c>
      <c r="V129" s="14">
        <f>V102*Inputs!$H48</f>
        <v>120.07069589722471</v>
      </c>
      <c r="W129" s="14">
        <f>W102*Inputs!$H48</f>
        <v>119.86256831445928</v>
      </c>
      <c r="X129" s="187">
        <f>X102*Inputs!$H48</f>
        <v>119.47886268537425</v>
      </c>
      <c r="Y129" s="158">
        <f>Y102*Inputs!$H48</f>
        <v>119.7867071843247</v>
      </c>
      <c r="Z129" s="158">
        <f>Z102*Inputs!$H48</f>
        <v>119.98954005492413</v>
      </c>
      <c r="AA129" s="158">
        <f>AA102*Inputs!$H48</f>
        <v>120.22485485192811</v>
      </c>
      <c r="AB129" s="158">
        <f>AB102*Inputs!$H48</f>
        <v>120.38040904037602</v>
      </c>
      <c r="AC129" s="158">
        <f>AC102*Inputs!$H48</f>
        <v>120.41200787122297</v>
      </c>
      <c r="AD129" s="158">
        <f>AD102*Inputs!$H48</f>
        <v>120.47165096462065</v>
      </c>
      <c r="AE129" s="158">
        <f>AE102*Inputs!$H48</f>
        <v>120.44907821107861</v>
      </c>
      <c r="AF129" s="158">
        <f>AF102*Inputs!$H48</f>
        <v>120.3495275882604</v>
      </c>
      <c r="AG129" s="158">
        <f>AG102*Inputs!$H48</f>
        <v>120.08187708432139</v>
      </c>
      <c r="AH129" s="187">
        <f>AH102*Inputs!$H48</f>
        <v>119.90821785754426</v>
      </c>
    </row>
    <row r="130" spans="1:35">
      <c r="A130" s="10" t="s">
        <v>59</v>
      </c>
      <c r="B130" s="35">
        <v>0</v>
      </c>
      <c r="C130" s="331">
        <f>C103*Inputs!$H53</f>
        <v>1915.9560000000001</v>
      </c>
      <c r="D130" s="331">
        <f>D103*Inputs!$H53</f>
        <v>1986.4890622471939</v>
      </c>
      <c r="E130" s="331">
        <f>E103*Inputs!$H53</f>
        <v>2000.5958506011921</v>
      </c>
      <c r="F130" s="331">
        <f>F103*Inputs!$H53</f>
        <v>1752.4731070372145</v>
      </c>
      <c r="G130" s="331">
        <f>G103*Inputs!$H53</f>
        <v>1895.9695333399065</v>
      </c>
      <c r="H130" s="402">
        <f>H103*Inputs!$H53</f>
        <v>1850.1540976800002</v>
      </c>
      <c r="I130" s="14">
        <f>I103*Inputs!$H53</f>
        <v>1803.605447775099</v>
      </c>
      <c r="J130" s="14">
        <f>J103*Inputs!$H53</f>
        <v>1780.9122123682002</v>
      </c>
      <c r="K130" s="14">
        <f>K103*Inputs!$H53</f>
        <v>1784.9293006241573</v>
      </c>
      <c r="L130" s="14">
        <f>L103*Inputs!$H53</f>
        <v>1781.3958264464729</v>
      </c>
      <c r="M130" s="14">
        <f>M103*Inputs!$H53</f>
        <v>1758.7320985278777</v>
      </c>
      <c r="N130" s="182">
        <f>N103*Inputs!$H53</f>
        <v>1733.6241896399999</v>
      </c>
      <c r="O130" s="14">
        <f>O103*Inputs!$H53</f>
        <v>1738.0888980465716</v>
      </c>
      <c r="P130" s="14">
        <f>P103*Inputs!$H53</f>
        <v>1742.216660465049</v>
      </c>
      <c r="Q130" s="14">
        <f>Q103*Inputs!$H53</f>
        <v>1750.55477357781</v>
      </c>
      <c r="R130" s="14">
        <f>R103*Inputs!$H53</f>
        <v>1751.2514497211782</v>
      </c>
      <c r="S130" s="14">
        <f>S103*Inputs!$H53</f>
        <v>1754.0942430644216</v>
      </c>
      <c r="T130" s="14">
        <f>T103*Inputs!$H53</f>
        <v>1756.2513483783709</v>
      </c>
      <c r="U130" s="14">
        <f>U103*Inputs!$H53</f>
        <v>1754.2768694827598</v>
      </c>
      <c r="V130" s="14">
        <f>V103*Inputs!$H53</f>
        <v>1749.1295082282766</v>
      </c>
      <c r="W130" s="14">
        <f>W103*Inputs!$H53</f>
        <v>1746.0976102803975</v>
      </c>
      <c r="X130" s="187">
        <f>X103*Inputs!$H53</f>
        <v>1740.5079796607804</v>
      </c>
      <c r="Y130" s="158">
        <f>Y103*Inputs!$H53</f>
        <v>1744.9925034909816</v>
      </c>
      <c r="Z130" s="158">
        <f>Z103*Inputs!$H53</f>
        <v>1747.9472707350044</v>
      </c>
      <c r="AA130" s="158">
        <f>AA103*Inputs!$H53</f>
        <v>1751.3752183460911</v>
      </c>
      <c r="AB130" s="158">
        <f>AB103*Inputs!$H53</f>
        <v>1753.6412535273616</v>
      </c>
      <c r="AC130" s="158">
        <f>AC103*Inputs!$H53</f>
        <v>1754.1015694024957</v>
      </c>
      <c r="AD130" s="158">
        <f>AD103*Inputs!$H53</f>
        <v>1754.9704199895966</v>
      </c>
      <c r="AE130" s="158">
        <f>AE103*Inputs!$H53</f>
        <v>1754.6415914689712</v>
      </c>
      <c r="AF130" s="158">
        <f>AF103*Inputs!$H53</f>
        <v>1753.1913880647792</v>
      </c>
      <c r="AG130" s="158">
        <f>AG103*Inputs!$H53</f>
        <v>1749.2923901383194</v>
      </c>
      <c r="AH130" s="187">
        <f>AH103*Inputs!$H53</f>
        <v>1746.7626098646049</v>
      </c>
    </row>
    <row r="131" spans="1:35">
      <c r="A131" s="10" t="s">
        <v>121</v>
      </c>
      <c r="B131" s="35">
        <v>1</v>
      </c>
      <c r="C131" s="330">
        <f>Inputs!$H46*'Output -Jobs vs Yr'!C104</f>
        <v>77.489999999999995</v>
      </c>
      <c r="D131" s="330">
        <f>Inputs!$H46*'Output -Jobs vs Yr'!D104</f>
        <v>130.21668454381009</v>
      </c>
      <c r="E131" s="330">
        <f>Inputs!$H46*'Output -Jobs vs Yr'!E104</f>
        <v>212.60523956158957</v>
      </c>
      <c r="F131" s="330">
        <f>Inputs!$H46*'Output -Jobs vs Yr'!F104</f>
        <v>302.00748118376066</v>
      </c>
      <c r="G131" s="330">
        <f>Inputs!$H46*'Output -Jobs vs Yr'!G104</f>
        <v>529.9940527229993</v>
      </c>
      <c r="H131" s="286">
        <f>Inputs!$H46*'Output -Jobs vs Yr'!H104</f>
        <v>101.30166440349811</v>
      </c>
      <c r="I131" s="40">
        <f>Inputs!$H46*'Output -Jobs vs Yr'!I104</f>
        <v>160.14296169360375</v>
      </c>
      <c r="J131" s="40">
        <f>Inputs!$H46*'Output -Jobs vs Yr'!J104</f>
        <v>256.50050975890292</v>
      </c>
      <c r="K131" s="40">
        <f>Inputs!$H46*'Output -Jobs vs Yr'!K104</f>
        <v>417.13063738997801</v>
      </c>
      <c r="L131" s="40">
        <f>Inputs!$H46*'Output -Jobs vs Yr'!L104</f>
        <v>675.68954565773868</v>
      </c>
      <c r="M131" s="40">
        <f>Inputs!$H46*'Output -Jobs vs Yr'!M104</f>
        <v>1083.0715394088722</v>
      </c>
      <c r="N131" s="177">
        <f>Inputs!$H46*'Output -Jobs vs Yr'!N104</f>
        <v>1733.8957081218364</v>
      </c>
      <c r="O131" s="40">
        <f>Inputs!$H46*'Output -Jobs vs Yr'!O104</f>
        <v>1841.5692426650864</v>
      </c>
      <c r="P131" s="40">
        <f>Inputs!$H46*'Output -Jobs vs Yr'!P104</f>
        <v>1955.5552463475051</v>
      </c>
      <c r="Q131" s="40">
        <f>Inputs!$H46*'Output -Jobs vs Yr'!Q104</f>
        <v>2081.6097803729344</v>
      </c>
      <c r="R131" s="40">
        <f>Inputs!$H46*'Output -Jobs vs Yr'!R104</f>
        <v>2206.1328597434467</v>
      </c>
      <c r="S131" s="40">
        <f>Inputs!$H46*'Output -Jobs vs Yr'!S104</f>
        <v>2340.989647455614</v>
      </c>
      <c r="T131" s="40">
        <f>Inputs!$H46*'Output -Jobs vs Yr'!T104</f>
        <v>2483.1362653209862</v>
      </c>
      <c r="U131" s="40">
        <f>Inputs!$H46*'Output -Jobs vs Yr'!U104</f>
        <v>2627.7452057794844</v>
      </c>
      <c r="V131" s="40">
        <f>Inputs!$H46*'Output -Jobs vs Yr'!V104</f>
        <v>2775.7622164265922</v>
      </c>
      <c r="W131" s="40">
        <f>Inputs!$H46*'Output -Jobs vs Yr'!W104</f>
        <v>2935.6748901395213</v>
      </c>
      <c r="X131" s="184">
        <f>Inputs!$H46*'Output -Jobs vs Yr'!X104</f>
        <v>3100.2634381512544</v>
      </c>
      <c r="Y131" s="271">
        <f>Inputs!$H46*'Output -Jobs vs Yr'!Y104</f>
        <v>3155.8891797406109</v>
      </c>
      <c r="Z131" s="271">
        <f>Inputs!$H46*'Output -Jobs vs Yr'!Z104</f>
        <v>3209.6938142487566</v>
      </c>
      <c r="AA131" s="271">
        <f>Inputs!$H46*'Output -Jobs vs Yr'!AA104</f>
        <v>3265.2999588577804</v>
      </c>
      <c r="AB131" s="271">
        <f>Inputs!$H46*'Output -Jobs vs Yr'!AB104</f>
        <v>3319.6687654078164</v>
      </c>
      <c r="AC131" s="271">
        <f>Inputs!$H46*'Output -Jobs vs Yr'!AC104</f>
        <v>3371.4783016280603</v>
      </c>
      <c r="AD131" s="271">
        <f>Inputs!$H46*'Output -Jobs vs Yr'!AD104</f>
        <v>3424.9054646949421</v>
      </c>
      <c r="AE131" s="271">
        <f>Inputs!$H46*'Output -Jobs vs Yr'!AE104</f>
        <v>3476.817471266007</v>
      </c>
      <c r="AF131" s="271">
        <f>Inputs!$H46*'Output -Jobs vs Yr'!AF104</f>
        <v>3527.272551826889</v>
      </c>
      <c r="AG131" s="271">
        <f>Inputs!$H46*'Output -Jobs vs Yr'!AG104</f>
        <v>3573.4676536381471</v>
      </c>
      <c r="AH131" s="184">
        <f>Inputs!$H46*'Output -Jobs vs Yr'!AH104</f>
        <v>3623.1026576550216</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2.6652828928004875E-8</v>
      </c>
      <c r="J132" s="14">
        <f>J105*Inputs!$H49</f>
        <v>3.1988450725158829E-8</v>
      </c>
      <c r="K132" s="14">
        <f>K105*Inputs!$H49</f>
        <v>3.8980426061853217E-8</v>
      </c>
      <c r="L132" s="14">
        <f>L105*Inputs!$H49</f>
        <v>4.7314168334627834E-8</v>
      </c>
      <c r="M132" s="14">
        <f>M105*Inputs!$H49</f>
        <v>5.6829086285625386E-8</v>
      </c>
      <c r="N132" s="182">
        <f>N105*Inputs!$H49</f>
        <v>6.8171997555003568E-8</v>
      </c>
      <c r="O132" s="14">
        <f>O105*Inputs!$H49</f>
        <v>7.2405423994228127E-8</v>
      </c>
      <c r="P132" s="14">
        <f>P105*Inputs!$H49</f>
        <v>7.6887039311656695E-8</v>
      </c>
      <c r="Q132" s="14">
        <f>Q105*Inputs!$H49</f>
        <v>8.1843155959922157E-8</v>
      </c>
      <c r="R132" s="14">
        <f>R105*Inputs!$H49</f>
        <v>8.6739060034558454E-8</v>
      </c>
      <c r="S132" s="14">
        <f>S105*Inputs!$H49</f>
        <v>9.2041257023181203E-8</v>
      </c>
      <c r="T132" s="14">
        <f>T105*Inputs!$H49</f>
        <v>9.7630070029741362E-8</v>
      </c>
      <c r="U132" s="14">
        <f>U105*Inputs!$H49</f>
        <v>1.0331569477013993E-7</v>
      </c>
      <c r="V132" s="14">
        <f>V105*Inputs!$H49</f>
        <v>1.0913531543167542E-7</v>
      </c>
      <c r="W132" s="14">
        <f>W105*Inputs!$H49</f>
        <v>1.1542264075943721E-7</v>
      </c>
      <c r="X132" s="187">
        <f>X105*Inputs!$H49</f>
        <v>1.2189380856963464E-7</v>
      </c>
      <c r="Y132" s="158">
        <f>Y105*Inputs!$H49</f>
        <v>1.2408085932583762E-7</v>
      </c>
      <c r="Z132" s="158">
        <f>Z105*Inputs!$H49</f>
        <v>1.2619630917380474E-7</v>
      </c>
      <c r="AA132" s="158">
        <f>AA105*Inputs!$H49</f>
        <v>1.2838258943078503E-7</v>
      </c>
      <c r="AB132" s="158">
        <f>AB105*Inputs!$H49</f>
        <v>1.3052022096758168E-7</v>
      </c>
      <c r="AC132" s="158">
        <f>AC105*Inputs!$H49</f>
        <v>1.3255722905289392E-7</v>
      </c>
      <c r="AD132" s="158">
        <f>AD105*Inputs!$H49</f>
        <v>1.3465783776477059E-7</v>
      </c>
      <c r="AE132" s="158">
        <f>AE105*Inputs!$H49</f>
        <v>1.3669887470168733E-7</v>
      </c>
      <c r="AF132" s="158">
        <f>AF105*Inputs!$H49</f>
        <v>1.3868262932575281E-7</v>
      </c>
      <c r="AG132" s="158">
        <f>AG105*Inputs!$H49</f>
        <v>1.404988933334315E-7</v>
      </c>
      <c r="AH132" s="187">
        <f>AH105*Inputs!$H49</f>
        <v>1.4245040480937012E-7</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26.73</v>
      </c>
      <c r="D134" s="331">
        <f>D107*Inputs!$H52</f>
        <v>35.64</v>
      </c>
      <c r="E134" s="331">
        <f>E107*Inputs!$H52</f>
        <v>41.090628559343067</v>
      </c>
      <c r="F134" s="331">
        <f>F107*Inputs!$H52</f>
        <v>43.691231322614655</v>
      </c>
      <c r="G134" s="331">
        <f>G107*Inputs!$H52</f>
        <v>57.392526191613911</v>
      </c>
      <c r="H134" s="402">
        <f>H107*Inputs!$H52</f>
        <v>31.583157757649609</v>
      </c>
      <c r="I134" s="14">
        <f>I107*Inputs!$H52</f>
        <v>37.372709623553241</v>
      </c>
      <c r="J134" s="14">
        <f>J107*Inputs!$H52</f>
        <v>44.806675783384705</v>
      </c>
      <c r="K134" s="14">
        <f>K107*Inputs!$H52</f>
        <v>54.542412422317867</v>
      </c>
      <c r="L134" s="14">
        <f>L107*Inputs!$H52</f>
        <v>66.132846364171328</v>
      </c>
      <c r="M134" s="14">
        <f>M107*Inputs!$H52</f>
        <v>79.347805691607491</v>
      </c>
      <c r="N134" s="182">
        <f>N107*Inputs!$H52</f>
        <v>95.084233692512797</v>
      </c>
      <c r="O134" s="14">
        <f>O107*Inputs!$H52</f>
        <v>100.98888843792373</v>
      </c>
      <c r="P134" s="14">
        <f>P107*Inputs!$H52</f>
        <v>107.23970950002486</v>
      </c>
      <c r="Q134" s="14">
        <f>Q107*Inputs!$H52</f>
        <v>114.15235062090163</v>
      </c>
      <c r="R134" s="14">
        <f>R107*Inputs!$H52</f>
        <v>120.98100907107013</v>
      </c>
      <c r="S134" s="14">
        <f>S107*Inputs!$H52</f>
        <v>128.37635254979352</v>
      </c>
      <c r="T134" s="14">
        <f>T107*Inputs!$H52</f>
        <v>136.17145935373841</v>
      </c>
      <c r="U134" s="14">
        <f>U107*Inputs!$H52</f>
        <v>144.10159622654754</v>
      </c>
      <c r="V134" s="14">
        <f>V107*Inputs!$H52</f>
        <v>152.21862654441011</v>
      </c>
      <c r="W134" s="14">
        <f>W107*Inputs!$H52</f>
        <v>160.98799713947608</v>
      </c>
      <c r="X134" s="187">
        <f>X107*Inputs!$H52</f>
        <v>170.01378565083408</v>
      </c>
      <c r="Y134" s="158">
        <f>Y107*Inputs!$H52</f>
        <v>173.06421768537146</v>
      </c>
      <c r="Z134" s="158">
        <f>Z107*Inputs!$H52</f>
        <v>176.01478294563989</v>
      </c>
      <c r="AA134" s="158">
        <f>AA107*Inputs!$H52</f>
        <v>179.06414031124029</v>
      </c>
      <c r="AB134" s="158">
        <f>AB107*Inputs!$H52</f>
        <v>182.04564391804399</v>
      </c>
      <c r="AC134" s="158">
        <f>AC107*Inputs!$H52</f>
        <v>184.88680098786719</v>
      </c>
      <c r="AD134" s="158">
        <f>AD107*Inputs!$H52</f>
        <v>187.81666628183126</v>
      </c>
      <c r="AE134" s="158">
        <f>AE107*Inputs!$H52</f>
        <v>190.66344267162765</v>
      </c>
      <c r="AF134" s="158">
        <f>AF107*Inputs!$H52</f>
        <v>193.43032342953791</v>
      </c>
      <c r="AG134" s="158">
        <f>AG107*Inputs!$H52</f>
        <v>195.96359335776742</v>
      </c>
      <c r="AH134" s="187">
        <f>AH107*Inputs!$H52</f>
        <v>198.6855023510025</v>
      </c>
    </row>
    <row r="135" spans="1:35">
      <c r="A135" s="9" t="s">
        <v>347</v>
      </c>
      <c r="B135" s="35">
        <v>1</v>
      </c>
      <c r="C135" s="331">
        <f>C108*Inputs!$H54</f>
        <v>3.8693188800000002</v>
      </c>
      <c r="D135" s="331">
        <f>D108*Inputs!$H54</f>
        <v>10.191758400000001</v>
      </c>
      <c r="E135" s="331">
        <f>E108*Inputs!$H54</f>
        <v>31.306171874140311</v>
      </c>
      <c r="F135" s="331">
        <f>F108*Inputs!$H54</f>
        <v>55.758881353216267</v>
      </c>
      <c r="G135" s="331">
        <f>G108*Inputs!$H54</f>
        <v>92.021730791718383</v>
      </c>
      <c r="H135" s="402">
        <f>H108*Inputs!$H54</f>
        <v>122.48660795873282</v>
      </c>
      <c r="I135" s="14">
        <f>I108*Inputs!$H54</f>
        <v>173.72043940542275</v>
      </c>
      <c r="J135" s="14">
        <f>J108*Inputs!$H54</f>
        <v>249.63319305806837</v>
      </c>
      <c r="K135" s="14">
        <f>K108*Inputs!$H54</f>
        <v>364.21449390333186</v>
      </c>
      <c r="L135" s="14">
        <f>L108*Inputs!$H54</f>
        <v>529.30180037403215</v>
      </c>
      <c r="M135" s="14">
        <f>M108*Inputs!$H54</f>
        <v>761.17471208201925</v>
      </c>
      <c r="N135" s="182">
        <f>N108*Inputs!$H54</f>
        <v>1093.254354116307</v>
      </c>
      <c r="O135" s="14">
        <f>O108*Inputs!$H54</f>
        <v>1161.1445737593378</v>
      </c>
      <c r="P135" s="14">
        <f>P108*Inputs!$H54</f>
        <v>1233.0149257363353</v>
      </c>
      <c r="Q135" s="14">
        <f>Q108*Inputs!$H54</f>
        <v>1312.4947165529807</v>
      </c>
      <c r="R135" s="14">
        <f>R108*Inputs!$H54</f>
        <v>1391.0088959653317</v>
      </c>
      <c r="S135" s="14">
        <f>S108*Inputs!$H54</f>
        <v>1476.0386758176419</v>
      </c>
      <c r="T135" s="14">
        <f>T108*Inputs!$H54</f>
        <v>1565.6648327867695</v>
      </c>
      <c r="U135" s="14">
        <f>U108*Inputs!$H54</f>
        <v>1656.8435311709113</v>
      </c>
      <c r="V135" s="14">
        <f>V108*Inputs!$H54</f>
        <v>1750.171082888837</v>
      </c>
      <c r="W135" s="14">
        <f>W108*Inputs!$H54</f>
        <v>1850.9990773271018</v>
      </c>
      <c r="X135" s="187">
        <f>X108*Inputs!$H54</f>
        <v>1954.7752998003778</v>
      </c>
      <c r="Y135" s="158">
        <f>Y108*Inputs!$H54</f>
        <v>1989.8483920911392</v>
      </c>
      <c r="Z135" s="158">
        <f>Z108*Inputs!$H54</f>
        <v>2023.7732415916796</v>
      </c>
      <c r="AA135" s="158">
        <f>AA108*Inputs!$H54</f>
        <v>2058.8339776121215</v>
      </c>
      <c r="AB135" s="158">
        <f>AB108*Inputs!$H54</f>
        <v>2093.1145483583973</v>
      </c>
      <c r="AC135" s="158">
        <f>AC108*Inputs!$H54</f>
        <v>2125.7814502903948</v>
      </c>
      <c r="AD135" s="158">
        <f>AD108*Inputs!$H54</f>
        <v>2159.4682968390957</v>
      </c>
      <c r="AE135" s="158">
        <f>AE108*Inputs!$H54</f>
        <v>2192.1998082840405</v>
      </c>
      <c r="AF135" s="158">
        <f>AF108*Inputs!$H54</f>
        <v>2224.0127000583811</v>
      </c>
      <c r="AG135" s="158">
        <f>AG108*Inputs!$H54</f>
        <v>2253.1395938833325</v>
      </c>
      <c r="AH135" s="187">
        <f>AH108*Inputs!$H54</f>
        <v>2284.4354117366488</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2.4520602613764485E-3</v>
      </c>
      <c r="J136" s="14">
        <f>J109*Inputs!$H55</f>
        <v>2.9429374667146128E-3</v>
      </c>
      <c r="K136" s="14">
        <f>K109*Inputs!$H55</f>
        <v>3.5861991976904955E-3</v>
      </c>
      <c r="L136" s="14">
        <f>L109*Inputs!$H55</f>
        <v>4.3529034867857601E-3</v>
      </c>
      <c r="M136" s="14">
        <f>M109*Inputs!$H55</f>
        <v>5.2282759382775348E-3</v>
      </c>
      <c r="N136" s="187">
        <f>N109*Inputs!$H55</f>
        <v>6.271823775060326E-3</v>
      </c>
      <c r="O136" s="14">
        <f>O109*Inputs!$H55</f>
        <v>6.661299007468988E-3</v>
      </c>
      <c r="P136" s="14">
        <f>P109*Inputs!$H55</f>
        <v>7.0736076166724145E-3</v>
      </c>
      <c r="Q136" s="14">
        <f>Q109*Inputs!$H55</f>
        <v>7.5295703483128371E-3</v>
      </c>
      <c r="R136" s="14">
        <f>R109*Inputs!$H55</f>
        <v>7.979993523179376E-3</v>
      </c>
      <c r="S136" s="14">
        <f>S109*Inputs!$H55</f>
        <v>8.4677956461326701E-3</v>
      </c>
      <c r="T136" s="14">
        <f>T109*Inputs!$H55</f>
        <v>8.9819664427362046E-3</v>
      </c>
      <c r="U136" s="14">
        <f>U109*Inputs!$H55</f>
        <v>9.50504391885287E-3</v>
      </c>
      <c r="V136" s="14">
        <f>V109*Inputs!$H55</f>
        <v>1.0040449019714136E-2</v>
      </c>
      <c r="W136" s="14">
        <f>W109*Inputs!$H55</f>
        <v>1.0618882949868218E-2</v>
      </c>
      <c r="X136" s="187">
        <f>X109*Inputs!$H55</f>
        <v>1.1214230388406386E-2</v>
      </c>
      <c r="Y136" s="158">
        <f>Y109*Inputs!$H55</f>
        <v>1.1415439057977058E-2</v>
      </c>
      <c r="Z136" s="158">
        <f>Z109*Inputs!$H55</f>
        <v>1.1610060443990034E-2</v>
      </c>
      <c r="AA136" s="158">
        <f>AA109*Inputs!$H55</f>
        <v>1.1811198227632222E-2</v>
      </c>
      <c r="AB136" s="158">
        <f>AB109*Inputs!$H55</f>
        <v>1.2007860329017512E-2</v>
      </c>
      <c r="AC136" s="158">
        <f>AC109*Inputs!$H55</f>
        <v>1.2195265072866236E-2</v>
      </c>
      <c r="AD136" s="158">
        <f>AD109*Inputs!$H55</f>
        <v>1.2388521074358892E-2</v>
      </c>
      <c r="AE136" s="158">
        <f>AE109*Inputs!$H55</f>
        <v>1.257629647255523E-2</v>
      </c>
      <c r="AF136" s="158">
        <f>AF109*Inputs!$H55</f>
        <v>1.2758801897969256E-2</v>
      </c>
      <c r="AG136" s="158">
        <f>AG109*Inputs!$H55</f>
        <v>1.2925898186675696E-2</v>
      </c>
      <c r="AH136" s="187">
        <f>AH109*Inputs!$H55</f>
        <v>1.3105437242462048E-2</v>
      </c>
    </row>
    <row r="137" spans="1:35">
      <c r="A137" s="9" t="s">
        <v>344</v>
      </c>
      <c r="B137" s="35">
        <v>1</v>
      </c>
      <c r="C137" s="331">
        <f>C110*Inputs!$H56</f>
        <v>2.16E-3</v>
      </c>
      <c r="D137" s="331">
        <f>D110*Inputs!$H56</f>
        <v>2.7198455472002125E-3</v>
      </c>
      <c r="E137" s="331">
        <f>E110*Inputs!$H56</f>
        <v>3.327523188067383E-3</v>
      </c>
      <c r="F137" s="331">
        <f>F110*Inputs!$H56</f>
        <v>3.5418841095894412E-3</v>
      </c>
      <c r="G137" s="331">
        <f>G110*Inputs!$H56</f>
        <v>4.6575460816009242E-3</v>
      </c>
      <c r="H137" s="402">
        <f>H110*Inputs!$H56</f>
        <v>2.16E-3</v>
      </c>
      <c r="I137" s="14">
        <f>I110*Inputs!$H56</f>
        <v>2.5586715770884679E-3</v>
      </c>
      <c r="J137" s="14">
        <f>J110*Inputs!$H56</f>
        <v>3.0708912696152482E-3</v>
      </c>
      <c r="K137" s="14">
        <f>K110*Inputs!$H56</f>
        <v>3.7421209019379087E-3</v>
      </c>
      <c r="L137" s="14">
        <f>L110*Inputs!$H56</f>
        <v>4.5421601601242723E-3</v>
      </c>
      <c r="M137" s="14">
        <f>M110*Inputs!$H56</f>
        <v>5.455592283420037E-3</v>
      </c>
      <c r="N137" s="187">
        <f>N110*Inputs!$H56</f>
        <v>6.5445117652803411E-3</v>
      </c>
      <c r="O137" s="14">
        <f>O110*Inputs!$H56</f>
        <v>6.9509207034458998E-3</v>
      </c>
      <c r="P137" s="14">
        <f>P110*Inputs!$H56</f>
        <v>7.3811557739190421E-3</v>
      </c>
      <c r="Q137" s="14">
        <f>Q110*Inputs!$H56</f>
        <v>7.8569429721525256E-3</v>
      </c>
      <c r="R137" s="14">
        <f>R110*Inputs!$H56</f>
        <v>8.3269497633176089E-3</v>
      </c>
      <c r="S137" s="14">
        <f>S110*Inputs!$H56</f>
        <v>8.8359606742253946E-3</v>
      </c>
      <c r="T137" s="14">
        <f>T110*Inputs!$H56</f>
        <v>9.3724867228551691E-3</v>
      </c>
      <c r="U137" s="14">
        <f>U110*Inputs!$H56</f>
        <v>9.9183066979334315E-3</v>
      </c>
      <c r="V137" s="14">
        <f>V110*Inputs!$H56</f>
        <v>1.0476990281440838E-2</v>
      </c>
      <c r="W137" s="14">
        <f>W110*Inputs!$H56</f>
        <v>1.1080573512905968E-2</v>
      </c>
      <c r="X137" s="187">
        <f>X110*Inputs!$H56</f>
        <v>1.1701805622684927E-2</v>
      </c>
      <c r="Y137" s="158">
        <f>Y110*Inputs!$H56</f>
        <v>1.1911762495280408E-2</v>
      </c>
      <c r="Z137" s="158">
        <f>Z110*Inputs!$H56</f>
        <v>1.2114845680685254E-2</v>
      </c>
      <c r="AA137" s="158">
        <f>AA110*Inputs!$H56</f>
        <v>1.2324728585355361E-2</v>
      </c>
      <c r="AB137" s="158">
        <f>AB110*Inputs!$H56</f>
        <v>1.2529941212887839E-2</v>
      </c>
      <c r="AC137" s="158">
        <f>AC110*Inputs!$H56</f>
        <v>1.2725493989077814E-2</v>
      </c>
      <c r="AD137" s="158">
        <f>AD110*Inputs!$H56</f>
        <v>1.2927152425417974E-2</v>
      </c>
      <c r="AE137" s="158">
        <f>AE110*Inputs!$H56</f>
        <v>1.312309197136198E-2</v>
      </c>
      <c r="AF137" s="158">
        <f>AF110*Inputs!$H56</f>
        <v>1.3313532415272267E-2</v>
      </c>
      <c r="AG137" s="158">
        <f>AG110*Inputs!$H56</f>
        <v>1.3487893760009424E-2</v>
      </c>
      <c r="AH137" s="187">
        <f>AH110*Inputs!$H56</f>
        <v>1.367523886169953E-2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2.1420000000000003</v>
      </c>
      <c r="D139" s="331">
        <f>D112*Inputs!$H57</f>
        <v>2.7031184666075263</v>
      </c>
      <c r="E139" s="331">
        <f>E112*Inputs!$H57</f>
        <v>24.702051138289459</v>
      </c>
      <c r="F139" s="331">
        <f>F112*Inputs!$H57</f>
        <v>29.149867382971671</v>
      </c>
      <c r="G139" s="331">
        <f>G112*Inputs!$H57</f>
        <v>33.504579715653605</v>
      </c>
      <c r="H139" s="402">
        <f>H112*Inputs!$H57</f>
        <v>33.584679693689019</v>
      </c>
      <c r="I139" s="14">
        <f>I112*Inputs!$H57</f>
        <v>39.87099980298462</v>
      </c>
      <c r="J139" s="14">
        <f>J112*Inputs!$H57</f>
        <v>47.958119210457227</v>
      </c>
      <c r="K139" s="14">
        <f>K112*Inputs!$H57</f>
        <v>58.569381750981627</v>
      </c>
      <c r="L139" s="14">
        <f>L112*Inputs!$H57</f>
        <v>71.247624759347516</v>
      </c>
      <c r="M139" s="14">
        <f>M112*Inputs!$H57</f>
        <v>85.763989507201046</v>
      </c>
      <c r="N139" s="182">
        <f>N112*Inputs!$H57</f>
        <v>103.10873131637111</v>
      </c>
      <c r="O139" s="14">
        <f>O112*Inputs!$H57</f>
        <v>109.51170093622773</v>
      </c>
      <c r="P139" s="14">
        <f>P112*Inputs!$H57</f>
        <v>116.29005108293191</v>
      </c>
      <c r="Q139" s="14">
        <f>Q112*Inputs!$H57</f>
        <v>123.78607464372443</v>
      </c>
      <c r="R139" s="14">
        <f>R112*Inputs!$H57</f>
        <v>131.19102793668173</v>
      </c>
      <c r="S139" s="14">
        <f>S112*Inputs!$H57</f>
        <v>139.21049082898259</v>
      </c>
      <c r="T139" s="14">
        <f>T112*Inputs!$H57</f>
        <v>147.66345449937981</v>
      </c>
      <c r="U139" s="14">
        <f>U112*Inputs!$H57</f>
        <v>156.26284390777244</v>
      </c>
      <c r="V139" s="14">
        <f>V112*Inputs!$H57</f>
        <v>165.06489936565043</v>
      </c>
      <c r="W139" s="14">
        <f>W112*Inputs!$H57</f>
        <v>174.57434842346558</v>
      </c>
      <c r="X139" s="187">
        <f>X112*Inputs!$H57</f>
        <v>184.36185542010963</v>
      </c>
      <c r="Y139" s="158">
        <f>Y112*Inputs!$H57</f>
        <v>187.66972429419758</v>
      </c>
      <c r="Z139" s="158">
        <f>Z112*Inputs!$H57</f>
        <v>190.86929828073525</v>
      </c>
      <c r="AA139" s="158">
        <f>AA112*Inputs!$H57</f>
        <v>194.17600179074157</v>
      </c>
      <c r="AB139" s="158">
        <f>AB112*Inputs!$H57</f>
        <v>197.40912512122827</v>
      </c>
      <c r="AC139" s="158">
        <f>AC112*Inputs!$H57</f>
        <v>200.49005756989638</v>
      </c>
      <c r="AD139" s="158">
        <f>AD112*Inputs!$H57</f>
        <v>203.66718464614155</v>
      </c>
      <c r="AE139" s="158">
        <f>AE112*Inputs!$H57</f>
        <v>206.75421064923816</v>
      </c>
      <c r="AF139" s="158">
        <f>AF112*Inputs!$H57</f>
        <v>209.75459834310536</v>
      </c>
      <c r="AG139" s="158">
        <f>AG112*Inputs!$H57</f>
        <v>212.50165995614145</v>
      </c>
      <c r="AH139" s="187">
        <f>AH112*Inputs!$H57</f>
        <v>215.45328055770912</v>
      </c>
      <c r="AI139" s="31">
        <f>SUM(C139:X139)</f>
        <v>1980.2218897894809</v>
      </c>
    </row>
    <row r="140" spans="1:35">
      <c r="A140" s="10" t="s">
        <v>383</v>
      </c>
      <c r="C140" s="331">
        <f t="shared" ref="C140:AH140" si="91">SUM(C127:C139)</f>
        <v>2097.4681288799998</v>
      </c>
      <c r="D140" s="331">
        <f t="shared" si="91"/>
        <v>2243.9051619994116</v>
      </c>
      <c r="E140" s="331">
        <f t="shared" si="91"/>
        <v>2394.4764390609389</v>
      </c>
      <c r="F140" s="331">
        <f t="shared" si="91"/>
        <v>2261.2997774778032</v>
      </c>
      <c r="G140" s="331">
        <f t="shared" si="91"/>
        <v>2698.5207919888658</v>
      </c>
      <c r="H140" s="402">
        <f t="shared" si="91"/>
        <v>2239.1312804358722</v>
      </c>
      <c r="I140" s="14">
        <f t="shared" si="91"/>
        <v>2316.2359250012678</v>
      </c>
      <c r="J140" s="14">
        <f t="shared" si="91"/>
        <v>2484.1601907130762</v>
      </c>
      <c r="K140" s="14">
        <f t="shared" si="91"/>
        <v>2788.2265208464387</v>
      </c>
      <c r="L140" s="14">
        <f t="shared" si="91"/>
        <v>3236.789467342895</v>
      </c>
      <c r="M140" s="14">
        <f t="shared" si="91"/>
        <v>3884.1711891970795</v>
      </c>
      <c r="N140" s="182">
        <f t="shared" si="91"/>
        <v>4877.9863515165316</v>
      </c>
      <c r="O140" s="14">
        <f t="shared" si="91"/>
        <v>5070.6297186129823</v>
      </c>
      <c r="P140" s="14">
        <f t="shared" si="91"/>
        <v>5273.9272047127806</v>
      </c>
      <c r="Q140" s="14">
        <f t="shared" si="91"/>
        <v>5502.7816169865464</v>
      </c>
      <c r="R140" s="14">
        <f t="shared" si="91"/>
        <v>5720.7979081020558</v>
      </c>
      <c r="S140" s="14">
        <f t="shared" si="91"/>
        <v>5959.1382185124376</v>
      </c>
      <c r="T140" s="14">
        <f t="shared" si="91"/>
        <v>6209.4652964294473</v>
      </c>
      <c r="U140" s="14">
        <f t="shared" si="91"/>
        <v>6459.6735115370966</v>
      </c>
      <c r="V140" s="14">
        <f t="shared" si="91"/>
        <v>6712.4375468994285</v>
      </c>
      <c r="W140" s="14">
        <f t="shared" si="91"/>
        <v>6988.2181911963071</v>
      </c>
      <c r="X140" s="187">
        <f t="shared" si="91"/>
        <v>7269.4241375266365</v>
      </c>
      <c r="Y140" s="158">
        <f t="shared" si="91"/>
        <v>7371.2740518122591</v>
      </c>
      <c r="Z140" s="158">
        <f t="shared" si="91"/>
        <v>7468.3116728890609</v>
      </c>
      <c r="AA140" s="158">
        <f t="shared" si="91"/>
        <v>7568.9982878250994</v>
      </c>
      <c r="AB140" s="158">
        <f t="shared" si="91"/>
        <v>7666.2842833052864</v>
      </c>
      <c r="AC140" s="158">
        <f t="shared" si="91"/>
        <v>7757.1751086415561</v>
      </c>
      <c r="AD140" s="158">
        <f t="shared" si="91"/>
        <v>7851.3249992243855</v>
      </c>
      <c r="AE140" s="158">
        <f t="shared" si="91"/>
        <v>7941.5513020761055</v>
      </c>
      <c r="AF140" s="158">
        <f t="shared" si="91"/>
        <v>8028.0371617839473</v>
      </c>
      <c r="AG140" s="158">
        <f t="shared" si="91"/>
        <v>8104.4731819904755</v>
      </c>
      <c r="AH140" s="187">
        <f t="shared" si="91"/>
        <v>8188.3744608410852</v>
      </c>
      <c r="AI140" s="48" t="s">
        <v>0</v>
      </c>
    </row>
    <row r="141" spans="1:35">
      <c r="A141" s="10" t="s">
        <v>386</v>
      </c>
      <c r="C141" s="331">
        <f>SUM(C128:C130)</f>
        <v>1987.2346500000001</v>
      </c>
      <c r="D141" s="331">
        <f t="shared" ref="D141:AH141" si="92">SUM(D128:D130)</f>
        <v>2065.150880743447</v>
      </c>
      <c r="E141" s="331">
        <f t="shared" si="92"/>
        <v>2084.7669503818884</v>
      </c>
      <c r="F141" s="331">
        <f t="shared" si="92"/>
        <v>1830.6867043286306</v>
      </c>
      <c r="G141" s="331">
        <f t="shared" si="92"/>
        <v>1985.6011749982995</v>
      </c>
      <c r="H141" s="402">
        <f t="shared" si="92"/>
        <v>1950.1709405998029</v>
      </c>
      <c r="I141" s="14">
        <f t="shared" si="92"/>
        <v>1905.123803717212</v>
      </c>
      <c r="J141" s="14">
        <f t="shared" si="92"/>
        <v>1885.2556790415381</v>
      </c>
      <c r="K141" s="14">
        <f t="shared" si="92"/>
        <v>1893.7622670207493</v>
      </c>
      <c r="L141" s="14">
        <f t="shared" si="92"/>
        <v>1894.4087550766437</v>
      </c>
      <c r="M141" s="14">
        <f t="shared" si="92"/>
        <v>1874.8024585823289</v>
      </c>
      <c r="N141" s="187">
        <f t="shared" si="92"/>
        <v>1852.6305078657917</v>
      </c>
      <c r="O141" s="14">
        <f t="shared" si="92"/>
        <v>1857.4017005222906</v>
      </c>
      <c r="P141" s="14">
        <f t="shared" si="92"/>
        <v>1861.8128172057061</v>
      </c>
      <c r="Q141" s="14">
        <f t="shared" si="92"/>
        <v>1870.7233082008418</v>
      </c>
      <c r="R141" s="14">
        <f t="shared" si="92"/>
        <v>1871.4678083555</v>
      </c>
      <c r="S141" s="14">
        <f t="shared" si="92"/>
        <v>1874.5057480120436</v>
      </c>
      <c r="T141" s="14">
        <f t="shared" si="92"/>
        <v>1876.8109299177781</v>
      </c>
      <c r="U141" s="14">
        <f t="shared" si="92"/>
        <v>1874.7009109984494</v>
      </c>
      <c r="V141" s="14">
        <f t="shared" si="92"/>
        <v>1869.2002041255014</v>
      </c>
      <c r="W141" s="14">
        <f t="shared" si="92"/>
        <v>1865.9601785948566</v>
      </c>
      <c r="X141" s="187">
        <f t="shared" si="92"/>
        <v>1859.9868423461546</v>
      </c>
      <c r="Y141" s="158">
        <f t="shared" si="92"/>
        <v>1864.7792106753063</v>
      </c>
      <c r="Z141" s="158">
        <f t="shared" si="92"/>
        <v>1867.9368107899286</v>
      </c>
      <c r="AA141" s="158">
        <f t="shared" si="92"/>
        <v>1871.6000731980191</v>
      </c>
      <c r="AB141" s="158">
        <f t="shared" si="92"/>
        <v>1874.0216625677376</v>
      </c>
      <c r="AC141" s="158">
        <f t="shared" si="92"/>
        <v>1874.5135772737187</v>
      </c>
      <c r="AD141" s="158">
        <f t="shared" si="92"/>
        <v>1875.4420709542173</v>
      </c>
      <c r="AE141" s="158">
        <f t="shared" si="92"/>
        <v>1875.0906696800498</v>
      </c>
      <c r="AF141" s="158">
        <f t="shared" si="92"/>
        <v>1873.5409156530395</v>
      </c>
      <c r="AG141" s="158">
        <f t="shared" si="92"/>
        <v>1869.3742672226408</v>
      </c>
      <c r="AH141" s="187">
        <f t="shared" si="92"/>
        <v>1866.6708277221492</v>
      </c>
      <c r="AI141" s="48"/>
    </row>
    <row r="142" spans="1:35">
      <c r="A142" s="10" t="s">
        <v>385</v>
      </c>
      <c r="C142" s="330">
        <f t="shared" ref="C142:AH142" si="93">SUMPRODUCT($B131:$B139,C131:C139)</f>
        <v>110.23347887999999</v>
      </c>
      <c r="D142" s="330">
        <f t="shared" si="93"/>
        <v>178.75428125596483</v>
      </c>
      <c r="E142" s="330">
        <f t="shared" si="93"/>
        <v>309.70948867905048</v>
      </c>
      <c r="F142" s="330">
        <f t="shared" si="93"/>
        <v>430.61307314917286</v>
      </c>
      <c r="G142" s="330">
        <f t="shared" si="93"/>
        <v>712.91961699056674</v>
      </c>
      <c r="H142" s="286">
        <f t="shared" si="93"/>
        <v>288.96033983606952</v>
      </c>
      <c r="I142" s="40">
        <f t="shared" si="93"/>
        <v>411.11212128405566</v>
      </c>
      <c r="J142" s="40">
        <f t="shared" si="93"/>
        <v>598.9045116715381</v>
      </c>
      <c r="K142" s="40">
        <f t="shared" si="93"/>
        <v>894.46425382568941</v>
      </c>
      <c r="L142" s="40">
        <f t="shared" si="93"/>
        <v>1342.3807122662506</v>
      </c>
      <c r="M142" s="40">
        <f t="shared" si="93"/>
        <v>2009.3687306147506</v>
      </c>
      <c r="N142" s="177">
        <f t="shared" si="93"/>
        <v>3025.3558436507396</v>
      </c>
      <c r="O142" s="40">
        <f t="shared" si="93"/>
        <v>3213.2280180906919</v>
      </c>
      <c r="P142" s="40">
        <f t="shared" si="93"/>
        <v>3412.1143875070752</v>
      </c>
      <c r="Q142" s="40">
        <f t="shared" si="93"/>
        <v>3632.0583087857044</v>
      </c>
      <c r="R142" s="40">
        <f t="shared" si="93"/>
        <v>3849.3300997465558</v>
      </c>
      <c r="S142" s="40">
        <f t="shared" si="93"/>
        <v>4084.6324705003935</v>
      </c>
      <c r="T142" s="40">
        <f t="shared" si="93"/>
        <v>4332.6543665116697</v>
      </c>
      <c r="U142" s="40">
        <f t="shared" si="93"/>
        <v>4584.9726005386483</v>
      </c>
      <c r="V142" s="40">
        <f t="shared" si="93"/>
        <v>4843.2373427739267</v>
      </c>
      <c r="W142" s="40">
        <f t="shared" si="93"/>
        <v>5122.25801260145</v>
      </c>
      <c r="X142" s="184">
        <f t="shared" si="93"/>
        <v>5409.4372951804808</v>
      </c>
      <c r="Y142" s="271">
        <f t="shared" si="93"/>
        <v>5506.4948411369533</v>
      </c>
      <c r="Z142" s="271">
        <f t="shared" si="93"/>
        <v>5600.3748620991328</v>
      </c>
      <c r="AA142" s="271">
        <f t="shared" si="93"/>
        <v>5697.3982146270791</v>
      </c>
      <c r="AB142" s="271">
        <f t="shared" si="93"/>
        <v>5792.2626207375479</v>
      </c>
      <c r="AC142" s="271">
        <f t="shared" si="93"/>
        <v>5882.6615313678376</v>
      </c>
      <c r="AD142" s="271">
        <f t="shared" si="93"/>
        <v>5975.8829282701681</v>
      </c>
      <c r="AE142" s="271">
        <f t="shared" si="93"/>
        <v>6066.460632396057</v>
      </c>
      <c r="AF142" s="271">
        <f t="shared" si="93"/>
        <v>6154.4962461309087</v>
      </c>
      <c r="AG142" s="271">
        <f t="shared" si="93"/>
        <v>6235.0989147678338</v>
      </c>
      <c r="AH142" s="184">
        <f t="shared" si="93"/>
        <v>6321.7036331189365</v>
      </c>
    </row>
    <row r="143" spans="1:35">
      <c r="A143" s="10" t="s">
        <v>142</v>
      </c>
      <c r="C143" s="331">
        <f>C116*Inputs!$H$60</f>
        <v>8202.8717638559992</v>
      </c>
      <c r="D143" s="331">
        <f>D116*Inputs!$H$60</f>
        <v>11627.681547806917</v>
      </c>
      <c r="E143" s="331">
        <f>E116*Inputs!$H$60</f>
        <v>11899.087079869401</v>
      </c>
      <c r="F143" s="331">
        <f>F116*Inputs!$H$60</f>
        <v>10185.485503330299</v>
      </c>
      <c r="G143" s="331">
        <f>G116*Inputs!$H$60</f>
        <v>11462.209475983038</v>
      </c>
      <c r="H143" s="402">
        <f>H116*Inputs!$H$60</f>
        <v>11718.669609357845</v>
      </c>
      <c r="I143" s="14">
        <f>I116*Inputs!$H$60</f>
        <v>11497.858456970733</v>
      </c>
      <c r="J143" s="14">
        <f>J116*Inputs!$H$60</f>
        <v>11377.503400577994</v>
      </c>
      <c r="K143" s="14">
        <f>K116*Inputs!$H$60</f>
        <v>11510.336442207381</v>
      </c>
      <c r="L143" s="14">
        <f>L116*Inputs!$H$60</f>
        <v>11543.56429713505</v>
      </c>
      <c r="M143" s="14">
        <f>M116*Inputs!$H$60</f>
        <v>11374.653131128194</v>
      </c>
      <c r="N143" s="182">
        <f>N116*Inputs!$H$60</f>
        <v>11060.840869848676</v>
      </c>
      <c r="O143" s="14">
        <f>O116*Inputs!$H$60</f>
        <v>11087.482471894529</v>
      </c>
      <c r="P143" s="14">
        <f>P116*Inputs!$H$60</f>
        <v>11075.195425888443</v>
      </c>
      <c r="Q143" s="14">
        <f>Q116*Inputs!$H$60</f>
        <v>11059.083289303959</v>
      </c>
      <c r="R143" s="14">
        <f>R116*Inputs!$H$60</f>
        <v>11035.102565154408</v>
      </c>
      <c r="S143" s="14">
        <f>S116*Inputs!$H$60</f>
        <v>11013.251786576522</v>
      </c>
      <c r="T143" s="14">
        <f>T116*Inputs!$H$60</f>
        <v>10930.229680914023</v>
      </c>
      <c r="U143" s="14">
        <f>U116*Inputs!$H$60</f>
        <v>10850.791820828745</v>
      </c>
      <c r="V143" s="14">
        <f>V116*Inputs!$H$60</f>
        <v>10768.615875236541</v>
      </c>
      <c r="W143" s="14">
        <f>W116*Inputs!$H$60</f>
        <v>10675.094876652904</v>
      </c>
      <c r="X143" s="187">
        <f>X116*Inputs!$H$60</f>
        <v>10577.004233082946</v>
      </c>
      <c r="Y143" s="158">
        <f>Y116*Inputs!$H$60</f>
        <v>10543.852026932416</v>
      </c>
      <c r="Z143" s="158">
        <f>Z116*Inputs!$H$60</f>
        <v>10507.48879711982</v>
      </c>
      <c r="AA143" s="158">
        <f>AA116*Inputs!$H$60</f>
        <v>10469.41076607246</v>
      </c>
      <c r="AB143" s="158">
        <f>AB116*Inputs!$H$60</f>
        <v>10437.033283773675</v>
      </c>
      <c r="AC143" s="158">
        <f>AC116*Inputs!$H$60</f>
        <v>10402.996658117256</v>
      </c>
      <c r="AD143" s="158">
        <f>AD116*Inputs!$H$60</f>
        <v>10366.82754279847</v>
      </c>
      <c r="AE143" s="158">
        <f>AE116*Inputs!$H$60</f>
        <v>10330.889182249239</v>
      </c>
      <c r="AF143" s="158">
        <f>AF116*Inputs!$H$60</f>
        <v>10296.274743563525</v>
      </c>
      <c r="AG143" s="158">
        <f>AG116*Inputs!$H$60</f>
        <v>10263.940611237038</v>
      </c>
      <c r="AH143" s="187">
        <f>AH116*Inputs!$H$60</f>
        <v>10230.841044378778</v>
      </c>
      <c r="AI143" s="48"/>
    </row>
    <row r="144" spans="1:35">
      <c r="A144" s="10" t="s">
        <v>222</v>
      </c>
      <c r="C144" s="331">
        <f>C117*Inputs!$H$61</f>
        <v>3515.5164702239999</v>
      </c>
      <c r="D144" s="331">
        <f>D117*Inputs!$H$61</f>
        <v>703.41611563268225</v>
      </c>
      <c r="E144" s="331">
        <f>E117*Inputs!$H$61</f>
        <v>690.82275645162144</v>
      </c>
      <c r="F144" s="331">
        <f>F117*Inputs!$H$61</f>
        <v>995.40653472875397</v>
      </c>
      <c r="G144" s="331">
        <f>G117*Inputs!$H$61</f>
        <v>790.04326812015029</v>
      </c>
      <c r="H144" s="402">
        <f>H117*Inputs!$H$61</f>
        <v>777.06588157718875</v>
      </c>
      <c r="I144" s="14">
        <f>I117*Inputs!$H$61</f>
        <v>862.36752244561148</v>
      </c>
      <c r="J144" s="14">
        <f>J117*Inputs!$H$61</f>
        <v>988.76058599510793</v>
      </c>
      <c r="K144" s="14">
        <f>K117*Inputs!$H$61</f>
        <v>1011.2968608739097</v>
      </c>
      <c r="L144" s="14">
        <f>L117*Inputs!$H$61</f>
        <v>1026.3530642910337</v>
      </c>
      <c r="M144" s="14">
        <f>M117*Inputs!$H$61</f>
        <v>1018.3033644329329</v>
      </c>
      <c r="N144" s="182">
        <f>N117*Inputs!$H$61</f>
        <v>994.3227127698409</v>
      </c>
      <c r="O144" s="14">
        <f>O117*Inputs!$H$61</f>
        <v>970.76644406575224</v>
      </c>
      <c r="P144" s="14">
        <f>P117*Inputs!$H$61</f>
        <v>979.88860492006074</v>
      </c>
      <c r="Q144" s="14">
        <f>Q117*Inputs!$H$61</f>
        <v>1017.9711507096972</v>
      </c>
      <c r="R144" s="14">
        <f>R117*Inputs!$H$61</f>
        <v>1006.696808628045</v>
      </c>
      <c r="S144" s="14">
        <f>S117*Inputs!$H$61</f>
        <v>1003.0782685736123</v>
      </c>
      <c r="T144" s="14">
        <f>T117*Inputs!$H$61</f>
        <v>1050.7474232857664</v>
      </c>
      <c r="U144" s="14">
        <f>U117*Inputs!$H$61</f>
        <v>1060.8785261090281</v>
      </c>
      <c r="V144" s="14">
        <f>V117*Inputs!$H$61</f>
        <v>1046.4982987389642</v>
      </c>
      <c r="W144" s="14">
        <f>W117*Inputs!$H$61</f>
        <v>1051.809847759306</v>
      </c>
      <c r="X144" s="187">
        <f>X117*Inputs!$H$61</f>
        <v>1037.9027012666925</v>
      </c>
      <c r="Y144" s="158">
        <f>Y117*Inputs!$H$61</f>
        <v>1097.1311515780944</v>
      </c>
      <c r="Z144" s="158">
        <f>Z117*Inputs!$H$61</f>
        <v>1148.6429169335051</v>
      </c>
      <c r="AA144" s="158">
        <f>AA117*Inputs!$H$61</f>
        <v>1204.3838029491421</v>
      </c>
      <c r="AB144" s="158">
        <f>AB117*Inputs!$H$61</f>
        <v>1246.0920610006103</v>
      </c>
      <c r="AC144" s="158">
        <f>AC117*Inputs!$H$61</f>
        <v>1277.0736076767309</v>
      </c>
      <c r="AD144" s="158">
        <f>AD117*Inputs!$H$61</f>
        <v>1312.474854855694</v>
      </c>
      <c r="AE144" s="158">
        <f>AE117*Inputs!$H$61</f>
        <v>1339.1476245235349</v>
      </c>
      <c r="AF144" s="158">
        <f>AF117*Inputs!$H$61</f>
        <v>1356.568608837312</v>
      </c>
      <c r="AG144" s="158">
        <f>AG117*Inputs!$H$61</f>
        <v>1354.7801495805252</v>
      </c>
      <c r="AH144" s="187">
        <f>AH117*Inputs!$H$61</f>
        <v>1362.5910238958245</v>
      </c>
      <c r="AI144" s="48"/>
    </row>
    <row r="145" spans="1:35">
      <c r="A145" s="10" t="s">
        <v>58</v>
      </c>
      <c r="C145" s="331">
        <f>SUM(C140,C143,C144)</f>
        <v>13815.856362959999</v>
      </c>
      <c r="D145" s="331">
        <f>SUM(D140,D143,D144)</f>
        <v>14575.002825439011</v>
      </c>
      <c r="E145" s="331">
        <f t="shared" ref="E145:AH145" si="94">SUM(E140,E143,E144)</f>
        <v>14984.386275381961</v>
      </c>
      <c r="F145" s="331">
        <f t="shared" si="94"/>
        <v>13442.191815536857</v>
      </c>
      <c r="G145" s="331">
        <f t="shared" si="94"/>
        <v>14950.773536092054</v>
      </c>
      <c r="H145" s="402">
        <f t="shared" si="94"/>
        <v>14734.866771370907</v>
      </c>
      <c r="I145" s="14">
        <f t="shared" si="94"/>
        <v>14676.461904417612</v>
      </c>
      <c r="J145" s="14">
        <f t="shared" si="94"/>
        <v>14850.424177286179</v>
      </c>
      <c r="K145" s="14">
        <f t="shared" si="94"/>
        <v>15309.859823927731</v>
      </c>
      <c r="L145" s="14">
        <f t="shared" si="94"/>
        <v>15806.706828768978</v>
      </c>
      <c r="M145" s="14">
        <f t="shared" si="94"/>
        <v>16277.127684758207</v>
      </c>
      <c r="N145" s="187">
        <f t="shared" si="94"/>
        <v>16933.14993413505</v>
      </c>
      <c r="O145" s="14">
        <f t="shared" si="94"/>
        <v>17128.878634573266</v>
      </c>
      <c r="P145" s="14">
        <f t="shared" si="94"/>
        <v>17329.011235521284</v>
      </c>
      <c r="Q145" s="14">
        <f t="shared" si="94"/>
        <v>17579.836057000204</v>
      </c>
      <c r="R145" s="14">
        <f t="shared" si="94"/>
        <v>17762.597281884511</v>
      </c>
      <c r="S145" s="14">
        <f t="shared" si="94"/>
        <v>17975.468273662573</v>
      </c>
      <c r="T145" s="14">
        <f t="shared" si="94"/>
        <v>18190.442400629236</v>
      </c>
      <c r="U145" s="14">
        <f t="shared" si="94"/>
        <v>18371.343858474869</v>
      </c>
      <c r="V145" s="14">
        <f t="shared" si="94"/>
        <v>18527.551720874933</v>
      </c>
      <c r="W145" s="14">
        <f t="shared" si="94"/>
        <v>18715.122915608514</v>
      </c>
      <c r="X145" s="187">
        <f t="shared" si="94"/>
        <v>18884.331071876273</v>
      </c>
      <c r="Y145" s="158">
        <f t="shared" si="94"/>
        <v>19012.257230322768</v>
      </c>
      <c r="Z145" s="158">
        <f t="shared" si="94"/>
        <v>19124.443386942388</v>
      </c>
      <c r="AA145" s="158">
        <f t="shared" si="94"/>
        <v>19242.7928568467</v>
      </c>
      <c r="AB145" s="158">
        <f t="shared" si="94"/>
        <v>19349.409628079571</v>
      </c>
      <c r="AC145" s="158">
        <f t="shared" si="94"/>
        <v>19437.245374435544</v>
      </c>
      <c r="AD145" s="158">
        <f t="shared" si="94"/>
        <v>19530.62739687855</v>
      </c>
      <c r="AE145" s="158">
        <f t="shared" si="94"/>
        <v>19611.588108848879</v>
      </c>
      <c r="AF145" s="158">
        <f t="shared" si="94"/>
        <v>19680.880514184784</v>
      </c>
      <c r="AG145" s="158">
        <f t="shared" si="94"/>
        <v>19723.193942808037</v>
      </c>
      <c r="AH145" s="187">
        <f t="shared" si="94"/>
        <v>19781.806529115689</v>
      </c>
      <c r="AI145" s="48"/>
    </row>
    <row r="146" spans="1:35" s="1" customFormat="1">
      <c r="A146" s="1" t="s">
        <v>335</v>
      </c>
      <c r="B146" s="13"/>
      <c r="C146" s="341">
        <f>C145-'Output - Jobs vs Yr (BAU)'!C73</f>
        <v>0.54996407999897201</v>
      </c>
      <c r="D146" s="341">
        <f>D145-'Output - Jobs vs Yr (BAU)'!D73</f>
        <v>31.780987039010142</v>
      </c>
      <c r="E146" s="341">
        <f>E145-'Output - Jobs vs Yr (BAU)'!E73</f>
        <v>81.642226417887287</v>
      </c>
      <c r="F146" s="341">
        <f>F145-'Output - Jobs vs Yr (BAU)'!F73</f>
        <v>68.128045290553928</v>
      </c>
      <c r="G146" s="341">
        <f>G145-'Output - Jobs vs Yr (BAU)'!G73</f>
        <v>213.54121714434405</v>
      </c>
      <c r="H146" s="405">
        <f>H145-'Output - Jobs vs Yr (BAU)'!H73</f>
        <v>-17.155357310710315</v>
      </c>
      <c r="I146" s="15">
        <f>I145-'Output - Jobs vs Yr (BAU)'!I73</f>
        <v>-2.0696969209257077</v>
      </c>
      <c r="J146" s="15">
        <f>J145-'Output - Jobs vs Yr (BAU)'!J73</f>
        <v>50.711289375372871</v>
      </c>
      <c r="K146" s="15">
        <f>K145-'Output - Jobs vs Yr (BAU)'!K73</f>
        <v>122.81036701378434</v>
      </c>
      <c r="L146" s="15">
        <f>L145-'Output - Jobs vs Yr (BAU)'!L73</f>
        <v>264.15656684694841</v>
      </c>
      <c r="M146" s="15">
        <f>M145-'Output - Jobs vs Yr (BAU)'!M73</f>
        <v>630.25264264420912</v>
      </c>
      <c r="N146" s="182">
        <f>N145-'Output - Jobs vs Yr (BAU)'!N73</f>
        <v>1174.0371392022098</v>
      </c>
      <c r="O146" s="15">
        <f>O145-'Output - Jobs vs Yr (BAU)'!O73</f>
        <v>1230.545497621817</v>
      </c>
      <c r="P146" s="15">
        <f>P145-'Output - Jobs vs Yr (BAU)'!P73</f>
        <v>1284.781546969185</v>
      </c>
      <c r="Q146" s="15">
        <f>Q145-'Output - Jobs vs Yr (BAU)'!Q73</f>
        <v>1300.898929490204</v>
      </c>
      <c r="R146" s="15">
        <f>R145-'Output - Jobs vs Yr (BAU)'!R73</f>
        <v>1383.3348329044129</v>
      </c>
      <c r="S146" s="15">
        <f>S145-'Output - Jobs vs Yr (BAU)'!S73</f>
        <v>1468.1701747270454</v>
      </c>
      <c r="T146" s="15">
        <f>T145-'Output - Jobs vs Yr (BAU)'!T73</f>
        <v>1570.6431206061025</v>
      </c>
      <c r="U146" s="15">
        <f>U145-'Output - Jobs vs Yr (BAU)'!U73</f>
        <v>1682.7823173646466</v>
      </c>
      <c r="V146" s="15">
        <f>V145-'Output - Jobs vs Yr (BAU)'!V73</f>
        <v>1789.4760013044106</v>
      </c>
      <c r="W146" s="15">
        <f>W145-'Output - Jobs vs Yr (BAU)'!W73</f>
        <v>1911.1819167029425</v>
      </c>
      <c r="X146" s="190">
        <f>X145-'Output - Jobs vs Yr (BAU)'!X73</f>
        <v>1989.475379578038</v>
      </c>
      <c r="Y146" s="130">
        <f>Y145-'Output - Jobs vs Yr (BAU)'!Y73</f>
        <v>1971.4418196187289</v>
      </c>
      <c r="Z146" s="130">
        <f>Z145-'Output - Jobs vs Yr (BAU)'!Z73</f>
        <v>1974.7944586007288</v>
      </c>
      <c r="AA146" s="130">
        <f>AA145-'Output - Jobs vs Yr (BAU)'!AA73</f>
        <v>1990.2249143057379</v>
      </c>
      <c r="AB146" s="130">
        <f>AB145-'Output - Jobs vs Yr (BAU)'!AB73</f>
        <v>2004.477616360411</v>
      </c>
      <c r="AC146" s="130">
        <f>AC145-'Output - Jobs vs Yr (BAU)'!AC73</f>
        <v>2017.7797400141462</v>
      </c>
      <c r="AD146" s="130">
        <f>AD145-'Output - Jobs vs Yr (BAU)'!AD73</f>
        <v>2035.4293044933584</v>
      </c>
      <c r="AE146" s="130">
        <f>AE145-'Output - Jobs vs Yr (BAU)'!AE73</f>
        <v>2046.2580080070293</v>
      </c>
      <c r="AF146" s="130">
        <f>AF145-'Output - Jobs vs Yr (BAU)'!AF73</f>
        <v>2055.8553223375602</v>
      </c>
      <c r="AG146" s="130">
        <f>AG145-'Output - Jobs vs Yr (BAU)'!AG73</f>
        <v>2065.4669536981091</v>
      </c>
      <c r="AH146" s="190">
        <f>AH145-'Output - Jobs vs Yr (BAU)'!AH73</f>
        <v>2076.2921398454964</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29165.646842080001</v>
      </c>
      <c r="D176" s="334">
        <f>'Output - Jobs vs Yr (BAU)'!D55+'Output - Jobs vs Yr (BAU)'!D73</f>
        <v>30702.357214399999</v>
      </c>
      <c r="E176" s="334">
        <f>'Output - Jobs vs Yr (BAU)'!E55+'Output - Jobs vs Yr (BAU)'!E73</f>
        <v>31461.348547813046</v>
      </c>
      <c r="F176" s="334">
        <f>'Output - Jobs vs Yr (BAU)'!F55+'Output - Jobs vs Yr (BAU)'!F73</f>
        <v>28234.134626075531</v>
      </c>
      <c r="G176" s="334">
        <f>'Output - Jobs vs Yr (BAU)'!G55+'Output - Jobs vs Yr (BAU)'!G73</f>
        <v>31111.934895556275</v>
      </c>
      <c r="H176" s="404">
        <f>'Output - Jobs vs Yr (BAU)'!H55+'Output - Jobs vs Yr (BAU)'!H73</f>
        <v>31143.157827216746</v>
      </c>
      <c r="I176" s="19">
        <f>'Output - Jobs vs Yr (BAU)'!I55+'Output - Jobs vs Yr (BAU)'!I73</f>
        <v>30988.01115838136</v>
      </c>
      <c r="J176" s="19">
        <f>'Output - Jobs vs Yr (BAU)'!J55+'Output - Jobs vs Yr (BAU)'!J73</f>
        <v>31243.838318922812</v>
      </c>
      <c r="K176" s="19">
        <f>'Output - Jobs vs Yr (BAU)'!K55+'Output - Jobs vs Yr (BAU)'!K73</f>
        <v>32061.548853485001</v>
      </c>
      <c r="L176" s="19">
        <f>'Output - Jobs vs Yr (BAU)'!L55+'Output - Jobs vs Yr (BAU)'!L73</f>
        <v>32812.050552946508</v>
      </c>
      <c r="M176" s="19">
        <f>'Output - Jobs vs Yr (BAU)'!M55+'Output - Jobs vs Yr (BAU)'!M73</f>
        <v>33032.291755573999</v>
      </c>
      <c r="N176" s="182">
        <f>'Output - Jobs vs Yr (BAU)'!N55+'Output - Jobs vs Yr (BAU)'!N73</f>
        <v>33269.238122636001</v>
      </c>
      <c r="O176" s="19">
        <f>'Output - Jobs vs Yr (BAU)'!O55+'Output - Jobs vs Yr (BAU)'!O73</f>
        <v>33563.147733564168</v>
      </c>
      <c r="P176" s="19">
        <f>'Output - Jobs vs Yr (BAU)'!P55+'Output - Jobs vs Yr (BAU)'!P73</f>
        <v>33871.151564721098</v>
      </c>
      <c r="Q176" s="19">
        <f>'Output - Jobs vs Yr (BAU)'!Q55+'Output - Jobs vs Yr (BAU)'!Q73</f>
        <v>34366.645046965554</v>
      </c>
      <c r="R176" s="19">
        <f>'Output - Jobs vs Yr (BAU)'!R55+'Output - Jobs vs Yr (BAU)'!R73</f>
        <v>34578.442947846866</v>
      </c>
      <c r="S176" s="19">
        <f>'Output - Jobs vs Yr (BAU)'!S55+'Output - Jobs vs Yr (BAU)'!S73</f>
        <v>34848.740431086117</v>
      </c>
      <c r="T176" s="19">
        <f>'Output - Jobs vs Yr (BAU)'!T55+'Output - Jobs vs Yr (BAU)'!T73</f>
        <v>35086.242924493286</v>
      </c>
      <c r="U176" s="19">
        <f>'Output - Jobs vs Yr (BAU)'!U55+'Output - Jobs vs Yr (BAU)'!U73</f>
        <v>35231.407697899354</v>
      </c>
      <c r="V176" s="19">
        <f>'Output - Jobs vs Yr (BAU)'!V55+'Output - Jobs vs Yr (BAU)'!V73</f>
        <v>35335.93763020444</v>
      </c>
      <c r="W176" s="19">
        <f>'Output - Jobs vs Yr (BAU)'!W55+'Output - Jobs vs Yr (BAU)'!W73</f>
        <v>35474.9865532451</v>
      </c>
      <c r="X176" s="182">
        <f>'Output - Jobs vs Yr (BAU)'!X55+'Output - Jobs vs Yr (BAU)'!X73</f>
        <v>35666.917572629609</v>
      </c>
      <c r="Y176" s="206">
        <f>'Output - Jobs vs Yr (BAU)'!Y55+'Output - Jobs vs Yr (BAU)'!Y73</f>
        <v>35975.054755930745</v>
      </c>
      <c r="Z176" s="206">
        <f>'Output - Jobs vs Yr (BAU)'!Z55+'Output - Jobs vs Yr (BAU)'!Z73</f>
        <v>36204.81440427684</v>
      </c>
      <c r="AA176" s="206">
        <f>'Output - Jobs vs Yr (BAU)'!AA55+'Output - Jobs vs Yr (BAU)'!AA73</f>
        <v>36422.087878697581</v>
      </c>
      <c r="AB176" s="206">
        <f>'Output - Jobs vs Yr (BAU)'!AB55+'Output - Jobs vs Yr (BAU)'!AB73</f>
        <v>36617.078691407114</v>
      </c>
      <c r="AC176" s="206">
        <f>'Output - Jobs vs Yr (BAU)'!AC55+'Output - Jobs vs Yr (BAU)'!AC73</f>
        <v>36774.427450445175</v>
      </c>
      <c r="AD176" s="206">
        <f>'Output - Jobs vs Yr (BAU)'!AD55+'Output - Jobs vs Yr (BAU)'!AD73</f>
        <v>36934.307083924301</v>
      </c>
      <c r="AE176" s="206">
        <f>'Output - Jobs vs Yr (BAU)'!AE55+'Output - Jobs vs Yr (BAU)'!AE73</f>
        <v>37082.363546221684</v>
      </c>
      <c r="AF176" s="206">
        <f>'Output - Jobs vs Yr (BAU)'!AF55+'Output - Jobs vs Yr (BAU)'!AF73</f>
        <v>37208.386516121915</v>
      </c>
      <c r="AG176" s="206">
        <f>'Output - Jobs vs Yr (BAU)'!AG55+'Output - Jobs vs Yr (BAU)'!AG73</f>
        <v>37277.423643676513</v>
      </c>
      <c r="AH176" s="182">
        <f>'Output - Jobs vs Yr (BAU)'!AH55+'Output - Jobs vs Yr (BAU)'!AH73</f>
        <v>37378.308155125967</v>
      </c>
      <c r="AI176" s="1"/>
    </row>
    <row r="177" spans="1:35">
      <c r="A177" s="76" t="s">
        <v>300</v>
      </c>
      <c r="C177" s="334">
        <f>'Output - Jobs vs Yr (BAU)'!C55</f>
        <v>15350.340443199999</v>
      </c>
      <c r="D177" s="334">
        <f>'Output - Jobs vs Yr (BAU)'!D55</f>
        <v>16159.135376</v>
      </c>
      <c r="E177" s="334">
        <f>'Output - Jobs vs Yr (BAU)'!E55</f>
        <v>16558.604498848974</v>
      </c>
      <c r="F177" s="334">
        <f>'Output - Jobs vs Yr (BAU)'!F55</f>
        <v>14860.070855829226</v>
      </c>
      <c r="G177" s="334">
        <f>'Output - Jobs vs Yr (BAU)'!G55</f>
        <v>16374.702576608566</v>
      </c>
      <c r="H177" s="404">
        <f>'Output - Jobs vs Yr (BAU)'!H55</f>
        <v>16391.13569853513</v>
      </c>
      <c r="I177" s="19">
        <f>'Output - Jobs vs Yr (BAU)'!I55</f>
        <v>16309.479557042821</v>
      </c>
      <c r="J177" s="19">
        <f>'Output - Jobs vs Yr (BAU)'!J55</f>
        <v>16444.125431012006</v>
      </c>
      <c r="K177" s="19">
        <f>'Output - Jobs vs Yr (BAU)'!K55</f>
        <v>16874.499396571053</v>
      </c>
      <c r="L177" s="19">
        <f>'Output - Jobs vs Yr (BAU)'!L55</f>
        <v>17269.500291024477</v>
      </c>
      <c r="M177" s="19">
        <f>'Output - Jobs vs Yr (BAU)'!M55</f>
        <v>17385.416713459999</v>
      </c>
      <c r="N177" s="182">
        <f>'Output - Jobs vs Yr (BAU)'!N55</f>
        <v>17510.125327703157</v>
      </c>
      <c r="O177" s="19">
        <f>'Output - Jobs vs Yr (BAU)'!O55</f>
        <v>17664.814596612719</v>
      </c>
      <c r="P177" s="19">
        <f>'Output - Jobs vs Yr (BAU)'!P55</f>
        <v>17826.921876168999</v>
      </c>
      <c r="Q177" s="19">
        <f>'Output - Jobs vs Yr (BAU)'!Q55</f>
        <v>18087.707919455555</v>
      </c>
      <c r="R177" s="19">
        <f>'Output - Jobs vs Yr (BAU)'!R55</f>
        <v>18199.180498866772</v>
      </c>
      <c r="S177" s="19">
        <f>'Output - Jobs vs Yr (BAU)'!S55</f>
        <v>18341.442332150586</v>
      </c>
      <c r="T177" s="19">
        <f>'Output - Jobs vs Yr (BAU)'!T55</f>
        <v>18466.44364447015</v>
      </c>
      <c r="U177" s="19">
        <f>'Output - Jobs vs Yr (BAU)'!U55</f>
        <v>18542.846156789135</v>
      </c>
      <c r="V177" s="19">
        <f>'Output - Jobs vs Yr (BAU)'!V55</f>
        <v>18597.861910633914</v>
      </c>
      <c r="W177" s="19">
        <f>'Output - Jobs vs Yr (BAU)'!W55</f>
        <v>18671.045554339529</v>
      </c>
      <c r="X177" s="182">
        <f>'Output - Jobs vs Yr (BAU)'!X55</f>
        <v>18772.061880331374</v>
      </c>
      <c r="Y177" s="206">
        <f>'Output - Jobs vs Yr (BAU)'!Y55</f>
        <v>18934.23934522671</v>
      </c>
      <c r="Z177" s="206">
        <f>'Output - Jobs vs Yr (BAU)'!Z55</f>
        <v>19055.165475935177</v>
      </c>
      <c r="AA177" s="206">
        <f>'Output - Jobs vs Yr (BAU)'!AA55</f>
        <v>19169.519936156623</v>
      </c>
      <c r="AB177" s="206">
        <f>'Output - Jobs vs Yr (BAU)'!AB55</f>
        <v>19272.146679687954</v>
      </c>
      <c r="AC177" s="206">
        <f>'Output - Jobs vs Yr (BAU)'!AC55</f>
        <v>19354.961816023773</v>
      </c>
      <c r="AD177" s="206">
        <f>'Output - Jobs vs Yr (BAU)'!AD55</f>
        <v>19439.108991539106</v>
      </c>
      <c r="AE177" s="206">
        <f>'Output - Jobs vs Yr (BAU)'!AE55</f>
        <v>19517.033445379835</v>
      </c>
      <c r="AF177" s="206">
        <f>'Output - Jobs vs Yr (BAU)'!AF55</f>
        <v>19583.361324274694</v>
      </c>
      <c r="AG177" s="206">
        <f>'Output - Jobs vs Yr (BAU)'!AG55</f>
        <v>19619.696654566585</v>
      </c>
      <c r="AH177" s="182">
        <f>'Output - Jobs vs Yr (BAU)'!AH55</f>
        <v>19672.793765855771</v>
      </c>
      <c r="AI177" s="1"/>
    </row>
    <row r="178" spans="1:35">
      <c r="A178" s="76" t="s">
        <v>301</v>
      </c>
      <c r="C178" s="334">
        <f>'Output - Jobs vs Yr (BAU)'!C73</f>
        <v>13815.30639888</v>
      </c>
      <c r="D178" s="334">
        <f>'Output - Jobs vs Yr (BAU)'!D73</f>
        <v>14543.221838400001</v>
      </c>
      <c r="E178" s="334">
        <f>'Output - Jobs vs Yr (BAU)'!E73</f>
        <v>14902.744048964074</v>
      </c>
      <c r="F178" s="334">
        <f>'Output - Jobs vs Yr (BAU)'!F73</f>
        <v>13374.063770246303</v>
      </c>
      <c r="G178" s="334">
        <f>'Output - Jobs vs Yr (BAU)'!G73</f>
        <v>14737.23231894771</v>
      </c>
      <c r="H178" s="404">
        <f>'Output - Jobs vs Yr (BAU)'!H73</f>
        <v>14752.022128681618</v>
      </c>
      <c r="I178" s="19">
        <f>'Output - Jobs vs Yr (BAU)'!I73</f>
        <v>14678.531601338538</v>
      </c>
      <c r="J178" s="19">
        <f>'Output - Jobs vs Yr (BAU)'!J73</f>
        <v>14799.712887910806</v>
      </c>
      <c r="K178" s="19">
        <f>'Output - Jobs vs Yr (BAU)'!K73</f>
        <v>15187.049456913946</v>
      </c>
      <c r="L178" s="19">
        <f>'Output - Jobs vs Yr (BAU)'!L73</f>
        <v>15542.55026192203</v>
      </c>
      <c r="M178" s="19">
        <f>'Output - Jobs vs Yr (BAU)'!M73</f>
        <v>15646.875042113998</v>
      </c>
      <c r="N178" s="182">
        <f>'Output - Jobs vs Yr (BAU)'!N73</f>
        <v>15759.11279493284</v>
      </c>
      <c r="O178" s="19">
        <f>'Output - Jobs vs Yr (BAU)'!O73</f>
        <v>15898.333136951449</v>
      </c>
      <c r="P178" s="19">
        <f>'Output - Jobs vs Yr (BAU)'!P73</f>
        <v>16044.229688552099</v>
      </c>
      <c r="Q178" s="19">
        <f>'Output - Jobs vs Yr (BAU)'!Q73</f>
        <v>16278.93712751</v>
      </c>
      <c r="R178" s="19">
        <f>'Output - Jobs vs Yr (BAU)'!R73</f>
        <v>16379.262448980098</v>
      </c>
      <c r="S178" s="19">
        <f>'Output - Jobs vs Yr (BAU)'!S73</f>
        <v>16507.298098935527</v>
      </c>
      <c r="T178" s="19">
        <f>'Output - Jobs vs Yr (BAU)'!T73</f>
        <v>16619.799280023133</v>
      </c>
      <c r="U178" s="19">
        <f>'Output - Jobs vs Yr (BAU)'!U73</f>
        <v>16688.561541110223</v>
      </c>
      <c r="V178" s="19">
        <f>'Output - Jobs vs Yr (BAU)'!V73</f>
        <v>16738.075719570523</v>
      </c>
      <c r="W178" s="19">
        <f>'Output - Jobs vs Yr (BAU)'!W73</f>
        <v>16803.940998905571</v>
      </c>
      <c r="X178" s="182">
        <f>'Output - Jobs vs Yr (BAU)'!X73</f>
        <v>16894.855692298235</v>
      </c>
      <c r="Y178" s="206">
        <f>'Output - Jobs vs Yr (BAU)'!Y73</f>
        <v>17040.815410704039</v>
      </c>
      <c r="Z178" s="206">
        <f>'Output - Jobs vs Yr (BAU)'!Z73</f>
        <v>17149.648928341659</v>
      </c>
      <c r="AA178" s="206">
        <f>'Output - Jobs vs Yr (BAU)'!AA73</f>
        <v>17252.567942540962</v>
      </c>
      <c r="AB178" s="206">
        <f>'Output - Jobs vs Yr (BAU)'!AB73</f>
        <v>17344.93201171916</v>
      </c>
      <c r="AC178" s="206">
        <f>'Output - Jobs vs Yr (BAU)'!AC73</f>
        <v>17419.465634421398</v>
      </c>
      <c r="AD178" s="206">
        <f>'Output - Jobs vs Yr (BAU)'!AD73</f>
        <v>17495.198092385192</v>
      </c>
      <c r="AE178" s="206">
        <f>'Output - Jobs vs Yr (BAU)'!AE73</f>
        <v>17565.330100841849</v>
      </c>
      <c r="AF178" s="206">
        <f>'Output - Jobs vs Yr (BAU)'!AF73</f>
        <v>17625.025191847224</v>
      </c>
      <c r="AG178" s="206">
        <f>'Output - Jobs vs Yr (BAU)'!AG73</f>
        <v>17657.726989109928</v>
      </c>
      <c r="AH178" s="182">
        <f>'Output - Jobs vs Yr (BAU)'!AH73</f>
        <v>17705.514389270193</v>
      </c>
      <c r="AI178" s="80" t="s">
        <v>0</v>
      </c>
    </row>
    <row r="179" spans="1:35">
      <c r="A179" s="75" t="s">
        <v>298</v>
      </c>
      <c r="C179" s="331">
        <f>SUM(C118,C145)</f>
        <v>29166.808177359999</v>
      </c>
      <c r="D179" s="331">
        <f t="shared" ref="D179:AH179" si="99">SUM(D118,D145)+D249+D252</f>
        <v>30769.45078701646</v>
      </c>
      <c r="E179" s="331">
        <f t="shared" si="99"/>
        <v>31633.704821295694</v>
      </c>
      <c r="F179" s="331">
        <f t="shared" si="99"/>
        <v>28377.960991395048</v>
      </c>
      <c r="G179" s="331">
        <f t="shared" si="99"/>
        <v>31562.744778631291</v>
      </c>
      <c r="H179" s="402">
        <f>SUM(H118,H145)+H249+H252</f>
        <v>31106.941261783024</v>
      </c>
      <c r="I179" s="14">
        <f t="shared" si="99"/>
        <v>30983.64215358601</v>
      </c>
      <c r="J179" s="14">
        <f t="shared" si="99"/>
        <v>31350.895911894608</v>
      </c>
      <c r="K179" s="14">
        <f t="shared" si="99"/>
        <v>32320.815703586442</v>
      </c>
      <c r="L179" s="14">
        <f t="shared" si="99"/>
        <v>33369.715047145641</v>
      </c>
      <c r="M179" s="14">
        <f t="shared" si="99"/>
        <v>34362.825869988475</v>
      </c>
      <c r="N179" s="187">
        <f t="shared" si="99"/>
        <v>35747.761881022852</v>
      </c>
      <c r="O179" s="14">
        <f t="shared" si="99"/>
        <v>36160.966971726986</v>
      </c>
      <c r="P179" s="14">
        <f t="shared" si="99"/>
        <v>36583.469189038791</v>
      </c>
      <c r="Q179" s="14">
        <f t="shared" si="99"/>
        <v>37112.988322686957</v>
      </c>
      <c r="R179" s="14">
        <f t="shared" si="99"/>
        <v>37498.817640499212</v>
      </c>
      <c r="S179" s="14">
        <f t="shared" si="99"/>
        <v>37948.212027171081</v>
      </c>
      <c r="T179" s="14">
        <f t="shared" si="99"/>
        <v>38402.046369729316</v>
      </c>
      <c r="U179" s="14">
        <f t="shared" si="99"/>
        <v>38783.949523211762</v>
      </c>
      <c r="V179" s="14">
        <f t="shared" si="99"/>
        <v>39113.721754762395</v>
      </c>
      <c r="W179" s="14">
        <f t="shared" si="99"/>
        <v>39509.70547191985</v>
      </c>
      <c r="X179" s="187">
        <f t="shared" si="99"/>
        <v>39866.922776989581</v>
      </c>
      <c r="Y179" s="158">
        <f t="shared" si="99"/>
        <v>40136.989140648417</v>
      </c>
      <c r="Z179" s="158">
        <f t="shared" si="99"/>
        <v>40373.826610606935</v>
      </c>
      <c r="AA179" s="158">
        <f t="shared" si="99"/>
        <v>40623.675520666453</v>
      </c>
      <c r="AB179" s="158">
        <f t="shared" si="99"/>
        <v>40848.755399548711</v>
      </c>
      <c r="AC179" s="158">
        <f t="shared" si="99"/>
        <v>41034.186446793647</v>
      </c>
      <c r="AD179" s="158">
        <f t="shared" si="99"/>
        <v>41231.326299959219</v>
      </c>
      <c r="AE179" s="158">
        <f t="shared" si="99"/>
        <v>41402.243385777074</v>
      </c>
      <c r="AF179" s="158">
        <f t="shared" si="99"/>
        <v>41548.527379047388</v>
      </c>
      <c r="AG179" s="158">
        <f t="shared" si="99"/>
        <v>41637.855752579992</v>
      </c>
      <c r="AH179" s="187">
        <f t="shared" si="99"/>
        <v>41761.593460805183</v>
      </c>
    </row>
    <row r="180" spans="1:35">
      <c r="A180" s="76" t="s">
        <v>302</v>
      </c>
      <c r="C180" s="331">
        <f>C118</f>
        <v>15350.951814399998</v>
      </c>
      <c r="D180" s="331">
        <f t="shared" ref="D180:AH180" si="100">D118+D250+D253</f>
        <v>16194.447961577451</v>
      </c>
      <c r="E180" s="331">
        <f t="shared" si="100"/>
        <v>16649.318545913735</v>
      </c>
      <c r="F180" s="331">
        <f t="shared" si="100"/>
        <v>14935.76917585819</v>
      </c>
      <c r="G180" s="331">
        <f t="shared" si="100"/>
        <v>16611.971242539239</v>
      </c>
      <c r="H180" s="402">
        <f t="shared" si="100"/>
        <v>16372.074490412118</v>
      </c>
      <c r="I180" s="14">
        <f t="shared" si="100"/>
        <v>16307.180249168397</v>
      </c>
      <c r="J180" s="14">
        <f t="shared" si="100"/>
        <v>16500.471734608429</v>
      </c>
      <c r="K180" s="14">
        <f t="shared" si="100"/>
        <v>17010.955879658712</v>
      </c>
      <c r="L180" s="14">
        <f t="shared" si="100"/>
        <v>17563.008218376664</v>
      </c>
      <c r="M180" s="14">
        <f t="shared" si="100"/>
        <v>18085.698185230271</v>
      </c>
      <c r="N180" s="187">
        <f t="shared" si="100"/>
        <v>18814.611946887802</v>
      </c>
      <c r="O180" s="14">
        <f t="shared" si="100"/>
        <v>19032.08833715372</v>
      </c>
      <c r="P180" s="14">
        <f t="shared" si="100"/>
        <v>19254.457953517507</v>
      </c>
      <c r="Q180" s="14">
        <f t="shared" si="100"/>
        <v>19533.152265686749</v>
      </c>
      <c r="R180" s="14">
        <f t="shared" si="100"/>
        <v>19736.220358614701</v>
      </c>
      <c r="S180" s="14">
        <f t="shared" si="100"/>
        <v>19972.743753508508</v>
      </c>
      <c r="T180" s="14">
        <f t="shared" si="100"/>
        <v>20211.603969100084</v>
      </c>
      <c r="U180" s="14">
        <f t="shared" si="100"/>
        <v>20412.605664736897</v>
      </c>
      <c r="V180" s="14">
        <f t="shared" si="100"/>
        <v>20586.170033887462</v>
      </c>
      <c r="W180" s="14">
        <f t="shared" si="100"/>
        <v>20794.582556311339</v>
      </c>
      <c r="X180" s="187">
        <f t="shared" si="100"/>
        <v>20982.591705113307</v>
      </c>
      <c r="Y180" s="158">
        <f t="shared" si="100"/>
        <v>21124.731910325649</v>
      </c>
      <c r="Z180" s="158">
        <f t="shared" si="100"/>
        <v>21249.38322366455</v>
      </c>
      <c r="AA180" s="158">
        <f t="shared" si="100"/>
        <v>21380.88266381975</v>
      </c>
      <c r="AB180" s="158">
        <f t="shared" si="100"/>
        <v>21499.345771469139</v>
      </c>
      <c r="AC180" s="158">
        <f t="shared" si="100"/>
        <v>21596.941072358102</v>
      </c>
      <c r="AD180" s="158">
        <f t="shared" si="100"/>
        <v>21700.698903080669</v>
      </c>
      <c r="AE180" s="158">
        <f t="shared" si="100"/>
        <v>21790.655276928195</v>
      </c>
      <c r="AF180" s="158">
        <f t="shared" si="100"/>
        <v>21867.6468648626</v>
      </c>
      <c r="AG180" s="158">
        <f t="shared" si="100"/>
        <v>21914.661809771955</v>
      </c>
      <c r="AH180" s="187">
        <f t="shared" si="100"/>
        <v>21979.786931689494</v>
      </c>
    </row>
    <row r="181" spans="1:35">
      <c r="A181" s="76" t="s">
        <v>303</v>
      </c>
      <c r="C181" s="331">
        <f>C145</f>
        <v>13815.856362959999</v>
      </c>
      <c r="D181" s="331">
        <f t="shared" ref="D181:AH181" si="101">D145+D251+D254</f>
        <v>14575.002825439011</v>
      </c>
      <c r="E181" s="331">
        <f t="shared" si="101"/>
        <v>14984.386275381961</v>
      </c>
      <c r="F181" s="331">
        <f t="shared" si="101"/>
        <v>13442.191815536857</v>
      </c>
      <c r="G181" s="331">
        <f t="shared" si="101"/>
        <v>14950.773536092054</v>
      </c>
      <c r="H181" s="402">
        <f>H145+H251+H254</f>
        <v>14734.866771370907</v>
      </c>
      <c r="I181" s="14">
        <f t="shared" si="101"/>
        <v>14676.461904417612</v>
      </c>
      <c r="J181" s="14">
        <f t="shared" si="101"/>
        <v>14850.424177286179</v>
      </c>
      <c r="K181" s="14">
        <f t="shared" si="101"/>
        <v>15309.859823927731</v>
      </c>
      <c r="L181" s="14">
        <f t="shared" si="101"/>
        <v>15806.706828768978</v>
      </c>
      <c r="M181" s="14">
        <f t="shared" si="101"/>
        <v>16277.127684758207</v>
      </c>
      <c r="N181" s="187">
        <f t="shared" si="101"/>
        <v>16933.14993413505</v>
      </c>
      <c r="O181" s="14">
        <f t="shared" si="101"/>
        <v>17128.878634573266</v>
      </c>
      <c r="P181" s="14">
        <f t="shared" si="101"/>
        <v>17329.011235521284</v>
      </c>
      <c r="Q181" s="14">
        <f t="shared" si="101"/>
        <v>17579.836057000204</v>
      </c>
      <c r="R181" s="14">
        <f t="shared" si="101"/>
        <v>17762.597281884511</v>
      </c>
      <c r="S181" s="14">
        <f t="shared" si="101"/>
        <v>17975.468273662573</v>
      </c>
      <c r="T181" s="14">
        <f t="shared" si="101"/>
        <v>18190.442400629236</v>
      </c>
      <c r="U181" s="14">
        <f t="shared" si="101"/>
        <v>18371.343858474869</v>
      </c>
      <c r="V181" s="14">
        <f t="shared" si="101"/>
        <v>18527.551720874933</v>
      </c>
      <c r="W181" s="14">
        <f t="shared" si="101"/>
        <v>18715.122915608514</v>
      </c>
      <c r="X181" s="187">
        <f t="shared" si="101"/>
        <v>18884.331071876273</v>
      </c>
      <c r="Y181" s="158">
        <f t="shared" si="101"/>
        <v>19012.257230322768</v>
      </c>
      <c r="Z181" s="158">
        <f t="shared" si="101"/>
        <v>19124.443386942388</v>
      </c>
      <c r="AA181" s="158">
        <f t="shared" si="101"/>
        <v>19242.7928568467</v>
      </c>
      <c r="AB181" s="158">
        <f t="shared" si="101"/>
        <v>19349.409628079571</v>
      </c>
      <c r="AC181" s="158">
        <f t="shared" si="101"/>
        <v>19437.245374435544</v>
      </c>
      <c r="AD181" s="158">
        <f t="shared" si="101"/>
        <v>19530.62739687855</v>
      </c>
      <c r="AE181" s="158">
        <f t="shared" si="101"/>
        <v>19611.588108848879</v>
      </c>
      <c r="AF181" s="158">
        <f t="shared" si="101"/>
        <v>19680.880514184784</v>
      </c>
      <c r="AG181" s="158">
        <f t="shared" si="101"/>
        <v>19723.193942808037</v>
      </c>
      <c r="AH181" s="187">
        <f t="shared" si="101"/>
        <v>19781.806529115689</v>
      </c>
      <c r="AI181" s="31" t="s">
        <v>0</v>
      </c>
    </row>
    <row r="182" spans="1:35" s="1" customFormat="1">
      <c r="A182" s="75" t="s">
        <v>304</v>
      </c>
      <c r="B182" s="13"/>
      <c r="C182" s="341" t="s">
        <v>0</v>
      </c>
      <c r="D182" s="341">
        <f t="shared" ref="D182:AH182" si="102">D179-D176</f>
        <v>67.093572616460733</v>
      </c>
      <c r="E182" s="341">
        <f t="shared" si="102"/>
        <v>172.35627348264825</v>
      </c>
      <c r="F182" s="341">
        <f t="shared" si="102"/>
        <v>143.82636531951721</v>
      </c>
      <c r="G182" s="341">
        <f t="shared" si="102"/>
        <v>450.80988307501684</v>
      </c>
      <c r="H182" s="405">
        <f>H179-H176</f>
        <v>-36.21656543372228</v>
      </c>
      <c r="I182" s="15">
        <f t="shared" si="102"/>
        <v>-4.3690047953496105</v>
      </c>
      <c r="J182" s="15">
        <f t="shared" si="102"/>
        <v>107.05759297179611</v>
      </c>
      <c r="K182" s="15">
        <f t="shared" si="102"/>
        <v>259.26685010144138</v>
      </c>
      <c r="L182" s="15">
        <f t="shared" si="102"/>
        <v>557.6644941991326</v>
      </c>
      <c r="M182" s="15">
        <f t="shared" si="102"/>
        <v>1330.5341144144768</v>
      </c>
      <c r="N182" s="190">
        <f t="shared" si="102"/>
        <v>2478.5237583868511</v>
      </c>
      <c r="O182" s="15">
        <f t="shared" si="102"/>
        <v>2597.8192381628178</v>
      </c>
      <c r="P182" s="15">
        <f t="shared" si="102"/>
        <v>2712.3176243176931</v>
      </c>
      <c r="Q182" s="15">
        <f t="shared" si="102"/>
        <v>2746.3432757214032</v>
      </c>
      <c r="R182" s="15">
        <f t="shared" si="102"/>
        <v>2920.3746926523454</v>
      </c>
      <c r="S182" s="15">
        <f t="shared" si="102"/>
        <v>3099.4715960849644</v>
      </c>
      <c r="T182" s="15">
        <f t="shared" si="102"/>
        <v>3315.8034452360298</v>
      </c>
      <c r="U182" s="15">
        <f t="shared" si="102"/>
        <v>3552.541825312408</v>
      </c>
      <c r="V182" s="15">
        <f t="shared" si="102"/>
        <v>3777.7841245579548</v>
      </c>
      <c r="W182" s="15">
        <f t="shared" si="102"/>
        <v>4034.7189186747491</v>
      </c>
      <c r="X182" s="190">
        <f t="shared" si="102"/>
        <v>4200.0052043599717</v>
      </c>
      <c r="Y182" s="130">
        <f t="shared" si="102"/>
        <v>4161.9343847176715</v>
      </c>
      <c r="Z182" s="130">
        <f t="shared" si="102"/>
        <v>4169.0122063300951</v>
      </c>
      <c r="AA182" s="130">
        <f t="shared" si="102"/>
        <v>4201.587641968872</v>
      </c>
      <c r="AB182" s="130">
        <f t="shared" si="102"/>
        <v>4231.6767081415965</v>
      </c>
      <c r="AC182" s="130">
        <f t="shared" si="102"/>
        <v>4259.7589963484716</v>
      </c>
      <c r="AD182" s="130">
        <f t="shared" si="102"/>
        <v>4297.0192160349179</v>
      </c>
      <c r="AE182" s="130">
        <f t="shared" si="102"/>
        <v>4319.8798395553895</v>
      </c>
      <c r="AF182" s="130">
        <f t="shared" si="102"/>
        <v>4340.1408629254729</v>
      </c>
      <c r="AG182" s="130">
        <f t="shared" si="102"/>
        <v>4360.4321089034784</v>
      </c>
      <c r="AH182" s="190">
        <f t="shared" si="102"/>
        <v>4383.2853056792155</v>
      </c>
    </row>
    <row r="183" spans="1:35" s="20" customFormat="1">
      <c r="A183" s="20" t="s">
        <v>305</v>
      </c>
      <c r="B183" s="33"/>
      <c r="C183" s="334" t="s">
        <v>0</v>
      </c>
      <c r="D183" s="334">
        <f t="shared" ref="D183:AH183" si="103">D180-D177</f>
        <v>35.312585577450591</v>
      </c>
      <c r="E183" s="334">
        <f t="shared" si="103"/>
        <v>90.714047064760962</v>
      </c>
      <c r="F183" s="334">
        <f t="shared" si="103"/>
        <v>75.69832002896328</v>
      </c>
      <c r="G183" s="334">
        <f t="shared" si="103"/>
        <v>237.2686659306728</v>
      </c>
      <c r="H183" s="404">
        <f>H180-H177</f>
        <v>-19.061208123011966</v>
      </c>
      <c r="I183" s="19">
        <f t="shared" si="103"/>
        <v>-2.2993078744239028</v>
      </c>
      <c r="J183" s="19">
        <f t="shared" si="103"/>
        <v>56.34630359642324</v>
      </c>
      <c r="K183" s="19">
        <f t="shared" si="103"/>
        <v>136.45648308765885</v>
      </c>
      <c r="L183" s="19">
        <f t="shared" si="103"/>
        <v>293.50792735218783</v>
      </c>
      <c r="M183" s="19">
        <f t="shared" si="103"/>
        <v>700.28147177027131</v>
      </c>
      <c r="N183" s="182">
        <f t="shared" si="103"/>
        <v>1304.486619184645</v>
      </c>
      <c r="O183" s="19">
        <f t="shared" si="103"/>
        <v>1367.2737405410007</v>
      </c>
      <c r="P183" s="19">
        <f t="shared" si="103"/>
        <v>1427.5360773485081</v>
      </c>
      <c r="Q183" s="19">
        <f t="shared" si="103"/>
        <v>1445.4443462311938</v>
      </c>
      <c r="R183" s="19">
        <f t="shared" si="103"/>
        <v>1537.0398597479289</v>
      </c>
      <c r="S183" s="19">
        <f t="shared" si="103"/>
        <v>1631.3014213579227</v>
      </c>
      <c r="T183" s="19">
        <f t="shared" si="103"/>
        <v>1745.1603246299346</v>
      </c>
      <c r="U183" s="19">
        <f t="shared" si="103"/>
        <v>1869.7595079477614</v>
      </c>
      <c r="V183" s="19">
        <f t="shared" si="103"/>
        <v>1988.3081232535478</v>
      </c>
      <c r="W183" s="19">
        <f t="shared" si="103"/>
        <v>2123.5370019718102</v>
      </c>
      <c r="X183" s="182">
        <f t="shared" si="103"/>
        <v>2210.5298247819337</v>
      </c>
      <c r="Y183" s="206">
        <f t="shared" si="103"/>
        <v>2190.4925650989389</v>
      </c>
      <c r="Z183" s="206">
        <f t="shared" si="103"/>
        <v>2194.2177477293735</v>
      </c>
      <c r="AA183" s="206">
        <f t="shared" si="103"/>
        <v>2211.3627276631269</v>
      </c>
      <c r="AB183" s="206">
        <f t="shared" si="103"/>
        <v>2227.1990917811854</v>
      </c>
      <c r="AC183" s="206">
        <f t="shared" si="103"/>
        <v>2241.979256334329</v>
      </c>
      <c r="AD183" s="206">
        <f t="shared" si="103"/>
        <v>2261.5899115415632</v>
      </c>
      <c r="AE183" s="206">
        <f t="shared" si="103"/>
        <v>2273.6218315483602</v>
      </c>
      <c r="AF183" s="206">
        <f t="shared" si="103"/>
        <v>2284.2855405879054</v>
      </c>
      <c r="AG183" s="206">
        <f t="shared" si="103"/>
        <v>2294.9651552053692</v>
      </c>
      <c r="AH183" s="182">
        <f t="shared" si="103"/>
        <v>2306.9931658337227</v>
      </c>
    </row>
    <row r="184" spans="1:35" s="20" customFormat="1">
      <c r="A184" s="20" t="s">
        <v>306</v>
      </c>
      <c r="B184" s="33"/>
      <c r="C184" s="334" t="s">
        <v>0</v>
      </c>
      <c r="D184" s="334">
        <f t="shared" ref="D184:AH184" si="104">D181-D178</f>
        <v>31.780987039010142</v>
      </c>
      <c r="E184" s="334">
        <f t="shared" si="104"/>
        <v>81.642226417887287</v>
      </c>
      <c r="F184" s="334">
        <f t="shared" si="104"/>
        <v>68.128045290553928</v>
      </c>
      <c r="G184" s="334">
        <f t="shared" si="104"/>
        <v>213.54121714434405</v>
      </c>
      <c r="H184" s="404">
        <f t="shared" si="104"/>
        <v>-17.155357310710315</v>
      </c>
      <c r="I184" s="19">
        <f t="shared" si="104"/>
        <v>-2.0696969209257077</v>
      </c>
      <c r="J184" s="19">
        <f t="shared" si="104"/>
        <v>50.711289375372871</v>
      </c>
      <c r="K184" s="19">
        <f t="shared" si="104"/>
        <v>122.81036701378434</v>
      </c>
      <c r="L184" s="19">
        <f t="shared" si="104"/>
        <v>264.15656684694841</v>
      </c>
      <c r="M184" s="19">
        <f t="shared" si="104"/>
        <v>630.25264264420912</v>
      </c>
      <c r="N184" s="182">
        <f t="shared" si="104"/>
        <v>1174.0371392022098</v>
      </c>
      <c r="O184" s="19">
        <f t="shared" si="104"/>
        <v>1230.545497621817</v>
      </c>
      <c r="P184" s="19">
        <f t="shared" si="104"/>
        <v>1284.781546969185</v>
      </c>
      <c r="Q184" s="19">
        <f t="shared" si="104"/>
        <v>1300.898929490204</v>
      </c>
      <c r="R184" s="19">
        <f t="shared" si="104"/>
        <v>1383.3348329044129</v>
      </c>
      <c r="S184" s="19">
        <f t="shared" si="104"/>
        <v>1468.1701747270454</v>
      </c>
      <c r="T184" s="19">
        <f t="shared" si="104"/>
        <v>1570.6431206061025</v>
      </c>
      <c r="U184" s="19">
        <f t="shared" si="104"/>
        <v>1682.7823173646466</v>
      </c>
      <c r="V184" s="19">
        <f t="shared" si="104"/>
        <v>1789.4760013044106</v>
      </c>
      <c r="W184" s="19">
        <f t="shared" si="104"/>
        <v>1911.1819167029425</v>
      </c>
      <c r="X184" s="182">
        <f t="shared" si="104"/>
        <v>1989.475379578038</v>
      </c>
      <c r="Y184" s="206">
        <f t="shared" si="104"/>
        <v>1971.4418196187289</v>
      </c>
      <c r="Z184" s="206">
        <f t="shared" si="104"/>
        <v>1974.7944586007288</v>
      </c>
      <c r="AA184" s="206">
        <f t="shared" si="104"/>
        <v>1990.2249143057379</v>
      </c>
      <c r="AB184" s="206">
        <f t="shared" si="104"/>
        <v>2004.477616360411</v>
      </c>
      <c r="AC184" s="206">
        <f t="shared" si="104"/>
        <v>2017.7797400141462</v>
      </c>
      <c r="AD184" s="206">
        <f t="shared" si="104"/>
        <v>2035.4293044933584</v>
      </c>
      <c r="AE184" s="206">
        <f t="shared" si="104"/>
        <v>2046.2580080070293</v>
      </c>
      <c r="AF184" s="206">
        <f t="shared" si="104"/>
        <v>2055.8553223375602</v>
      </c>
      <c r="AG184" s="206">
        <f t="shared" si="104"/>
        <v>2065.4669536981091</v>
      </c>
      <c r="AH184" s="182">
        <f t="shared" si="104"/>
        <v>2076.2921398454964</v>
      </c>
    </row>
    <row r="185" spans="1:35" s="1" customFormat="1">
      <c r="A185" s="1" t="s">
        <v>449</v>
      </c>
      <c r="B185" s="13"/>
      <c r="C185" s="341"/>
      <c r="D185" s="341">
        <f>D182</f>
        <v>67.093572616460733</v>
      </c>
      <c r="E185" s="341">
        <f>D185+E182</f>
        <v>239.44984609910898</v>
      </c>
      <c r="F185" s="341">
        <f t="shared" ref="E185:N187" si="105">E185+F182</f>
        <v>383.27621141862619</v>
      </c>
      <c r="G185" s="341">
        <f t="shared" si="105"/>
        <v>834.08609449364303</v>
      </c>
      <c r="H185" s="405">
        <f>H182</f>
        <v>-36.21656543372228</v>
      </c>
      <c r="I185" s="15">
        <f t="shared" si="105"/>
        <v>-40.585570229071891</v>
      </c>
      <c r="J185" s="15">
        <f t="shared" si="105"/>
        <v>66.472022742724221</v>
      </c>
      <c r="K185" s="15">
        <f t="shared" si="105"/>
        <v>325.7388728441656</v>
      </c>
      <c r="L185" s="15">
        <f t="shared" si="105"/>
        <v>883.4033670432982</v>
      </c>
      <c r="M185" s="15">
        <f t="shared" si="105"/>
        <v>2213.937481457775</v>
      </c>
      <c r="N185" s="15">
        <f t="shared" si="105"/>
        <v>4692.4612398446261</v>
      </c>
      <c r="O185" s="15">
        <f t="shared" ref="O185:X185" si="106">N185+O182</f>
        <v>7290.2804780074439</v>
      </c>
      <c r="P185" s="15">
        <f t="shared" si="106"/>
        <v>10002.598102325137</v>
      </c>
      <c r="Q185" s="15">
        <f t="shared" si="106"/>
        <v>12748.94137804654</v>
      </c>
      <c r="R185" s="15">
        <f t="shared" si="106"/>
        <v>15669.316070698886</v>
      </c>
      <c r="S185" s="130">
        <f t="shared" si="106"/>
        <v>18768.78766678385</v>
      </c>
      <c r="T185" s="15">
        <f t="shared" si="106"/>
        <v>22084.59111201988</v>
      </c>
      <c r="U185" s="15">
        <f t="shared" si="106"/>
        <v>25637.132937332288</v>
      </c>
      <c r="V185" s="15">
        <f t="shared" si="106"/>
        <v>29414.917061890243</v>
      </c>
      <c r="W185" s="15">
        <f t="shared" si="106"/>
        <v>33449.635980564992</v>
      </c>
      <c r="X185" s="190">
        <f t="shared" si="106"/>
        <v>37649.641184924963</v>
      </c>
      <c r="Y185" s="130">
        <f t="shared" ref="Y185:AH185" si="107">X185+Y182</f>
        <v>41811.575569642635</v>
      </c>
      <c r="Z185" s="130">
        <f t="shared" si="107"/>
        <v>45980.58777597273</v>
      </c>
      <c r="AA185" s="130">
        <f t="shared" si="107"/>
        <v>50182.175417941602</v>
      </c>
      <c r="AB185" s="130">
        <f t="shared" si="107"/>
        <v>54413.852126083199</v>
      </c>
      <c r="AC185" s="130">
        <f t="shared" si="107"/>
        <v>58673.61112243167</v>
      </c>
      <c r="AD185" s="130">
        <f t="shared" si="107"/>
        <v>62970.630338466588</v>
      </c>
      <c r="AE185" s="130">
        <f t="shared" si="107"/>
        <v>67290.51017802197</v>
      </c>
      <c r="AF185" s="130">
        <f t="shared" si="107"/>
        <v>71630.651040947443</v>
      </c>
      <c r="AG185" s="130">
        <f t="shared" si="107"/>
        <v>75991.083149850921</v>
      </c>
      <c r="AH185" s="190">
        <f t="shared" si="107"/>
        <v>80374.368455530144</v>
      </c>
    </row>
    <row r="186" spans="1:35" s="20" customFormat="1">
      <c r="A186" s="20" t="s">
        <v>450</v>
      </c>
      <c r="B186" s="33"/>
      <c r="C186" s="334"/>
      <c r="D186" s="334">
        <f>D183</f>
        <v>35.312585577450591</v>
      </c>
      <c r="E186" s="334">
        <f t="shared" si="105"/>
        <v>126.02663264221155</v>
      </c>
      <c r="F186" s="334">
        <f t="shared" si="105"/>
        <v>201.72495267117483</v>
      </c>
      <c r="G186" s="334">
        <f t="shared" si="105"/>
        <v>438.99361860184763</v>
      </c>
      <c r="H186" s="404">
        <f t="shared" si="105"/>
        <v>419.93241047883566</v>
      </c>
      <c r="I186" s="19">
        <f t="shared" ref="I186:X186" si="108">H186+I183</f>
        <v>417.63310260441176</v>
      </c>
      <c r="J186" s="19">
        <f t="shared" si="108"/>
        <v>473.979406200835</v>
      </c>
      <c r="K186" s="19">
        <f t="shared" si="108"/>
        <v>610.43588928849385</v>
      </c>
      <c r="L186" s="19">
        <f t="shared" si="108"/>
        <v>903.94381664068169</v>
      </c>
      <c r="M186" s="19">
        <f t="shared" si="108"/>
        <v>1604.225288410953</v>
      </c>
      <c r="N186" s="182">
        <f t="shared" si="108"/>
        <v>2908.7119075955979</v>
      </c>
      <c r="O186" s="19">
        <f t="shared" si="108"/>
        <v>4275.9856481365987</v>
      </c>
      <c r="P186" s="19">
        <f t="shared" si="108"/>
        <v>5703.5217254851068</v>
      </c>
      <c r="Q186" s="19">
        <f t="shared" si="108"/>
        <v>7148.9660717163006</v>
      </c>
      <c r="R186" s="19">
        <f t="shared" si="108"/>
        <v>8686.0059314642294</v>
      </c>
      <c r="S186" s="206">
        <f t="shared" si="108"/>
        <v>10317.307352822152</v>
      </c>
      <c r="T186" s="19">
        <f t="shared" si="108"/>
        <v>12062.467677452087</v>
      </c>
      <c r="U186" s="19">
        <f t="shared" si="108"/>
        <v>13932.227185399848</v>
      </c>
      <c r="V186" s="19">
        <f t="shared" si="108"/>
        <v>15920.535308653396</v>
      </c>
      <c r="W186" s="19">
        <f t="shared" si="108"/>
        <v>18044.072310625204</v>
      </c>
      <c r="X186" s="182">
        <f t="shared" si="108"/>
        <v>20254.602135407138</v>
      </c>
      <c r="Y186" s="206">
        <f t="shared" ref="Y186:AH186" si="109">X186+Y183</f>
        <v>22445.094700506077</v>
      </c>
      <c r="Z186" s="206">
        <f t="shared" si="109"/>
        <v>24639.312448235451</v>
      </c>
      <c r="AA186" s="206">
        <f t="shared" si="109"/>
        <v>26850.675175898577</v>
      </c>
      <c r="AB186" s="206">
        <f t="shared" si="109"/>
        <v>29077.874267679763</v>
      </c>
      <c r="AC186" s="206">
        <f t="shared" si="109"/>
        <v>31319.853524014092</v>
      </c>
      <c r="AD186" s="206">
        <f t="shared" si="109"/>
        <v>33581.443435555659</v>
      </c>
      <c r="AE186" s="206">
        <f t="shared" si="109"/>
        <v>35855.065267104015</v>
      </c>
      <c r="AF186" s="206">
        <f t="shared" si="109"/>
        <v>38139.350807691924</v>
      </c>
      <c r="AG186" s="206">
        <f t="shared" si="109"/>
        <v>40434.315962897294</v>
      </c>
      <c r="AH186" s="182">
        <f t="shared" si="109"/>
        <v>42741.309128731016</v>
      </c>
    </row>
    <row r="187" spans="1:35" s="20" customFormat="1">
      <c r="A187" s="20" t="s">
        <v>451</v>
      </c>
      <c r="B187" s="33"/>
      <c r="C187" s="334"/>
      <c r="D187" s="334">
        <f>D184</f>
        <v>31.780987039010142</v>
      </c>
      <c r="E187" s="334">
        <f t="shared" si="105"/>
        <v>113.42321345689743</v>
      </c>
      <c r="F187" s="334">
        <f t="shared" si="105"/>
        <v>181.55125874745136</v>
      </c>
      <c r="G187" s="334">
        <f t="shared" si="105"/>
        <v>395.0924758917954</v>
      </c>
      <c r="H187" s="404">
        <f t="shared" si="105"/>
        <v>377.93711858108509</v>
      </c>
      <c r="I187" s="19">
        <f t="shared" ref="I187:X187" si="110">H187+I184</f>
        <v>375.86742166015938</v>
      </c>
      <c r="J187" s="19">
        <f t="shared" si="110"/>
        <v>426.57871103553225</v>
      </c>
      <c r="K187" s="19">
        <f t="shared" si="110"/>
        <v>549.38907804931659</v>
      </c>
      <c r="L187" s="19">
        <f t="shared" si="110"/>
        <v>813.545644896265</v>
      </c>
      <c r="M187" s="19">
        <f t="shared" si="110"/>
        <v>1443.7982875404741</v>
      </c>
      <c r="N187" s="182">
        <f t="shared" si="110"/>
        <v>2617.8354267426839</v>
      </c>
      <c r="O187" s="19">
        <f t="shared" si="110"/>
        <v>3848.380924364501</v>
      </c>
      <c r="P187" s="19">
        <f t="shared" si="110"/>
        <v>5133.162471333686</v>
      </c>
      <c r="Q187" s="19">
        <f t="shared" si="110"/>
        <v>6434.0614008238899</v>
      </c>
      <c r="R187" s="19">
        <f t="shared" si="110"/>
        <v>7817.3962337283028</v>
      </c>
      <c r="S187" s="206">
        <f t="shared" si="110"/>
        <v>9285.5664084553482</v>
      </c>
      <c r="T187" s="19">
        <f t="shared" si="110"/>
        <v>10856.209529061451</v>
      </c>
      <c r="U187" s="19">
        <f t="shared" si="110"/>
        <v>12538.991846426097</v>
      </c>
      <c r="V187" s="19">
        <f t="shared" si="110"/>
        <v>14328.467847730508</v>
      </c>
      <c r="W187" s="19">
        <f t="shared" si="110"/>
        <v>16239.64976443345</v>
      </c>
      <c r="X187" s="182">
        <f t="shared" si="110"/>
        <v>18229.125144011487</v>
      </c>
      <c r="Y187" s="206">
        <f t="shared" ref="Y187:AH187" si="111">X187+Y184</f>
        <v>20200.566963630215</v>
      </c>
      <c r="Z187" s="206">
        <f t="shared" si="111"/>
        <v>22175.361422230944</v>
      </c>
      <c r="AA187" s="206">
        <f t="shared" si="111"/>
        <v>24165.586336536682</v>
      </c>
      <c r="AB187" s="206">
        <f t="shared" si="111"/>
        <v>26170.063952897093</v>
      </c>
      <c r="AC187" s="206">
        <f t="shared" si="111"/>
        <v>28187.843692911239</v>
      </c>
      <c r="AD187" s="206">
        <f t="shared" si="111"/>
        <v>30223.272997404598</v>
      </c>
      <c r="AE187" s="206">
        <f t="shared" si="111"/>
        <v>32269.531005411627</v>
      </c>
      <c r="AF187" s="206">
        <f t="shared" si="111"/>
        <v>34325.386327749191</v>
      </c>
      <c r="AG187" s="206">
        <f t="shared" si="111"/>
        <v>36390.8532814473</v>
      </c>
      <c r="AH187" s="182">
        <f t="shared" si="111"/>
        <v>38467.145421292793</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c r="AC188"/>
      <c r="AD188"/>
      <c r="AE188"/>
      <c r="AF188"/>
      <c r="AG188"/>
      <c r="AH188"/>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232.71569208</v>
      </c>
      <c r="D194" s="331">
        <f t="shared" ref="D194:AH194" si="112">SUM(D195:D196)</f>
        <v>260.16106439999999</v>
      </c>
      <c r="E194" s="331">
        <f t="shared" si="112"/>
        <v>347.38008957586351</v>
      </c>
      <c r="F194" s="331">
        <f t="shared" si="112"/>
        <v>406.80491660284258</v>
      </c>
      <c r="G194" s="331">
        <f t="shared" si="112"/>
        <v>519.72328510935881</v>
      </c>
      <c r="H194" s="402">
        <f t="shared" si="112"/>
        <v>610.02795409836904</v>
      </c>
      <c r="I194" s="14">
        <f t="shared" si="112"/>
        <v>710.58143112932191</v>
      </c>
      <c r="J194" s="14">
        <f t="shared" si="112"/>
        <v>879.99774575199262</v>
      </c>
      <c r="K194" s="14">
        <f t="shared" si="112"/>
        <v>1284.7365898227358</v>
      </c>
      <c r="L194" s="14">
        <f t="shared" si="112"/>
        <v>1820.4756254561898</v>
      </c>
      <c r="M194" s="14">
        <f t="shared" si="112"/>
        <v>1919.1771856281148</v>
      </c>
      <c r="N194" s="187">
        <f t="shared" si="112"/>
        <v>2107.9687640882603</v>
      </c>
      <c r="O194" s="14">
        <f t="shared" si="112"/>
        <v>2259.5197496616624</v>
      </c>
      <c r="P194" s="14">
        <f t="shared" si="112"/>
        <v>2451.0932962978927</v>
      </c>
      <c r="Q194" s="14">
        <f t="shared" si="112"/>
        <v>2862.5623506683205</v>
      </c>
      <c r="R194" s="14">
        <f t="shared" si="112"/>
        <v>2975.1881398833175</v>
      </c>
      <c r="S194" s="15">
        <f t="shared" si="112"/>
        <v>3191.4366320045865</v>
      </c>
      <c r="T194" s="14">
        <f t="shared" si="112"/>
        <v>3310.2275275460161</v>
      </c>
      <c r="U194" s="14">
        <f t="shared" si="112"/>
        <v>3396.1354542651093</v>
      </c>
      <c r="V194" s="14">
        <f t="shared" si="112"/>
        <v>3520.3892414181055</v>
      </c>
      <c r="W194" s="14">
        <f t="shared" si="112"/>
        <v>3634.8129415449284</v>
      </c>
      <c r="X194" s="187">
        <f t="shared" si="112"/>
        <v>3962.630799870672</v>
      </c>
      <c r="Y194" s="158">
        <f t="shared" si="112"/>
        <v>4208.8039702393216</v>
      </c>
      <c r="Z194" s="158">
        <f t="shared" si="112"/>
        <v>4351.1919541408761</v>
      </c>
      <c r="AA194" s="158">
        <f t="shared" si="112"/>
        <v>4449.3776030798745</v>
      </c>
      <c r="AB194" s="158">
        <f t="shared" si="112"/>
        <v>4544.9697544168721</v>
      </c>
      <c r="AC194" s="158">
        <f t="shared" si="112"/>
        <v>4632.2365675335168</v>
      </c>
      <c r="AD194" s="158">
        <f t="shared" si="112"/>
        <v>4708.4098133380157</v>
      </c>
      <c r="AE194" s="158">
        <f t="shared" si="112"/>
        <v>4808.5806284179462</v>
      </c>
      <c r="AF194" s="158">
        <f t="shared" si="112"/>
        <v>4907.5015553511112</v>
      </c>
      <c r="AG194" s="158">
        <f t="shared" si="112"/>
        <v>4987.4402324928687</v>
      </c>
      <c r="AH194" s="187">
        <f t="shared" si="112"/>
        <v>5077.5157657210038</v>
      </c>
    </row>
    <row r="195" spans="1:34">
      <c r="A195" t="s">
        <v>388</v>
      </c>
      <c r="C195" s="330">
        <f>'Output - Jobs vs Yr (BAU)'!C51</f>
        <v>122.4819432</v>
      </c>
      <c r="D195" s="330">
        <f>'Output - Jobs vs Yr (BAU)'!D51</f>
        <v>136.92687599999999</v>
      </c>
      <c r="E195" s="330">
        <f>'Output - Jobs vs Yr (BAU)'!E51</f>
        <v>182.83162609255973</v>
      </c>
      <c r="F195" s="330">
        <f>'Output - Jobs vs Yr (BAU)'!F51</f>
        <v>214.10785084360134</v>
      </c>
      <c r="G195" s="330">
        <f>'Output - Jobs vs Yr (BAU)'!G51</f>
        <v>273.53857111018885</v>
      </c>
      <c r="H195" s="286">
        <f>'Output - Jobs vs Yr (BAU)'!H51</f>
        <v>321.06734426229951</v>
      </c>
      <c r="I195" s="118">
        <f>'Output - Jobs vs Yr (BAU)'!I51</f>
        <v>373.99022691016938</v>
      </c>
      <c r="J195" s="118">
        <f>'Output - Jobs vs Yr (BAU)'!J51</f>
        <v>463.15670829052237</v>
      </c>
      <c r="K195" s="118">
        <f>'Output - Jobs vs Yr (BAU)'!K51</f>
        <v>676.17715253828192</v>
      </c>
      <c r="L195" s="118">
        <f>'Output - Jobs vs Yr (BAU)'!L51</f>
        <v>958.14506602957351</v>
      </c>
      <c r="M195" s="118">
        <f>'Output - Jobs vs Yr (BAU)'!M51</f>
        <v>1010.0932555937445</v>
      </c>
      <c r="N195" s="177">
        <f>'Output - Jobs vs Yr (BAU)'!N51</f>
        <v>1109.457244256979</v>
      </c>
      <c r="O195" s="118">
        <f>'Output - Jobs vs Yr (BAU)'!O51</f>
        <v>1189.2209208745592</v>
      </c>
      <c r="P195" s="118">
        <f>'Output - Jobs vs Yr (BAU)'!P51</f>
        <v>1290.0491033146805</v>
      </c>
      <c r="Q195" s="118">
        <f>'Output - Jobs vs Yr (BAU)'!Q51</f>
        <v>1506.6117635096423</v>
      </c>
      <c r="R195" s="118">
        <f>'Output - Jobs vs Yr (BAU)'!R51</f>
        <v>1565.8884946754301</v>
      </c>
      <c r="S195" s="118">
        <f>'Output - Jobs vs Yr (BAU)'!S51</f>
        <v>1679.7034905287296</v>
      </c>
      <c r="T195" s="118">
        <f>'Output - Jobs vs Yr (BAU)'!T51</f>
        <v>1742.2250144979032</v>
      </c>
      <c r="U195" s="118">
        <f>'Output - Jobs vs Yr (BAU)'!U51</f>
        <v>1787.4397127711102</v>
      </c>
      <c r="V195" s="118">
        <f>'Output - Jobs vs Yr (BAU)'!V51</f>
        <v>1852.8364428516345</v>
      </c>
      <c r="W195" s="118">
        <f>'Output - Jobs vs Yr (BAU)'!W51</f>
        <v>1913.0594429183832</v>
      </c>
      <c r="X195" s="184">
        <f>'Output - Jobs vs Yr (BAU)'!X51</f>
        <v>2085.5951578266695</v>
      </c>
      <c r="Y195" s="271">
        <f>'Output - Jobs vs Yr (BAU)'!Y51</f>
        <v>2215.1599843364852</v>
      </c>
      <c r="Z195" s="271">
        <f>'Output - Jobs vs Yr (BAU)'!Z51</f>
        <v>2290.1010284951981</v>
      </c>
      <c r="AA195" s="271">
        <f>'Output - Jobs vs Yr (BAU)'!AA51</f>
        <v>2341.7776858315128</v>
      </c>
      <c r="AB195" s="271">
        <f>'Output - Jobs vs Yr (BAU)'!AB51</f>
        <v>2392.0893444299327</v>
      </c>
      <c r="AC195" s="271">
        <f>'Output - Jobs vs Yr (BAU)'!AC51</f>
        <v>2438.0192460702724</v>
      </c>
      <c r="AD195" s="271">
        <f>'Output - Jobs vs Yr (BAU)'!AD51</f>
        <v>2478.1104280726399</v>
      </c>
      <c r="AE195" s="271">
        <f>'Output - Jobs vs Yr (BAU)'!AE51</f>
        <v>2530.8319096936561</v>
      </c>
      <c r="AF195" s="271">
        <f>'Output - Jobs vs Yr (BAU)'!AF51</f>
        <v>2582.8955554479526</v>
      </c>
      <c r="AG195" s="271">
        <f>'Output - Jobs vs Yr (BAU)'!AG51</f>
        <v>2624.9685434172993</v>
      </c>
      <c r="AH195" s="184">
        <f>'Output - Jobs vs Yr (BAU)'!AH51</f>
        <v>2672.3767188005281</v>
      </c>
    </row>
    <row r="196" spans="1:34">
      <c r="A196" t="s">
        <v>389</v>
      </c>
      <c r="C196" s="330">
        <f>'Output - Jobs vs Yr (BAU)'!C69</f>
        <v>110.23374887999999</v>
      </c>
      <c r="D196" s="330">
        <f>'Output - Jobs vs Yr (BAU)'!D69</f>
        <v>123.23418840000001</v>
      </c>
      <c r="E196" s="330">
        <f>'Output - Jobs vs Yr (BAU)'!E69</f>
        <v>164.54846348330378</v>
      </c>
      <c r="F196" s="330">
        <f>'Output - Jobs vs Yr (BAU)'!F69</f>
        <v>192.69706575924121</v>
      </c>
      <c r="G196" s="330">
        <f>'Output - Jobs vs Yr (BAU)'!G69</f>
        <v>246.18471399917001</v>
      </c>
      <c r="H196" s="286">
        <f>'Output - Jobs vs Yr (BAU)'!H69</f>
        <v>288.96060983606952</v>
      </c>
      <c r="I196" s="118">
        <f>'Output - Jobs vs Yr (BAU)'!I69</f>
        <v>336.59120421915253</v>
      </c>
      <c r="J196" s="118">
        <f>'Output - Jobs vs Yr (BAU)'!J69</f>
        <v>416.84103746147019</v>
      </c>
      <c r="K196" s="118">
        <f>'Output - Jobs vs Yr (BAU)'!K69</f>
        <v>608.55943728445379</v>
      </c>
      <c r="L196" s="118">
        <f>'Output - Jobs vs Yr (BAU)'!L69</f>
        <v>862.33055942661645</v>
      </c>
      <c r="M196" s="118">
        <f>'Output - Jobs vs Yr (BAU)'!M69</f>
        <v>909.08393003437027</v>
      </c>
      <c r="N196" s="177">
        <f>'Output - Jobs vs Yr (BAU)'!N69</f>
        <v>998.51151983128113</v>
      </c>
      <c r="O196" s="118">
        <f>'Output - Jobs vs Yr (BAU)'!O69</f>
        <v>1070.2988287871033</v>
      </c>
      <c r="P196" s="118">
        <f>'Output - Jobs vs Yr (BAU)'!P69</f>
        <v>1161.0441929832123</v>
      </c>
      <c r="Q196" s="118">
        <f>'Output - Jobs vs Yr (BAU)'!Q69</f>
        <v>1355.950587158678</v>
      </c>
      <c r="R196" s="118">
        <f>'Output - Jobs vs Yr (BAU)'!R69</f>
        <v>1409.2996452078871</v>
      </c>
      <c r="S196" s="118">
        <f>'Output - Jobs vs Yr (BAU)'!S69</f>
        <v>1511.7331414758567</v>
      </c>
      <c r="T196" s="118">
        <f>'Output - Jobs vs Yr (BAU)'!T69</f>
        <v>1568.0025130481131</v>
      </c>
      <c r="U196" s="118">
        <f>'Output - Jobs vs Yr (BAU)'!U69</f>
        <v>1608.6957414939991</v>
      </c>
      <c r="V196" s="118">
        <f>'Output - Jobs vs Yr (BAU)'!V69</f>
        <v>1667.552798566471</v>
      </c>
      <c r="W196" s="118">
        <f>'Output - Jobs vs Yr (BAU)'!W69</f>
        <v>1721.753498626545</v>
      </c>
      <c r="X196" s="184">
        <f>'Output - Jobs vs Yr (BAU)'!X69</f>
        <v>1877.0356420440025</v>
      </c>
      <c r="Y196" s="271">
        <f>'Output - Jobs vs Yr (BAU)'!Y69</f>
        <v>1993.6439859028369</v>
      </c>
      <c r="Z196" s="271">
        <f>'Output - Jobs vs Yr (BAU)'!Z69</f>
        <v>2061.090925645678</v>
      </c>
      <c r="AA196" s="271">
        <f>'Output - Jobs vs Yr (BAU)'!AA69</f>
        <v>2107.5999172483612</v>
      </c>
      <c r="AB196" s="271">
        <f>'Output - Jobs vs Yr (BAU)'!AB69</f>
        <v>2152.8804099869399</v>
      </c>
      <c r="AC196" s="271">
        <f>'Output - Jobs vs Yr (BAU)'!AC69</f>
        <v>2194.2173214632448</v>
      </c>
      <c r="AD196" s="271">
        <f>'Output - Jobs vs Yr (BAU)'!AD69</f>
        <v>2230.2993852653763</v>
      </c>
      <c r="AE196" s="271">
        <f>'Output - Jobs vs Yr (BAU)'!AE69</f>
        <v>2277.74871872429</v>
      </c>
      <c r="AF196" s="271">
        <f>'Output - Jobs vs Yr (BAU)'!AF69</f>
        <v>2324.6059999031581</v>
      </c>
      <c r="AG196" s="271">
        <f>'Output - Jobs vs Yr (BAU)'!AG69</f>
        <v>2362.4716890755694</v>
      </c>
      <c r="AH196" s="184">
        <f>'Output - Jobs vs Yr (BAU)'!AH69</f>
        <v>2405.1390469204757</v>
      </c>
    </row>
    <row r="197" spans="1:34">
      <c r="A197" t="s">
        <v>390</v>
      </c>
      <c r="C197" s="331">
        <f>SUM(C198:C199)</f>
        <v>4195.27315</v>
      </c>
      <c r="D197" s="331">
        <f t="shared" ref="D197:AH197" si="113">SUM(D198:D199)</f>
        <v>4326.3921500000006</v>
      </c>
      <c r="E197" s="331">
        <f t="shared" si="113"/>
        <v>4193.9747858022201</v>
      </c>
      <c r="F197" s="331">
        <f t="shared" si="113"/>
        <v>4199.136571268903</v>
      </c>
      <c r="G197" s="331">
        <f t="shared" si="113"/>
        <v>4095.9402153568867</v>
      </c>
      <c r="H197" s="402">
        <f t="shared" si="113"/>
        <v>4117.0275412662504</v>
      </c>
      <c r="I197" s="14">
        <f t="shared" si="113"/>
        <v>4242.911017528736</v>
      </c>
      <c r="J197" s="14">
        <f t="shared" si="113"/>
        <v>4287.126074990887</v>
      </c>
      <c r="K197" s="14">
        <f t="shared" si="113"/>
        <v>4246.4147283104076</v>
      </c>
      <c r="L197" s="14">
        <f t="shared" si="113"/>
        <v>4117.8675257504083</v>
      </c>
      <c r="M197" s="14">
        <f t="shared" si="113"/>
        <v>3988.3939249904079</v>
      </c>
      <c r="N197" s="187">
        <f t="shared" si="113"/>
        <v>3911.1088499388934</v>
      </c>
      <c r="O197" s="14">
        <f t="shared" si="113"/>
        <v>3914.1603568933519</v>
      </c>
      <c r="P197" s="14">
        <f t="shared" si="113"/>
        <v>3914.1602451733515</v>
      </c>
      <c r="Q197" s="14">
        <f t="shared" si="113"/>
        <v>3924.8484997299147</v>
      </c>
      <c r="R197" s="14">
        <f t="shared" si="113"/>
        <v>3924.848611449916</v>
      </c>
      <c r="S197" s="15">
        <f t="shared" si="113"/>
        <v>3924.8484997299147</v>
      </c>
      <c r="T197" s="14">
        <f t="shared" si="113"/>
        <v>3924.848611449916</v>
      </c>
      <c r="U197" s="14">
        <f t="shared" si="113"/>
        <v>3924.8484997299147</v>
      </c>
      <c r="V197" s="14">
        <f t="shared" si="113"/>
        <v>3926.5618126902791</v>
      </c>
      <c r="W197" s="14">
        <f t="shared" si="113"/>
        <v>3926.56192441028</v>
      </c>
      <c r="X197" s="187">
        <f t="shared" si="113"/>
        <v>3927.6769132459676</v>
      </c>
      <c r="Y197" s="158">
        <f t="shared" si="113"/>
        <v>3930.9763362430913</v>
      </c>
      <c r="Z197" s="158">
        <f t="shared" si="113"/>
        <v>3933.8594098401559</v>
      </c>
      <c r="AA197" s="158">
        <f t="shared" si="113"/>
        <v>3933.8592981201555</v>
      </c>
      <c r="AB197" s="158">
        <f t="shared" si="113"/>
        <v>3937.798582517541</v>
      </c>
      <c r="AC197" s="158">
        <f t="shared" si="113"/>
        <v>3941.2995330547096</v>
      </c>
      <c r="AD197" s="158">
        <f t="shared" si="113"/>
        <v>3942.7305958425313</v>
      </c>
      <c r="AE197" s="158">
        <f t="shared" si="113"/>
        <v>3942.7305958425313</v>
      </c>
      <c r="AF197" s="158">
        <f t="shared" si="113"/>
        <v>3942.7305958425313</v>
      </c>
      <c r="AG197" s="158">
        <f t="shared" si="113"/>
        <v>3942.7305958425313</v>
      </c>
      <c r="AH197" s="187">
        <f t="shared" si="113"/>
        <v>3942.7307075625322</v>
      </c>
    </row>
    <row r="198" spans="1:34">
      <c r="A198" t="s">
        <v>392</v>
      </c>
      <c r="C198" s="330">
        <f>SUM('Output - Jobs vs Yr (BAU)'!C40:C43)</f>
        <v>2208.0385000000001</v>
      </c>
      <c r="D198" s="330">
        <f>SUM('Output - Jobs vs Yr (BAU)'!D40:D43)</f>
        <v>2277.0485000000003</v>
      </c>
      <c r="E198" s="330">
        <f>SUM('Output - Jobs vs Yr (BAU)'!E40:E43)</f>
        <v>2207.355150422221</v>
      </c>
      <c r="F198" s="330">
        <f>SUM('Output - Jobs vs Yr (BAU)'!F40:F43)</f>
        <v>2210.0718796152123</v>
      </c>
      <c r="G198" s="330">
        <f>SUM('Output - Jobs vs Yr (BAU)'!G40:G43)</f>
        <v>2155.7580080825719</v>
      </c>
      <c r="H198" s="286">
        <f>SUM('Output - Jobs vs Yr (BAU)'!H40:H43)</f>
        <v>2166.8566006664478</v>
      </c>
      <c r="I198" s="118">
        <f>SUM('Output - Jobs vs Yr (BAU)'!I40:I43)</f>
        <v>2233.1110618572293</v>
      </c>
      <c r="J198" s="118">
        <f>SUM('Output - Jobs vs Yr (BAU)'!J40:J43)</f>
        <v>2256.3821447320461</v>
      </c>
      <c r="K198" s="118">
        <f>SUM('Output - Jobs vs Yr (BAU)'!K40:K43)</f>
        <v>2234.9551201633726</v>
      </c>
      <c r="L198" s="118">
        <f>SUM('Output - Jobs vs Yr (BAU)'!L40:L43)</f>
        <v>2167.2986977633727</v>
      </c>
      <c r="M198" s="118">
        <f>SUM('Output - Jobs vs Yr (BAU)'!M40:M43)</f>
        <v>2099.1546973633726</v>
      </c>
      <c r="N198" s="177">
        <f>SUM('Output - Jobs vs Yr (BAU)'!N40:N43)</f>
        <v>2058.4783420731019</v>
      </c>
      <c r="O198" s="118">
        <f>SUM('Output - Jobs vs Yr (BAU)'!O40:O43)</f>
        <v>2060.084398364922</v>
      </c>
      <c r="P198" s="118">
        <f>SUM('Output - Jobs vs Yr (BAU)'!P40:P43)</f>
        <v>2060.0843395649217</v>
      </c>
      <c r="Q198" s="118">
        <f>SUM('Output - Jobs vs Yr (BAU)'!Q40:Q43)</f>
        <v>2065.7097366999551</v>
      </c>
      <c r="R198" s="118">
        <f>SUM('Output - Jobs vs Yr (BAU)'!R40:R43)</f>
        <v>2065.7097954999558</v>
      </c>
      <c r="S198" s="118">
        <f>SUM('Output - Jobs vs Yr (BAU)'!S40:S43)</f>
        <v>2065.7097366999551</v>
      </c>
      <c r="T198" s="118">
        <f>SUM('Output - Jobs vs Yr (BAU)'!T40:T43)</f>
        <v>2065.7097954999558</v>
      </c>
      <c r="U198" s="118">
        <f>SUM('Output - Jobs vs Yr (BAU)'!U40:U43)</f>
        <v>2065.7097366999551</v>
      </c>
      <c r="V198" s="118">
        <f>SUM('Output - Jobs vs Yr (BAU)'!V40:V43)</f>
        <v>2066.6114803633045</v>
      </c>
      <c r="W198" s="118">
        <f>SUM('Output - Jobs vs Yr (BAU)'!W40:W43)</f>
        <v>2066.6115391633052</v>
      </c>
      <c r="X198" s="184">
        <f>SUM('Output - Jobs vs Yr (BAU)'!X40:X43)</f>
        <v>2067.1983753926147</v>
      </c>
      <c r="Y198" s="271">
        <f>SUM('Output - Jobs vs Yr (BAU)'!Y40:Y43)</f>
        <v>2068.9349138121534</v>
      </c>
      <c r="Z198" s="271">
        <f>SUM('Output - Jobs vs Yr (BAU)'!Z40:Z43)</f>
        <v>2070.452320968503</v>
      </c>
      <c r="AA198" s="271">
        <f>SUM('Output - Jobs vs Yr (BAU)'!AA40:AA43)</f>
        <v>2070.4522621685028</v>
      </c>
      <c r="AB198" s="271">
        <f>SUM('Output - Jobs vs Yr (BAU)'!AB40:AB43)</f>
        <v>2072.5255697460743</v>
      </c>
      <c r="AC198" s="271">
        <f>SUM('Output - Jobs vs Yr (BAU)'!AC40:AC43)</f>
        <v>2074.3681752919524</v>
      </c>
      <c r="AD198" s="271">
        <f>SUM('Output - Jobs vs Yr (BAU)'!AD40:AD43)</f>
        <v>2075.1213662329114</v>
      </c>
      <c r="AE198" s="271">
        <f>SUM('Output - Jobs vs Yr (BAU)'!AE40:AE43)</f>
        <v>2075.1213662329114</v>
      </c>
      <c r="AF198" s="271">
        <f>SUM('Output - Jobs vs Yr (BAU)'!AF40:AF43)</f>
        <v>2075.1213662329114</v>
      </c>
      <c r="AG198" s="271">
        <f>SUM('Output - Jobs vs Yr (BAU)'!AG40:AG43)</f>
        <v>2075.1213662329114</v>
      </c>
      <c r="AH198" s="184">
        <f>SUM('Output - Jobs vs Yr (BAU)'!AH40:AH43)</f>
        <v>2075.1214250329117</v>
      </c>
    </row>
    <row r="199" spans="1:34">
      <c r="A199" t="s">
        <v>391</v>
      </c>
      <c r="C199" s="330">
        <f>SUM('Output - Jobs vs Yr (BAU)'!C58:C61)</f>
        <v>1987.2346500000001</v>
      </c>
      <c r="D199" s="330">
        <f>SUM('Output - Jobs vs Yr (BAU)'!D58:D61)</f>
        <v>2049.3436500000003</v>
      </c>
      <c r="E199" s="330">
        <f>SUM('Output - Jobs vs Yr (BAU)'!E58:E61)</f>
        <v>1986.6196353799987</v>
      </c>
      <c r="F199" s="330">
        <f>SUM('Output - Jobs vs Yr (BAU)'!F58:F61)</f>
        <v>1989.0646916536909</v>
      </c>
      <c r="G199" s="330">
        <f>SUM('Output - Jobs vs Yr (BAU)'!G58:G61)</f>
        <v>1940.1822072743148</v>
      </c>
      <c r="H199" s="286">
        <f>SUM('Output - Jobs vs Yr (BAU)'!H58:H61)</f>
        <v>1950.1709405998029</v>
      </c>
      <c r="I199" s="118">
        <f>SUM('Output - Jobs vs Yr (BAU)'!I58:I61)</f>
        <v>2009.7999556715067</v>
      </c>
      <c r="J199" s="118">
        <f>SUM('Output - Jobs vs Yr (BAU)'!J58:J61)</f>
        <v>2030.7439302588411</v>
      </c>
      <c r="K199" s="118">
        <f>SUM('Output - Jobs vs Yr (BAU)'!K58:K61)</f>
        <v>2011.4596081470352</v>
      </c>
      <c r="L199" s="118">
        <f>SUM('Output - Jobs vs Yr (BAU)'!L58:L61)</f>
        <v>1950.5688279870355</v>
      </c>
      <c r="M199" s="118">
        <f>SUM('Output - Jobs vs Yr (BAU)'!M58:M61)</f>
        <v>1889.2392276270352</v>
      </c>
      <c r="N199" s="177">
        <f>SUM('Output - Jobs vs Yr (BAU)'!N58:N61)</f>
        <v>1852.6305078657917</v>
      </c>
      <c r="O199" s="118">
        <f>SUM('Output - Jobs vs Yr (BAU)'!O58:O61)</f>
        <v>1854.07595852843</v>
      </c>
      <c r="P199" s="118">
        <f>SUM('Output - Jobs vs Yr (BAU)'!P58:P61)</f>
        <v>1854.0759056084296</v>
      </c>
      <c r="Q199" s="118">
        <f>SUM('Output - Jobs vs Yr (BAU)'!Q58:Q61)</f>
        <v>1859.1387630299598</v>
      </c>
      <c r="R199" s="118">
        <f>SUM('Output - Jobs vs Yr (BAU)'!R58:R61)</f>
        <v>1859.1388159499602</v>
      </c>
      <c r="S199" s="118">
        <f>SUM('Output - Jobs vs Yr (BAU)'!S58:S61)</f>
        <v>1859.1387630299598</v>
      </c>
      <c r="T199" s="118">
        <f>SUM('Output - Jobs vs Yr (BAU)'!T58:T61)</f>
        <v>1859.1388159499602</v>
      </c>
      <c r="U199" s="118">
        <f>SUM('Output - Jobs vs Yr (BAU)'!U58:U61)</f>
        <v>1859.1387630299598</v>
      </c>
      <c r="V199" s="118">
        <f>SUM('Output - Jobs vs Yr (BAU)'!V58:V61)</f>
        <v>1859.9503323269744</v>
      </c>
      <c r="W199" s="118">
        <f>SUM('Output - Jobs vs Yr (BAU)'!W58:W61)</f>
        <v>1859.9503852469747</v>
      </c>
      <c r="X199" s="184">
        <f>SUM('Output - Jobs vs Yr (BAU)'!X58:X61)</f>
        <v>1860.4785378533531</v>
      </c>
      <c r="Y199" s="271">
        <f>SUM('Output - Jobs vs Yr (BAU)'!Y58:Y61)</f>
        <v>1862.0414224309379</v>
      </c>
      <c r="Z199" s="271">
        <f>SUM('Output - Jobs vs Yr (BAU)'!Z58:Z61)</f>
        <v>1863.4070888716528</v>
      </c>
      <c r="AA199" s="271">
        <f>SUM('Output - Jobs vs Yr (BAU)'!AA58:AA61)</f>
        <v>1863.4070359516525</v>
      </c>
      <c r="AB199" s="271">
        <f>SUM('Output - Jobs vs Yr (BAU)'!AB58:AB61)</f>
        <v>1865.2730127714669</v>
      </c>
      <c r="AC199" s="271">
        <f>SUM('Output - Jobs vs Yr (BAU)'!AC58:AC61)</f>
        <v>1866.9313577627572</v>
      </c>
      <c r="AD199" s="271">
        <f>SUM('Output - Jobs vs Yr (BAU)'!AD58:AD61)</f>
        <v>1867.6092296096201</v>
      </c>
      <c r="AE199" s="271">
        <f>SUM('Output - Jobs vs Yr (BAU)'!AE58:AE61)</f>
        <v>1867.6092296096201</v>
      </c>
      <c r="AF199" s="271">
        <f>SUM('Output - Jobs vs Yr (BAU)'!AF58:AF61)</f>
        <v>1867.6092296096201</v>
      </c>
      <c r="AG199" s="271">
        <f>SUM('Output - Jobs vs Yr (BAU)'!AG58:AG61)</f>
        <v>1867.6092296096201</v>
      </c>
      <c r="AH199" s="184">
        <f>SUM('Output - Jobs vs Yr (BAU)'!AH58:AH61)</f>
        <v>1867.6092825296205</v>
      </c>
    </row>
    <row r="200" spans="1:34">
      <c r="A200" t="s">
        <v>393</v>
      </c>
      <c r="C200" s="331">
        <f>SUM(C201:C202)</f>
        <v>24737.657999999999</v>
      </c>
      <c r="D200" s="331">
        <f t="shared" ref="D200:AH200" si="114">SUM(D201:D202)</f>
        <v>26115.804</v>
      </c>
      <c r="E200" s="331">
        <f t="shared" si="114"/>
        <v>26919.993672434961</v>
      </c>
      <c r="F200" s="331">
        <f t="shared" si="114"/>
        <v>23628.193138203784</v>
      </c>
      <c r="G200" s="331">
        <f t="shared" si="114"/>
        <v>26496.271395090032</v>
      </c>
      <c r="H200" s="402">
        <f t="shared" si="114"/>
        <v>26416.102331852129</v>
      </c>
      <c r="I200" s="14">
        <f t="shared" si="114"/>
        <v>26034.518709723303</v>
      </c>
      <c r="J200" s="14">
        <f t="shared" si="114"/>
        <v>26076.714498179932</v>
      </c>
      <c r="K200" s="14">
        <f t="shared" si="114"/>
        <v>26530.397535351854</v>
      </c>
      <c r="L200" s="14">
        <f t="shared" si="114"/>
        <v>26873.707401739906</v>
      </c>
      <c r="M200" s="14">
        <f t="shared" si="114"/>
        <v>27124.720644955472</v>
      </c>
      <c r="N200" s="187">
        <f t="shared" si="114"/>
        <v>27250.160508608846</v>
      </c>
      <c r="O200" s="14">
        <f t="shared" si="114"/>
        <v>27389.467627009155</v>
      </c>
      <c r="P200" s="14">
        <f t="shared" si="114"/>
        <v>27505.898023249851</v>
      </c>
      <c r="Q200" s="14">
        <f t="shared" si="114"/>
        <v>27579.234196567319</v>
      </c>
      <c r="R200" s="14">
        <f t="shared" si="114"/>
        <v>27678.406196513639</v>
      </c>
      <c r="S200" s="15">
        <f t="shared" si="114"/>
        <v>27732.455299351612</v>
      </c>
      <c r="T200" s="14">
        <f t="shared" si="114"/>
        <v>27851.166785497353</v>
      </c>
      <c r="U200" s="14">
        <f t="shared" si="114"/>
        <v>27910.423743904335</v>
      </c>
      <c r="V200" s="14">
        <f t="shared" si="114"/>
        <v>27888.986576096053</v>
      </c>
      <c r="W200" s="14">
        <f t="shared" si="114"/>
        <v>27913.611687289893</v>
      </c>
      <c r="X200" s="187">
        <f t="shared" si="114"/>
        <v>27776.609859512966</v>
      </c>
      <c r="Y200" s="158">
        <f t="shared" si="114"/>
        <v>27835.274449448334</v>
      </c>
      <c r="Z200" s="158">
        <f t="shared" si="114"/>
        <v>27919.763040295809</v>
      </c>
      <c r="AA200" s="158">
        <f t="shared" si="114"/>
        <v>28038.850977497554</v>
      </c>
      <c r="AB200" s="158">
        <f t="shared" si="114"/>
        <v>28134.310354472706</v>
      </c>
      <c r="AC200" s="158">
        <f t="shared" si="114"/>
        <v>28200.891349856945</v>
      </c>
      <c r="AD200" s="158">
        <f t="shared" si="114"/>
        <v>28283.166674743748</v>
      </c>
      <c r="AE200" s="158">
        <f t="shared" si="114"/>
        <v>28331.052321961208</v>
      </c>
      <c r="AF200" s="158">
        <f t="shared" si="114"/>
        <v>28358.154364928276</v>
      </c>
      <c r="AG200" s="158">
        <f t="shared" si="114"/>
        <v>28347.252815341111</v>
      </c>
      <c r="AH200" s="187">
        <f t="shared" si="114"/>
        <v>28358.061681842424</v>
      </c>
    </row>
    <row r="201" spans="1:34">
      <c r="A201" t="s">
        <v>394</v>
      </c>
      <c r="C201" s="330">
        <f>SUM('Output - Jobs vs Yr (BAU)'!C53:C54)</f>
        <v>13019.82</v>
      </c>
      <c r="D201" s="330">
        <f>SUM('Output - Jobs vs Yr (BAU)'!D53:D54)</f>
        <v>13745.16</v>
      </c>
      <c r="E201" s="330">
        <f>SUM('Output - Jobs vs Yr (BAU)'!E53:E54)</f>
        <v>14168.41772233419</v>
      </c>
      <c r="F201" s="330">
        <f>SUM('Output - Jobs vs Yr (BAU)'!F53:F54)</f>
        <v>12435.891125370412</v>
      </c>
      <c r="G201" s="330">
        <f>SUM('Output - Jobs vs Yr (BAU)'!G53:G54)</f>
        <v>13945.405997415806</v>
      </c>
      <c r="H201" s="286">
        <f>SUM('Output - Jobs vs Yr (BAU)'!H53:H54)</f>
        <v>13903.211753606383</v>
      </c>
      <c r="I201" s="118">
        <f>SUM('Output - Jobs vs Yr (BAU)'!I53:I54)</f>
        <v>13702.378268275423</v>
      </c>
      <c r="J201" s="118">
        <f>SUM('Output - Jobs vs Yr (BAU)'!J53:J54)</f>
        <v>13724.586577989438</v>
      </c>
      <c r="K201" s="118">
        <f>SUM('Output - Jobs vs Yr (BAU)'!K53:K54)</f>
        <v>13963.367123869397</v>
      </c>
      <c r="L201" s="118">
        <f>SUM('Output - Jobs vs Yr (BAU)'!L53:L54)</f>
        <v>14144.056527231531</v>
      </c>
      <c r="M201" s="118">
        <f>SUM('Output - Jobs vs Yr (BAU)'!M53:M54)</f>
        <v>14276.168760502882</v>
      </c>
      <c r="N201" s="177">
        <f>SUM('Output - Jobs vs Yr (BAU)'!N53:N54)</f>
        <v>14342.189741373075</v>
      </c>
      <c r="O201" s="118">
        <f>SUM('Output - Jobs vs Yr (BAU)'!O53:O54)</f>
        <v>14415.509277373239</v>
      </c>
      <c r="P201" s="118">
        <f>SUM('Output - Jobs vs Yr (BAU)'!P53:P54)</f>
        <v>14476.788433289395</v>
      </c>
      <c r="Q201" s="118">
        <f>SUM('Output - Jobs vs Yr (BAU)'!Q53:Q54)</f>
        <v>14515.386419245957</v>
      </c>
      <c r="R201" s="118">
        <f>SUM('Output - Jobs vs Yr (BAU)'!R53:R54)</f>
        <v>14567.582208691389</v>
      </c>
      <c r="S201" s="118">
        <f>SUM('Output - Jobs vs Yr (BAU)'!S53:S54)</f>
        <v>14596.029104921901</v>
      </c>
      <c r="T201" s="118">
        <f>SUM('Output - Jobs vs Yr (BAU)'!T53:T54)</f>
        <v>14658.50883447229</v>
      </c>
      <c r="U201" s="118">
        <f>SUM('Output - Jobs vs Yr (BAU)'!U53:U54)</f>
        <v>14689.696707318071</v>
      </c>
      <c r="V201" s="118">
        <f>SUM('Output - Jobs vs Yr (BAU)'!V53:V54)</f>
        <v>14678.413987418975</v>
      </c>
      <c r="W201" s="118">
        <f>SUM('Output - Jobs vs Yr (BAU)'!W53:W54)</f>
        <v>14691.374572257839</v>
      </c>
      <c r="X201" s="184">
        <f>SUM('Output - Jobs vs Yr (BAU)'!X53:X54)</f>
        <v>14619.268347112087</v>
      </c>
      <c r="Y201" s="271">
        <f>SUM('Output - Jobs vs Yr (BAU)'!Y53:Y54)</f>
        <v>14650.144447078072</v>
      </c>
      <c r="Z201" s="271">
        <f>SUM('Output - Jobs vs Yr (BAU)'!Z53:Z54)</f>
        <v>14694.612126471477</v>
      </c>
      <c r="AA201" s="271">
        <f>SUM('Output - Jobs vs Yr (BAU)'!AA53:AA54)</f>
        <v>14757.289988156608</v>
      </c>
      <c r="AB201" s="271">
        <f>SUM('Output - Jobs vs Yr (BAU)'!AB53:AB54)</f>
        <v>14807.531765511949</v>
      </c>
      <c r="AC201" s="271">
        <f>SUM('Output - Jobs vs Yr (BAU)'!AC53:AC54)</f>
        <v>14842.574394661549</v>
      </c>
      <c r="AD201" s="271">
        <f>SUM('Output - Jobs vs Yr (BAU)'!AD53:AD54)</f>
        <v>14885.877197233551</v>
      </c>
      <c r="AE201" s="271">
        <f>SUM('Output - Jobs vs Yr (BAU)'!AE53:AE54)</f>
        <v>14911.080169453267</v>
      </c>
      <c r="AF201" s="271">
        <f>SUM('Output - Jobs vs Yr (BAU)'!AF53:AF54)</f>
        <v>14925.34440259383</v>
      </c>
      <c r="AG201" s="271">
        <f>SUM('Output - Jobs vs Yr (BAU)'!AG53:AG54)</f>
        <v>14919.606744916375</v>
      </c>
      <c r="AH201" s="184">
        <f>SUM('Output - Jobs vs Yr (BAU)'!AH53:AH54)</f>
        <v>14925.29562202233</v>
      </c>
    </row>
    <row r="202" spans="1:34">
      <c r="A202" t="s">
        <v>395</v>
      </c>
      <c r="C202" s="330">
        <f>SUM('Output - Jobs vs Yr (BAU)'!C71:C72)</f>
        <v>11717.838</v>
      </c>
      <c r="D202" s="330">
        <f>SUM('Output - Jobs vs Yr (BAU)'!D71:D72)</f>
        <v>12370.644</v>
      </c>
      <c r="E202" s="330">
        <f>SUM('Output - Jobs vs Yr (BAU)'!E71:E72)</f>
        <v>12751.575950100772</v>
      </c>
      <c r="F202" s="330">
        <f>SUM('Output - Jobs vs Yr (BAU)'!F71:F72)</f>
        <v>11192.302012833372</v>
      </c>
      <c r="G202" s="330">
        <f>SUM('Output - Jobs vs Yr (BAU)'!G71:G72)</f>
        <v>12550.865397674226</v>
      </c>
      <c r="H202" s="286">
        <f>SUM('Output - Jobs vs Yr (BAU)'!H71:H72)</f>
        <v>12512.890578245746</v>
      </c>
      <c r="I202" s="118">
        <f>SUM('Output - Jobs vs Yr (BAU)'!I71:I72)</f>
        <v>12332.14044144788</v>
      </c>
      <c r="J202" s="118">
        <f>SUM('Output - Jobs vs Yr (BAU)'!J71:J72)</f>
        <v>12352.127920190494</v>
      </c>
      <c r="K202" s="118">
        <f>SUM('Output - Jobs vs Yr (BAU)'!K71:K72)</f>
        <v>12567.030411482458</v>
      </c>
      <c r="L202" s="118">
        <f>SUM('Output - Jobs vs Yr (BAU)'!L71:L72)</f>
        <v>12729.650874508377</v>
      </c>
      <c r="M202" s="118">
        <f>SUM('Output - Jobs vs Yr (BAU)'!M71:M72)</f>
        <v>12848.551884452592</v>
      </c>
      <c r="N202" s="177">
        <f>SUM('Output - Jobs vs Yr (BAU)'!N71:N72)</f>
        <v>12907.970767235769</v>
      </c>
      <c r="O202" s="118">
        <f>SUM('Output - Jobs vs Yr (BAU)'!O71:O72)</f>
        <v>12973.958349635916</v>
      </c>
      <c r="P202" s="118">
        <f>SUM('Output - Jobs vs Yr (BAU)'!P71:P72)</f>
        <v>13029.109589960457</v>
      </c>
      <c r="Q202" s="118">
        <f>SUM('Output - Jobs vs Yr (BAU)'!Q71:Q72)</f>
        <v>13063.847777321362</v>
      </c>
      <c r="R202" s="118">
        <f>SUM('Output - Jobs vs Yr (BAU)'!R71:R72)</f>
        <v>13110.82398782225</v>
      </c>
      <c r="S202" s="118">
        <f>SUM('Output - Jobs vs Yr (BAU)'!S71:S72)</f>
        <v>13136.42619442971</v>
      </c>
      <c r="T202" s="118">
        <f>SUM('Output - Jobs vs Yr (BAU)'!T71:T72)</f>
        <v>13192.657951025063</v>
      </c>
      <c r="U202" s="118">
        <f>SUM('Output - Jobs vs Yr (BAU)'!U71:U72)</f>
        <v>13220.727036586266</v>
      </c>
      <c r="V202" s="118">
        <f>SUM('Output - Jobs vs Yr (BAU)'!V71:V72)</f>
        <v>13210.572588677078</v>
      </c>
      <c r="W202" s="118">
        <f>SUM('Output - Jobs vs Yr (BAU)'!W71:W72)</f>
        <v>13222.237115032054</v>
      </c>
      <c r="X202" s="184">
        <f>SUM('Output - Jobs vs Yr (BAU)'!X71:X72)</f>
        <v>13157.341512400879</v>
      </c>
      <c r="Y202" s="271">
        <f>SUM('Output - Jobs vs Yr (BAU)'!Y71:Y72)</f>
        <v>13185.130002370264</v>
      </c>
      <c r="Z202" s="271">
        <f>SUM('Output - Jobs vs Yr (BAU)'!Z71:Z72)</f>
        <v>13225.150913824331</v>
      </c>
      <c r="AA202" s="271">
        <f>SUM('Output - Jobs vs Yr (BAU)'!AA71:AA72)</f>
        <v>13281.560989340947</v>
      </c>
      <c r="AB202" s="271">
        <f>SUM('Output - Jobs vs Yr (BAU)'!AB71:AB72)</f>
        <v>13326.778588960755</v>
      </c>
      <c r="AC202" s="271">
        <f>SUM('Output - Jobs vs Yr (BAU)'!AC71:AC72)</f>
        <v>13358.316955195394</v>
      </c>
      <c r="AD202" s="271">
        <f>SUM('Output - Jobs vs Yr (BAU)'!AD71:AD72)</f>
        <v>13397.289477510196</v>
      </c>
      <c r="AE202" s="271">
        <f>SUM('Output - Jobs vs Yr (BAU)'!AE71:AE72)</f>
        <v>13419.97215250794</v>
      </c>
      <c r="AF202" s="271">
        <f>SUM('Output - Jobs vs Yr (BAU)'!AF71:AF72)</f>
        <v>13432.809962334448</v>
      </c>
      <c r="AG202" s="271">
        <f>SUM('Output - Jobs vs Yr (BAU)'!AG71:AG72)</f>
        <v>13427.646070424738</v>
      </c>
      <c r="AH202" s="184">
        <f>SUM('Output - Jobs vs Yr (BAU)'!AH71:AH72)</f>
        <v>13432.766059820096</v>
      </c>
    </row>
    <row r="203" spans="1:34">
      <c r="A203" s="1" t="s">
        <v>424</v>
      </c>
      <c r="C203" s="331">
        <f>SUM(C191,C194,C197,C200)</f>
        <v>29165.646842080001</v>
      </c>
      <c r="D203" s="331">
        <f t="shared" ref="D203:AH203" si="115">SUM(D191,D194,D197,D200)</f>
        <v>30702.357214399999</v>
      </c>
      <c r="E203" s="331">
        <f t="shared" si="115"/>
        <v>31461.348547813046</v>
      </c>
      <c r="F203" s="331">
        <f t="shared" si="115"/>
        <v>28234.134626075531</v>
      </c>
      <c r="G203" s="331">
        <f t="shared" si="115"/>
        <v>31111.934895556278</v>
      </c>
      <c r="H203" s="402">
        <f t="shared" si="115"/>
        <v>31143.15782721675</v>
      </c>
      <c r="I203" s="14">
        <f t="shared" si="115"/>
        <v>30988.01115838136</v>
      </c>
      <c r="J203" s="14">
        <f t="shared" si="115"/>
        <v>31243.838318922812</v>
      </c>
      <c r="K203" s="14">
        <f t="shared" si="115"/>
        <v>32061.548853484997</v>
      </c>
      <c r="L203" s="14">
        <f t="shared" si="115"/>
        <v>32812.050552946501</v>
      </c>
      <c r="M203" s="132">
        <f t="shared" si="115"/>
        <v>33032.291755573999</v>
      </c>
      <c r="N203" s="193">
        <f t="shared" si="115"/>
        <v>33269.238122636001</v>
      </c>
      <c r="O203" s="14">
        <f t="shared" si="115"/>
        <v>33563.147733564168</v>
      </c>
      <c r="P203" s="14">
        <f t="shared" si="115"/>
        <v>33871.151564721091</v>
      </c>
      <c r="Q203" s="14">
        <f t="shared" si="115"/>
        <v>34366.645046965554</v>
      </c>
      <c r="R203" s="14">
        <f t="shared" si="115"/>
        <v>34578.442947846874</v>
      </c>
      <c r="S203" s="14">
        <f t="shared" si="115"/>
        <v>34848.740431086117</v>
      </c>
      <c r="T203" s="14">
        <f t="shared" si="115"/>
        <v>35086.242924493286</v>
      </c>
      <c r="U203" s="14">
        <f t="shared" si="115"/>
        <v>35231.407697899362</v>
      </c>
      <c r="V203" s="14">
        <f t="shared" si="115"/>
        <v>35335.93763020444</v>
      </c>
      <c r="W203" s="14">
        <f t="shared" si="115"/>
        <v>35474.9865532451</v>
      </c>
      <c r="X203" s="187">
        <f t="shared" si="115"/>
        <v>35666.917572629609</v>
      </c>
      <c r="Y203" s="158">
        <f t="shared" si="115"/>
        <v>35975.054755930745</v>
      </c>
      <c r="Z203" s="158">
        <f t="shared" si="115"/>
        <v>36204.81440427684</v>
      </c>
      <c r="AA203" s="158">
        <f t="shared" si="115"/>
        <v>36422.087878697581</v>
      </c>
      <c r="AB203" s="158">
        <f t="shared" si="115"/>
        <v>36617.078691407121</v>
      </c>
      <c r="AC203" s="158">
        <f t="shared" si="115"/>
        <v>36774.427450445175</v>
      </c>
      <c r="AD203" s="158">
        <f t="shared" si="115"/>
        <v>36934.307083924294</v>
      </c>
      <c r="AE203" s="158">
        <f t="shared" si="115"/>
        <v>37082.363546221684</v>
      </c>
      <c r="AF203" s="158">
        <f t="shared" si="115"/>
        <v>37208.386516121915</v>
      </c>
      <c r="AG203" s="158">
        <f t="shared" si="115"/>
        <v>37277.423643676513</v>
      </c>
      <c r="AH203" s="187">
        <f t="shared" si="115"/>
        <v>37378.30815512596</v>
      </c>
    </row>
    <row r="204" spans="1:34">
      <c r="A204" s="1" t="s">
        <v>447</v>
      </c>
      <c r="C204" s="331"/>
      <c r="D204" s="331">
        <f>D194+D197</f>
        <v>4586.5532144000008</v>
      </c>
      <c r="E204" s="331">
        <f t="shared" ref="E204:AH204" si="116">E194+E197</f>
        <v>4541.3548753780833</v>
      </c>
      <c r="F204" s="331">
        <f t="shared" si="116"/>
        <v>4605.9414878717453</v>
      </c>
      <c r="G204" s="331">
        <f t="shared" si="116"/>
        <v>4615.6635004662458</v>
      </c>
      <c r="H204" s="402">
        <f t="shared" si="116"/>
        <v>4727.0554953646197</v>
      </c>
      <c r="I204" s="14">
        <f t="shared" si="116"/>
        <v>4953.4924486580576</v>
      </c>
      <c r="J204" s="14">
        <f t="shared" si="116"/>
        <v>5167.1238207428796</v>
      </c>
      <c r="K204" s="14">
        <f t="shared" si="116"/>
        <v>5531.1513181331429</v>
      </c>
      <c r="L204" s="14">
        <f t="shared" si="116"/>
        <v>5938.3431512065981</v>
      </c>
      <c r="M204" s="14">
        <f t="shared" si="116"/>
        <v>5907.5711106185227</v>
      </c>
      <c r="N204" s="187">
        <f t="shared" si="116"/>
        <v>6019.0776140271537</v>
      </c>
      <c r="O204" s="14">
        <f t="shared" si="116"/>
        <v>6173.6801065550144</v>
      </c>
      <c r="P204" s="14">
        <f t="shared" si="116"/>
        <v>6365.2535414712438</v>
      </c>
      <c r="Q204" s="14">
        <f t="shared" si="116"/>
        <v>6787.4108503982352</v>
      </c>
      <c r="R204" s="14">
        <f t="shared" si="116"/>
        <v>6900.036751333233</v>
      </c>
      <c r="S204" s="14">
        <f t="shared" si="116"/>
        <v>7116.2851317345012</v>
      </c>
      <c r="T204" s="14">
        <f t="shared" si="116"/>
        <v>7235.0761389959316</v>
      </c>
      <c r="U204" s="14">
        <f t="shared" si="116"/>
        <v>7320.9839539950244</v>
      </c>
      <c r="V204" s="14">
        <f t="shared" si="116"/>
        <v>7446.9510541083846</v>
      </c>
      <c r="W204" s="14">
        <f t="shared" si="116"/>
        <v>7561.3748659552084</v>
      </c>
      <c r="X204" s="187">
        <f t="shared" si="116"/>
        <v>7890.3077131166392</v>
      </c>
      <c r="Y204" s="158">
        <f t="shared" si="116"/>
        <v>8139.7803064824129</v>
      </c>
      <c r="Z204" s="158">
        <f t="shared" si="116"/>
        <v>8285.0513639810324</v>
      </c>
      <c r="AA204" s="158">
        <f t="shared" si="116"/>
        <v>8383.2369012000308</v>
      </c>
      <c r="AB204" s="158">
        <f t="shared" si="116"/>
        <v>8482.7683369344122</v>
      </c>
      <c r="AC204" s="158">
        <f t="shared" si="116"/>
        <v>8573.536100588226</v>
      </c>
      <c r="AD204" s="158">
        <f t="shared" si="116"/>
        <v>8651.1404091805471</v>
      </c>
      <c r="AE204" s="158">
        <f t="shared" si="116"/>
        <v>8751.3112242604766</v>
      </c>
      <c r="AF204" s="158">
        <f t="shared" si="116"/>
        <v>8850.2321511936425</v>
      </c>
      <c r="AG204" s="158">
        <f t="shared" si="116"/>
        <v>8930.1708283354001</v>
      </c>
      <c r="AH204" s="187">
        <f t="shared" si="116"/>
        <v>9020.246473283536</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260.16106439999999</v>
      </c>
      <c r="E206" s="331">
        <f>D206+E194</f>
        <v>607.54115397586349</v>
      </c>
      <c r="F206" s="331">
        <f>E206+F194</f>
        <v>1014.3460705787061</v>
      </c>
      <c r="G206" s="331">
        <f>F206+G194</f>
        <v>1534.0693556880649</v>
      </c>
      <c r="H206" s="402">
        <f t="shared" ref="H206:X206" si="117">G206+H194</f>
        <v>2144.0973097864339</v>
      </c>
      <c r="I206" s="14">
        <f t="shared" si="117"/>
        <v>2854.678740915756</v>
      </c>
      <c r="J206" s="14">
        <f t="shared" si="117"/>
        <v>3734.6764866677486</v>
      </c>
      <c r="K206" s="14">
        <f t="shared" si="117"/>
        <v>5019.4130764904839</v>
      </c>
      <c r="L206" s="14">
        <f t="shared" si="117"/>
        <v>6839.8887019466738</v>
      </c>
      <c r="M206" s="14">
        <f t="shared" si="117"/>
        <v>8759.0658875747886</v>
      </c>
      <c r="N206" s="187">
        <f t="shared" si="117"/>
        <v>10867.034651663049</v>
      </c>
      <c r="O206" s="14">
        <f t="shared" si="117"/>
        <v>13126.554401324711</v>
      </c>
      <c r="P206" s="14">
        <f t="shared" si="117"/>
        <v>15577.647697622604</v>
      </c>
      <c r="Q206" s="14">
        <f t="shared" si="117"/>
        <v>18440.210048290923</v>
      </c>
      <c r="R206" s="14">
        <f t="shared" si="117"/>
        <v>21415.39818817424</v>
      </c>
      <c r="S206" s="14">
        <f t="shared" si="117"/>
        <v>24606.834820178825</v>
      </c>
      <c r="T206" s="14">
        <f t="shared" si="117"/>
        <v>27917.062347724841</v>
      </c>
      <c r="U206" s="14">
        <f t="shared" si="117"/>
        <v>31313.197801989951</v>
      </c>
      <c r="V206" s="14">
        <f t="shared" si="117"/>
        <v>34833.587043408057</v>
      </c>
      <c r="W206" s="14">
        <f t="shared" si="117"/>
        <v>38468.399984952986</v>
      </c>
      <c r="X206" s="187">
        <f t="shared" si="117"/>
        <v>42431.030784823655</v>
      </c>
      <c r="Y206" s="158">
        <f t="shared" ref="Y206:AH206" si="118">X206+Y194</f>
        <v>46639.834755062977</v>
      </c>
      <c r="Z206" s="158">
        <f t="shared" si="118"/>
        <v>50991.026709203856</v>
      </c>
      <c r="AA206" s="158">
        <f t="shared" si="118"/>
        <v>55440.404312283732</v>
      </c>
      <c r="AB206" s="158">
        <f t="shared" si="118"/>
        <v>59985.374066700606</v>
      </c>
      <c r="AC206" s="158">
        <f t="shared" si="118"/>
        <v>64617.610634234123</v>
      </c>
      <c r="AD206" s="158">
        <f t="shared" si="118"/>
        <v>69326.02044757214</v>
      </c>
      <c r="AE206" s="158">
        <f t="shared" si="118"/>
        <v>74134.601075990082</v>
      </c>
      <c r="AF206" s="158">
        <f t="shared" si="118"/>
        <v>79042.1026313412</v>
      </c>
      <c r="AG206" s="158">
        <f t="shared" si="118"/>
        <v>84029.542863834067</v>
      </c>
      <c r="AH206" s="187">
        <f t="shared" si="118"/>
        <v>89107.058629555075</v>
      </c>
    </row>
    <row r="207" spans="1:34">
      <c r="A207" s="1" t="s">
        <v>455</v>
      </c>
      <c r="C207" s="331"/>
      <c r="D207" s="331">
        <f>D200</f>
        <v>26115.804</v>
      </c>
      <c r="E207" s="331">
        <f>D207+E200</f>
        <v>53035.797672434957</v>
      </c>
      <c r="F207" s="331">
        <f>E207+F200</f>
        <v>76663.990810638745</v>
      </c>
      <c r="G207" s="331">
        <f t="shared" ref="G207:X207" si="119">F207+G200</f>
        <v>103160.26220572878</v>
      </c>
      <c r="H207" s="402">
        <f t="shared" si="119"/>
        <v>129576.36453758091</v>
      </c>
      <c r="I207" s="14">
        <f t="shared" si="119"/>
        <v>155610.88324730421</v>
      </c>
      <c r="J207" s="14">
        <f t="shared" si="119"/>
        <v>181687.59774548415</v>
      </c>
      <c r="K207" s="14">
        <f t="shared" si="119"/>
        <v>208217.99528083601</v>
      </c>
      <c r="L207" s="14">
        <f t="shared" si="119"/>
        <v>235091.70268257591</v>
      </c>
      <c r="M207" s="14">
        <f t="shared" si="119"/>
        <v>262216.42332753137</v>
      </c>
      <c r="N207" s="187">
        <f t="shared" si="119"/>
        <v>289466.58383614023</v>
      </c>
      <c r="O207" s="14">
        <f t="shared" si="119"/>
        <v>316856.05146314937</v>
      </c>
      <c r="P207" s="14">
        <f t="shared" si="119"/>
        <v>344361.94948639924</v>
      </c>
      <c r="Q207" s="14">
        <f t="shared" si="119"/>
        <v>371941.18368296657</v>
      </c>
      <c r="R207" s="14">
        <f t="shared" si="119"/>
        <v>399619.58987948019</v>
      </c>
      <c r="S207" s="14">
        <f t="shared" si="119"/>
        <v>427352.04517883179</v>
      </c>
      <c r="T207" s="14">
        <f t="shared" si="119"/>
        <v>455203.21196432912</v>
      </c>
      <c r="U207" s="14">
        <f t="shared" si="119"/>
        <v>483113.63570823346</v>
      </c>
      <c r="V207" s="14">
        <f t="shared" si="119"/>
        <v>511002.6222843295</v>
      </c>
      <c r="W207" s="14">
        <f t="shared" si="119"/>
        <v>538916.2339716194</v>
      </c>
      <c r="X207" s="187">
        <f t="shared" si="119"/>
        <v>566692.8438311324</v>
      </c>
      <c r="Y207" s="158">
        <f t="shared" ref="Y207:AH207" si="120">X207+Y200</f>
        <v>594528.11828058073</v>
      </c>
      <c r="Z207" s="158">
        <f t="shared" si="120"/>
        <v>622447.88132087654</v>
      </c>
      <c r="AA207" s="158">
        <f t="shared" si="120"/>
        <v>650486.73229837406</v>
      </c>
      <c r="AB207" s="158">
        <f t="shared" si="120"/>
        <v>678621.04265284678</v>
      </c>
      <c r="AC207" s="158">
        <f t="shared" si="120"/>
        <v>706821.93400270375</v>
      </c>
      <c r="AD207" s="158">
        <f t="shared" si="120"/>
        <v>735105.10067744751</v>
      </c>
      <c r="AE207" s="158">
        <f t="shared" si="120"/>
        <v>763436.15299940878</v>
      </c>
      <c r="AF207" s="158">
        <f t="shared" si="120"/>
        <v>791794.30736433703</v>
      </c>
      <c r="AG207" s="158">
        <f t="shared" si="120"/>
        <v>820141.56017967814</v>
      </c>
      <c r="AH207" s="187">
        <f t="shared" si="120"/>
        <v>848499.62186152057</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232.71542208</v>
      </c>
      <c r="D213" s="341">
        <f t="shared" ref="D213:AH213" si="124">SUM(D214:D215)</f>
        <v>377.37052707447396</v>
      </c>
      <c r="E213" s="341">
        <f t="shared" si="124"/>
        <v>653.83160492288266</v>
      </c>
      <c r="F213" s="341">
        <f t="shared" si="124"/>
        <v>909.07253524326893</v>
      </c>
      <c r="G213" s="341">
        <f t="shared" si="124"/>
        <v>1505.0531716392634</v>
      </c>
      <c r="H213" s="405">
        <f t="shared" si="124"/>
        <v>610.02768409836904</v>
      </c>
      <c r="I213" s="15">
        <f t="shared" si="124"/>
        <v>867.90372252628094</v>
      </c>
      <c r="J213" s="15">
        <f t="shared" si="124"/>
        <v>1264.3543955970345</v>
      </c>
      <c r="K213" s="15">
        <f t="shared" si="124"/>
        <v>1888.3139444821361</v>
      </c>
      <c r="L213" s="15">
        <f t="shared" si="124"/>
        <v>2833.9154678621071</v>
      </c>
      <c r="M213" s="15">
        <f t="shared" si="124"/>
        <v>4242.00141124118</v>
      </c>
      <c r="N213" s="190">
        <f t="shared" si="124"/>
        <v>6386.8632455559728</v>
      </c>
      <c r="O213" s="15">
        <f t="shared" si="124"/>
        <v>6783.4823369304477</v>
      </c>
      <c r="P213" s="15">
        <f t="shared" si="124"/>
        <v>7203.3536210087932</v>
      </c>
      <c r="Q213" s="15">
        <f t="shared" si="124"/>
        <v>7667.6797431230116</v>
      </c>
      <c r="R213" s="15">
        <f t="shared" si="124"/>
        <v>8126.3647004301956</v>
      </c>
      <c r="S213" s="15">
        <f t="shared" si="124"/>
        <v>8623.1142204953685</v>
      </c>
      <c r="T213" s="15">
        <f t="shared" si="124"/>
        <v>9146.7160754811248</v>
      </c>
      <c r="U213" s="15">
        <f t="shared" si="124"/>
        <v>9679.3879786797443</v>
      </c>
      <c r="V213" s="15">
        <f t="shared" si="124"/>
        <v>10224.613623215828</v>
      </c>
      <c r="W213" s="15">
        <f t="shared" si="124"/>
        <v>10813.657343349381</v>
      </c>
      <c r="X213" s="190">
        <f t="shared" si="124"/>
        <v>11419.924803965128</v>
      </c>
      <c r="Y213" s="130">
        <f t="shared" si="124"/>
        <v>11624.824096811692</v>
      </c>
      <c r="Z213" s="130">
        <f t="shared" si="124"/>
        <v>11823.015280382289</v>
      </c>
      <c r="AA213" s="130">
        <f t="shared" si="124"/>
        <v>12027.842387091692</v>
      </c>
      <c r="AB213" s="130">
        <f t="shared" si="124"/>
        <v>12228.111717382213</v>
      </c>
      <c r="AC213" s="130">
        <f t="shared" si="124"/>
        <v>12418.953889206266</v>
      </c>
      <c r="AD213" s="130">
        <f t="shared" si="124"/>
        <v>12615.754644008191</v>
      </c>
      <c r="AE213" s="130">
        <f t="shared" si="124"/>
        <v>12806.974268821115</v>
      </c>
      <c r="AF213" s="130">
        <f t="shared" si="124"/>
        <v>12992.827257600311</v>
      </c>
      <c r="AG213" s="130">
        <f t="shared" si="124"/>
        <v>13162.988471161781</v>
      </c>
      <c r="AH213" s="190">
        <f t="shared" si="124"/>
        <v>13345.820680367597</v>
      </c>
    </row>
    <row r="214" spans="1:34">
      <c r="A214" t="s">
        <v>397</v>
      </c>
      <c r="C214" s="331">
        <f>C115</f>
        <v>122.4819432</v>
      </c>
      <c r="D214" s="331">
        <f t="shared" ref="D214:AH214" si="125">D115</f>
        <v>198.61624581850913</v>
      </c>
      <c r="E214" s="331">
        <f t="shared" si="125"/>
        <v>344.12211624383218</v>
      </c>
      <c r="F214" s="331">
        <f t="shared" si="125"/>
        <v>478.45946209409612</v>
      </c>
      <c r="G214" s="331">
        <f t="shared" si="125"/>
        <v>792.13355464869653</v>
      </c>
      <c r="H214" s="402">
        <f t="shared" si="125"/>
        <v>321.06734426229951</v>
      </c>
      <c r="I214" s="14">
        <f t="shared" si="125"/>
        <v>456.79160124222528</v>
      </c>
      <c r="J214" s="14">
        <f t="shared" si="125"/>
        <v>665.44988392549647</v>
      </c>
      <c r="K214" s="14">
        <f t="shared" si="125"/>
        <v>993.84969065644668</v>
      </c>
      <c r="L214" s="14">
        <f t="shared" si="125"/>
        <v>1491.5347555958563</v>
      </c>
      <c r="M214" s="14">
        <f t="shared" si="125"/>
        <v>2232.6326806264292</v>
      </c>
      <c r="N214" s="182">
        <f t="shared" si="125"/>
        <v>3361.5074019052331</v>
      </c>
      <c r="O214" s="14">
        <f t="shared" si="125"/>
        <v>3570.2543188397558</v>
      </c>
      <c r="P214" s="14">
        <f t="shared" si="125"/>
        <v>3791.2392335017184</v>
      </c>
      <c r="Q214" s="14">
        <f t="shared" si="125"/>
        <v>4035.6214343373072</v>
      </c>
      <c r="R214" s="14">
        <f t="shared" si="125"/>
        <v>4277.0346006836398</v>
      </c>
      <c r="S214" s="14">
        <f t="shared" si="125"/>
        <v>4538.481749994975</v>
      </c>
      <c r="T214" s="14">
        <f t="shared" si="125"/>
        <v>4814.0617089694551</v>
      </c>
      <c r="U214" s="14">
        <f t="shared" si="125"/>
        <v>5094.4153781410951</v>
      </c>
      <c r="V214" s="14">
        <f t="shared" si="125"/>
        <v>5381.3762804419011</v>
      </c>
      <c r="W214" s="14">
        <f t="shared" si="125"/>
        <v>5691.3993307479313</v>
      </c>
      <c r="X214" s="187">
        <f t="shared" si="125"/>
        <v>6010.4875087846485</v>
      </c>
      <c r="Y214" s="158">
        <f t="shared" si="125"/>
        <v>6118.3292556747392</v>
      </c>
      <c r="Z214" s="158">
        <f t="shared" si="125"/>
        <v>6222.6404182831575</v>
      </c>
      <c r="AA214" s="158">
        <f t="shared" si="125"/>
        <v>6330.444172464614</v>
      </c>
      <c r="AB214" s="158">
        <f t="shared" si="125"/>
        <v>6435.8490966446661</v>
      </c>
      <c r="AC214" s="158">
        <f t="shared" si="125"/>
        <v>6536.2923578384289</v>
      </c>
      <c r="AD214" s="158">
        <f t="shared" si="125"/>
        <v>6639.8717157380233</v>
      </c>
      <c r="AE214" s="158">
        <f t="shared" si="125"/>
        <v>6740.5136364250584</v>
      </c>
      <c r="AF214" s="158">
        <f t="shared" si="125"/>
        <v>6838.3310114694013</v>
      </c>
      <c r="AG214" s="158">
        <f t="shared" si="125"/>
        <v>6927.8895563939477</v>
      </c>
      <c r="AH214" s="187">
        <f t="shared" si="125"/>
        <v>7024.1170472486592</v>
      </c>
    </row>
    <row r="215" spans="1:34">
      <c r="A215" t="s">
        <v>398</v>
      </c>
      <c r="C215" s="331">
        <f>C142</f>
        <v>110.23347887999999</v>
      </c>
      <c r="D215" s="331">
        <f t="shared" ref="D215:AH215" si="126">D142</f>
        <v>178.75428125596483</v>
      </c>
      <c r="E215" s="331">
        <f t="shared" si="126"/>
        <v>309.70948867905048</v>
      </c>
      <c r="F215" s="331">
        <f t="shared" si="126"/>
        <v>430.61307314917286</v>
      </c>
      <c r="G215" s="331">
        <f t="shared" si="126"/>
        <v>712.91961699056674</v>
      </c>
      <c r="H215" s="402">
        <f t="shared" si="126"/>
        <v>288.96033983606952</v>
      </c>
      <c r="I215" s="14">
        <f t="shared" si="126"/>
        <v>411.11212128405566</v>
      </c>
      <c r="J215" s="14">
        <f t="shared" si="126"/>
        <v>598.9045116715381</v>
      </c>
      <c r="K215" s="14">
        <f t="shared" si="126"/>
        <v>894.46425382568941</v>
      </c>
      <c r="L215" s="14">
        <f t="shared" si="126"/>
        <v>1342.3807122662506</v>
      </c>
      <c r="M215" s="14">
        <f t="shared" si="126"/>
        <v>2009.3687306147506</v>
      </c>
      <c r="N215" s="182">
        <f t="shared" si="126"/>
        <v>3025.3558436507396</v>
      </c>
      <c r="O215" s="14">
        <f t="shared" si="126"/>
        <v>3213.2280180906919</v>
      </c>
      <c r="P215" s="14">
        <f t="shared" si="126"/>
        <v>3412.1143875070752</v>
      </c>
      <c r="Q215" s="14">
        <f t="shared" si="126"/>
        <v>3632.0583087857044</v>
      </c>
      <c r="R215" s="14">
        <f t="shared" si="126"/>
        <v>3849.3300997465558</v>
      </c>
      <c r="S215" s="14">
        <f t="shared" si="126"/>
        <v>4084.6324705003935</v>
      </c>
      <c r="T215" s="14">
        <f t="shared" si="126"/>
        <v>4332.6543665116697</v>
      </c>
      <c r="U215" s="14">
        <f t="shared" si="126"/>
        <v>4584.9726005386483</v>
      </c>
      <c r="V215" s="14">
        <f t="shared" si="126"/>
        <v>4843.2373427739267</v>
      </c>
      <c r="W215" s="14">
        <f t="shared" si="126"/>
        <v>5122.25801260145</v>
      </c>
      <c r="X215" s="187">
        <f t="shared" si="126"/>
        <v>5409.4372951804808</v>
      </c>
      <c r="Y215" s="158">
        <f t="shared" si="126"/>
        <v>5506.4948411369533</v>
      </c>
      <c r="Z215" s="158">
        <f t="shared" si="126"/>
        <v>5600.3748620991328</v>
      </c>
      <c r="AA215" s="158">
        <f t="shared" si="126"/>
        <v>5697.3982146270791</v>
      </c>
      <c r="AB215" s="158">
        <f t="shared" si="126"/>
        <v>5792.2626207375479</v>
      </c>
      <c r="AC215" s="158">
        <f t="shared" si="126"/>
        <v>5882.6615313678376</v>
      </c>
      <c r="AD215" s="158">
        <f t="shared" si="126"/>
        <v>5975.8829282701681</v>
      </c>
      <c r="AE215" s="158">
        <f t="shared" si="126"/>
        <v>6066.460632396057</v>
      </c>
      <c r="AF215" s="158">
        <f t="shared" si="126"/>
        <v>6154.4962461309087</v>
      </c>
      <c r="AG215" s="158">
        <f t="shared" si="126"/>
        <v>6235.0989147678338</v>
      </c>
      <c r="AH215" s="187">
        <f t="shared" si="126"/>
        <v>6321.7036331189365</v>
      </c>
    </row>
    <row r="216" spans="1:34">
      <c r="A216" t="s">
        <v>399</v>
      </c>
      <c r="C216" s="331">
        <f>SUM(C217:C218)</f>
        <v>4195.27315</v>
      </c>
      <c r="D216" s="331">
        <f t="shared" ref="D216:AH216" si="127">SUM(D217:D218)</f>
        <v>4359.7629704583887</v>
      </c>
      <c r="E216" s="331">
        <f t="shared" si="127"/>
        <v>4401.1746730284303</v>
      </c>
      <c r="F216" s="331">
        <f t="shared" si="127"/>
        <v>3864.7830424715539</v>
      </c>
      <c r="G216" s="331">
        <f t="shared" si="127"/>
        <v>4191.8247027741872</v>
      </c>
      <c r="H216" s="402">
        <f t="shared" si="127"/>
        <v>4117.0275412662504</v>
      </c>
      <c r="I216" s="14">
        <f t="shared" si="127"/>
        <v>4021.9280300696696</v>
      </c>
      <c r="J216" s="14">
        <f t="shared" si="127"/>
        <v>3979.9842113099139</v>
      </c>
      <c r="K216" s="14">
        <f t="shared" si="127"/>
        <v>3997.9425637104705</v>
      </c>
      <c r="L216" s="14">
        <f t="shared" si="127"/>
        <v>3999.3073718284704</v>
      </c>
      <c r="M216" s="14">
        <f t="shared" si="127"/>
        <v>3957.9163014515834</v>
      </c>
      <c r="N216" s="190">
        <f t="shared" si="127"/>
        <v>3911.1088499388934</v>
      </c>
      <c r="O216" s="14">
        <f t="shared" si="127"/>
        <v>3921.1813677692799</v>
      </c>
      <c r="P216" s="14">
        <f t="shared" si="127"/>
        <v>3930.4937252120462</v>
      </c>
      <c r="Q216" s="14">
        <f t="shared" si="127"/>
        <v>3949.3047617573329</v>
      </c>
      <c r="R216" s="14">
        <f t="shared" si="127"/>
        <v>3950.8764843060558</v>
      </c>
      <c r="S216" s="15">
        <f t="shared" si="127"/>
        <v>3957.2899124698697</v>
      </c>
      <c r="T216" s="14">
        <f t="shared" si="127"/>
        <v>3962.1564076041982</v>
      </c>
      <c r="U216" s="14">
        <f t="shared" si="127"/>
        <v>3957.7019232189487</v>
      </c>
      <c r="V216" s="14">
        <f t="shared" si="127"/>
        <v>3946.0893198205026</v>
      </c>
      <c r="W216" s="14">
        <f t="shared" si="127"/>
        <v>3939.2492659224749</v>
      </c>
      <c r="X216" s="187">
        <f t="shared" si="127"/>
        <v>3926.6388893974372</v>
      </c>
      <c r="Y216" s="158">
        <f t="shared" si="127"/>
        <v>3936.7561114256464</v>
      </c>
      <c r="Z216" s="158">
        <f t="shared" si="127"/>
        <v>3943.4221561120712</v>
      </c>
      <c r="AA216" s="158">
        <f t="shared" si="127"/>
        <v>3951.1557100847067</v>
      </c>
      <c r="AB216" s="158">
        <f t="shared" si="127"/>
        <v>3956.2679543096683</v>
      </c>
      <c r="AC216" s="158">
        <f t="shared" si="127"/>
        <v>3957.3064409111839</v>
      </c>
      <c r="AD216" s="158">
        <f t="shared" si="127"/>
        <v>3959.2665942366807</v>
      </c>
      <c r="AE216" s="158">
        <f t="shared" si="127"/>
        <v>3958.5247471023272</v>
      </c>
      <c r="AF216" s="158">
        <f t="shared" si="127"/>
        <v>3955.2530441564168</v>
      </c>
      <c r="AG216" s="158">
        <f t="shared" si="127"/>
        <v>3946.4567863589082</v>
      </c>
      <c r="AH216" s="187">
        <f t="shared" si="127"/>
        <v>3940.7495251912037</v>
      </c>
    </row>
    <row r="217" spans="1:34">
      <c r="A217" t="s">
        <v>400</v>
      </c>
      <c r="C217" s="331">
        <f>C114</f>
        <v>2208.0385000000001</v>
      </c>
      <c r="D217" s="331">
        <f t="shared" ref="D217:AH217" si="128">D114</f>
        <v>2294.6120897149412</v>
      </c>
      <c r="E217" s="331">
        <f t="shared" si="128"/>
        <v>2316.4077226465424</v>
      </c>
      <c r="F217" s="331">
        <f t="shared" si="128"/>
        <v>2034.0963381429231</v>
      </c>
      <c r="G217" s="331">
        <f t="shared" si="128"/>
        <v>2206.2235277758882</v>
      </c>
      <c r="H217" s="402">
        <f t="shared" si="128"/>
        <v>2166.8566006664478</v>
      </c>
      <c r="I217" s="14">
        <f t="shared" si="128"/>
        <v>2116.8042263524576</v>
      </c>
      <c r="J217" s="14">
        <f t="shared" si="128"/>
        <v>2094.7285322683756</v>
      </c>
      <c r="K217" s="14">
        <f t="shared" si="128"/>
        <v>2104.1802966897212</v>
      </c>
      <c r="L217" s="14">
        <f t="shared" si="128"/>
        <v>2104.8986167518265</v>
      </c>
      <c r="M217" s="14">
        <f t="shared" si="128"/>
        <v>2083.1138428692543</v>
      </c>
      <c r="N217" s="187">
        <f t="shared" si="128"/>
        <v>2058.4783420731019</v>
      </c>
      <c r="O217" s="14">
        <f t="shared" si="128"/>
        <v>2063.7796672469894</v>
      </c>
      <c r="P217" s="14">
        <f t="shared" si="128"/>
        <v>2068.6809080063399</v>
      </c>
      <c r="Q217" s="14">
        <f t="shared" si="128"/>
        <v>2078.5814535564909</v>
      </c>
      <c r="R217" s="14">
        <f t="shared" si="128"/>
        <v>2079.4086759505558</v>
      </c>
      <c r="S217" s="14">
        <f t="shared" si="128"/>
        <v>2082.7841644578261</v>
      </c>
      <c r="T217" s="14">
        <f t="shared" si="128"/>
        <v>2085.3454776864201</v>
      </c>
      <c r="U217" s="14">
        <f t="shared" si="128"/>
        <v>2083.0010122204994</v>
      </c>
      <c r="V217" s="14">
        <f t="shared" si="128"/>
        <v>2076.8891156950012</v>
      </c>
      <c r="W217" s="14">
        <f t="shared" si="128"/>
        <v>2073.2890873276183</v>
      </c>
      <c r="X217" s="187">
        <f t="shared" si="128"/>
        <v>2066.6520470512828</v>
      </c>
      <c r="Y217" s="158">
        <f t="shared" si="128"/>
        <v>2071.9769007503401</v>
      </c>
      <c r="Z217" s="158">
        <f t="shared" si="128"/>
        <v>2075.4853453221426</v>
      </c>
      <c r="AA217" s="158">
        <f t="shared" si="128"/>
        <v>2079.5556368866878</v>
      </c>
      <c r="AB217" s="158">
        <f t="shared" si="128"/>
        <v>2082.2462917419307</v>
      </c>
      <c r="AC217" s="158">
        <f t="shared" si="128"/>
        <v>2082.792863637465</v>
      </c>
      <c r="AD217" s="158">
        <f t="shared" si="128"/>
        <v>2083.8245232824634</v>
      </c>
      <c r="AE217" s="158">
        <f t="shared" si="128"/>
        <v>2083.4340774222774</v>
      </c>
      <c r="AF217" s="158">
        <f t="shared" si="128"/>
        <v>2081.7121285033772</v>
      </c>
      <c r="AG217" s="158">
        <f t="shared" si="128"/>
        <v>2077.0825191362674</v>
      </c>
      <c r="AH217" s="187">
        <f t="shared" si="128"/>
        <v>2074.0786974690545</v>
      </c>
    </row>
    <row r="218" spans="1:34">
      <c r="A218" t="s">
        <v>401</v>
      </c>
      <c r="C218" s="331">
        <f>C141</f>
        <v>1987.2346500000001</v>
      </c>
      <c r="D218" s="331">
        <f t="shared" ref="D218:AH218" si="129">D141</f>
        <v>2065.150880743447</v>
      </c>
      <c r="E218" s="331">
        <f t="shared" si="129"/>
        <v>2084.7669503818884</v>
      </c>
      <c r="F218" s="331">
        <f t="shared" si="129"/>
        <v>1830.6867043286306</v>
      </c>
      <c r="G218" s="331">
        <f t="shared" si="129"/>
        <v>1985.6011749982995</v>
      </c>
      <c r="H218" s="402">
        <f t="shared" si="129"/>
        <v>1950.1709405998029</v>
      </c>
      <c r="I218" s="14">
        <f t="shared" si="129"/>
        <v>1905.123803717212</v>
      </c>
      <c r="J218" s="14">
        <f t="shared" si="129"/>
        <v>1885.2556790415381</v>
      </c>
      <c r="K218" s="14">
        <f t="shared" si="129"/>
        <v>1893.7622670207493</v>
      </c>
      <c r="L218" s="14">
        <f t="shared" si="129"/>
        <v>1894.4087550766437</v>
      </c>
      <c r="M218" s="14">
        <f t="shared" si="129"/>
        <v>1874.8024585823289</v>
      </c>
      <c r="N218" s="187">
        <f t="shared" si="129"/>
        <v>1852.6305078657917</v>
      </c>
      <c r="O218" s="14">
        <f t="shared" si="129"/>
        <v>1857.4017005222906</v>
      </c>
      <c r="P218" s="14">
        <f t="shared" si="129"/>
        <v>1861.8128172057061</v>
      </c>
      <c r="Q218" s="14">
        <f t="shared" si="129"/>
        <v>1870.7233082008418</v>
      </c>
      <c r="R218" s="14">
        <f t="shared" si="129"/>
        <v>1871.4678083555</v>
      </c>
      <c r="S218" s="14">
        <f t="shared" si="129"/>
        <v>1874.5057480120436</v>
      </c>
      <c r="T218" s="14">
        <f t="shared" si="129"/>
        <v>1876.8109299177781</v>
      </c>
      <c r="U218" s="14">
        <f t="shared" si="129"/>
        <v>1874.7009109984494</v>
      </c>
      <c r="V218" s="14">
        <f t="shared" si="129"/>
        <v>1869.2002041255014</v>
      </c>
      <c r="W218" s="14">
        <f t="shared" si="129"/>
        <v>1865.9601785948566</v>
      </c>
      <c r="X218" s="187">
        <f t="shared" si="129"/>
        <v>1859.9868423461546</v>
      </c>
      <c r="Y218" s="158">
        <f t="shared" si="129"/>
        <v>1864.7792106753063</v>
      </c>
      <c r="Z218" s="158">
        <f t="shared" si="129"/>
        <v>1867.9368107899286</v>
      </c>
      <c r="AA218" s="158">
        <f t="shared" si="129"/>
        <v>1871.6000731980191</v>
      </c>
      <c r="AB218" s="158">
        <f t="shared" si="129"/>
        <v>1874.0216625677376</v>
      </c>
      <c r="AC218" s="158">
        <f t="shared" si="129"/>
        <v>1874.5135772737187</v>
      </c>
      <c r="AD218" s="158">
        <f t="shared" si="129"/>
        <v>1875.4420709542173</v>
      </c>
      <c r="AE218" s="158">
        <f t="shared" si="129"/>
        <v>1875.0906696800498</v>
      </c>
      <c r="AF218" s="158">
        <f t="shared" si="129"/>
        <v>1873.5409156530395</v>
      </c>
      <c r="AG218" s="158">
        <f t="shared" si="129"/>
        <v>1869.3742672226408</v>
      </c>
      <c r="AH218" s="187">
        <f t="shared" si="129"/>
        <v>1866.6708277221492</v>
      </c>
    </row>
    <row r="219" spans="1:34" s="1" customFormat="1">
      <c r="A219" s="1" t="s">
        <v>393</v>
      </c>
      <c r="B219" s="13"/>
      <c r="C219" s="341">
        <f>SUM(C220:C221)</f>
        <v>24738.819605279998</v>
      </c>
      <c r="D219" s="341">
        <f t="shared" ref="D219:AH219" si="130">SUM(D220:D221)</f>
        <v>26032.317289483599</v>
      </c>
      <c r="E219" s="341">
        <f t="shared" si="130"/>
        <v>26578.698543344384</v>
      </c>
      <c r="F219" s="341">
        <f t="shared" si="130"/>
        <v>23604.105413680223</v>
      </c>
      <c r="G219" s="341">
        <f t="shared" si="130"/>
        <v>25865.866904217841</v>
      </c>
      <c r="H219" s="405">
        <f t="shared" si="130"/>
        <v>26379.886036418407</v>
      </c>
      <c r="I219" s="15">
        <f t="shared" si="130"/>
        <v>26093.810400990056</v>
      </c>
      <c r="J219" s="15">
        <f t="shared" si="130"/>
        <v>26106.557304987662</v>
      </c>
      <c r="K219" s="15">
        <f t="shared" si="130"/>
        <v>26434.559195393835</v>
      </c>
      <c r="L219" s="15">
        <f t="shared" si="130"/>
        <v>26536.492207455063</v>
      </c>
      <c r="M219" s="15">
        <f t="shared" si="130"/>
        <v>26162.908157295715</v>
      </c>
      <c r="N219" s="190">
        <f t="shared" si="130"/>
        <v>25449.789785527981</v>
      </c>
      <c r="O219" s="15">
        <f t="shared" si="130"/>
        <v>25456.303267027259</v>
      </c>
      <c r="P219" s="15">
        <f t="shared" si="130"/>
        <v>25449.621842817956</v>
      </c>
      <c r="Q219" s="15">
        <f t="shared" si="130"/>
        <v>25496.00381780661</v>
      </c>
      <c r="R219" s="15">
        <f t="shared" si="130"/>
        <v>25421.576455762955</v>
      </c>
      <c r="S219" s="15">
        <f t="shared" si="130"/>
        <v>25367.807894205842</v>
      </c>
      <c r="T219" s="15">
        <f t="shared" si="130"/>
        <v>25293.173886643999</v>
      </c>
      <c r="U219" s="15">
        <f t="shared" si="130"/>
        <v>25146.859621313073</v>
      </c>
      <c r="V219" s="15">
        <f t="shared" si="130"/>
        <v>24943.018811726066</v>
      </c>
      <c r="W219" s="15">
        <f t="shared" si="130"/>
        <v>24756.798862648</v>
      </c>
      <c r="X219" s="190">
        <f t="shared" si="130"/>
        <v>24520.359083627016</v>
      </c>
      <c r="Y219" s="130">
        <f t="shared" si="130"/>
        <v>24575.408932411076</v>
      </c>
      <c r="Z219" s="130">
        <f t="shared" si="130"/>
        <v>24607.389174112577</v>
      </c>
      <c r="AA219" s="130">
        <f t="shared" si="130"/>
        <v>24644.677423490051</v>
      </c>
      <c r="AB219" s="130">
        <f t="shared" si="130"/>
        <v>24664.375727856823</v>
      </c>
      <c r="AC219" s="130">
        <f t="shared" si="130"/>
        <v>24657.926116676193</v>
      </c>
      <c r="AD219" s="130">
        <f t="shared" si="130"/>
        <v>24656.305061714345</v>
      </c>
      <c r="AE219" s="130">
        <f t="shared" si="130"/>
        <v>24636.744369853634</v>
      </c>
      <c r="AF219" s="130">
        <f t="shared" si="130"/>
        <v>24600.447077290657</v>
      </c>
      <c r="AG219" s="130">
        <f t="shared" si="130"/>
        <v>24528.410495059299</v>
      </c>
      <c r="AH219" s="190">
        <f t="shared" si="130"/>
        <v>24475.023255246382</v>
      </c>
    </row>
    <row r="220" spans="1:34">
      <c r="A220" t="s">
        <v>402</v>
      </c>
      <c r="C220" s="331">
        <f>SUM(C116:C117)</f>
        <v>13020.431371199998</v>
      </c>
      <c r="D220" s="331">
        <f t="shared" ref="D220:AH220" si="131">SUM(D116:D117)</f>
        <v>13701.219626044</v>
      </c>
      <c r="E220" s="331">
        <f t="shared" si="131"/>
        <v>13988.788707023359</v>
      </c>
      <c r="F220" s="331">
        <f t="shared" si="131"/>
        <v>12423.21337562117</v>
      </c>
      <c r="G220" s="331">
        <f t="shared" si="131"/>
        <v>13613.614160114652</v>
      </c>
      <c r="H220" s="402">
        <f t="shared" si="131"/>
        <v>13884.150545483371</v>
      </c>
      <c r="I220" s="14">
        <f t="shared" si="131"/>
        <v>13733.584421573714</v>
      </c>
      <c r="J220" s="14">
        <f t="shared" si="131"/>
        <v>13740.293318414559</v>
      </c>
      <c r="K220" s="14">
        <f t="shared" si="131"/>
        <v>13912.925892312545</v>
      </c>
      <c r="L220" s="14">
        <f t="shared" si="131"/>
        <v>13966.574846028981</v>
      </c>
      <c r="M220" s="14">
        <f t="shared" si="131"/>
        <v>13769.951661734587</v>
      </c>
      <c r="N220" s="187">
        <f t="shared" si="131"/>
        <v>13394.626202909463</v>
      </c>
      <c r="O220" s="14">
        <f t="shared" si="131"/>
        <v>13398.054351066978</v>
      </c>
      <c r="P220" s="14">
        <f t="shared" si="131"/>
        <v>13394.53781200945</v>
      </c>
      <c r="Q220" s="14">
        <f t="shared" si="131"/>
        <v>13418.949377792951</v>
      </c>
      <c r="R220" s="14">
        <f t="shared" si="131"/>
        <v>13379.777081980503</v>
      </c>
      <c r="S220" s="14">
        <f t="shared" si="131"/>
        <v>13351.477839055706</v>
      </c>
      <c r="T220" s="14">
        <f t="shared" si="131"/>
        <v>13312.196782444209</v>
      </c>
      <c r="U220" s="14">
        <f t="shared" si="131"/>
        <v>13235.189274375301</v>
      </c>
      <c r="V220" s="14">
        <f t="shared" si="131"/>
        <v>13127.90463775056</v>
      </c>
      <c r="W220" s="14">
        <f t="shared" si="131"/>
        <v>13029.894138235788</v>
      </c>
      <c r="X220" s="187">
        <f t="shared" si="131"/>
        <v>12905.452149277377</v>
      </c>
      <c r="Y220" s="158">
        <f t="shared" si="131"/>
        <v>12934.425753900567</v>
      </c>
      <c r="Z220" s="158">
        <f t="shared" si="131"/>
        <v>12951.257460059251</v>
      </c>
      <c r="AA220" s="158">
        <f t="shared" si="131"/>
        <v>12970.882854468447</v>
      </c>
      <c r="AB220" s="158">
        <f t="shared" si="131"/>
        <v>12981.250383082539</v>
      </c>
      <c r="AC220" s="158">
        <f t="shared" si="131"/>
        <v>12977.855850882208</v>
      </c>
      <c r="AD220" s="158">
        <f t="shared" si="131"/>
        <v>12977.002664060183</v>
      </c>
      <c r="AE220" s="158">
        <f t="shared" si="131"/>
        <v>12966.707563080859</v>
      </c>
      <c r="AF220" s="158">
        <f t="shared" si="131"/>
        <v>12947.603724889819</v>
      </c>
      <c r="AG220" s="158">
        <f t="shared" si="131"/>
        <v>12909.689734241736</v>
      </c>
      <c r="AH220" s="187">
        <f t="shared" si="131"/>
        <v>12881.59118697178</v>
      </c>
    </row>
    <row r="221" spans="1:34">
      <c r="A221" t="s">
        <v>403</v>
      </c>
      <c r="C221" s="331">
        <f>SUM(C143:C144)</f>
        <v>11718.388234079999</v>
      </c>
      <c r="D221" s="331">
        <f t="shared" ref="D221:AH221" si="132">SUM(D143:D144)</f>
        <v>12331.097663439599</v>
      </c>
      <c r="E221" s="331">
        <f t="shared" si="132"/>
        <v>12589.909836321023</v>
      </c>
      <c r="F221" s="331">
        <f t="shared" si="132"/>
        <v>11180.892038059053</v>
      </c>
      <c r="G221" s="331">
        <f t="shared" si="132"/>
        <v>12252.252744103189</v>
      </c>
      <c r="H221" s="402">
        <f t="shared" si="132"/>
        <v>12495.735490935034</v>
      </c>
      <c r="I221" s="14">
        <f t="shared" si="132"/>
        <v>12360.225979416344</v>
      </c>
      <c r="J221" s="14">
        <f t="shared" si="132"/>
        <v>12366.263986573102</v>
      </c>
      <c r="K221" s="14">
        <f t="shared" si="132"/>
        <v>12521.633303081291</v>
      </c>
      <c r="L221" s="14">
        <f t="shared" si="132"/>
        <v>12569.917361426084</v>
      </c>
      <c r="M221" s="14">
        <f t="shared" si="132"/>
        <v>12392.956495561128</v>
      </c>
      <c r="N221" s="187">
        <f t="shared" si="132"/>
        <v>12055.163582618517</v>
      </c>
      <c r="O221" s="14">
        <f t="shared" si="132"/>
        <v>12058.248915960281</v>
      </c>
      <c r="P221" s="14">
        <f t="shared" si="132"/>
        <v>12055.084030808504</v>
      </c>
      <c r="Q221" s="14">
        <f t="shared" si="132"/>
        <v>12077.054440013657</v>
      </c>
      <c r="R221" s="14">
        <f t="shared" si="132"/>
        <v>12041.799373782453</v>
      </c>
      <c r="S221" s="14">
        <f t="shared" si="132"/>
        <v>12016.330055150134</v>
      </c>
      <c r="T221" s="14">
        <f t="shared" si="132"/>
        <v>11980.977104199788</v>
      </c>
      <c r="U221" s="14">
        <f t="shared" si="132"/>
        <v>11911.670346937774</v>
      </c>
      <c r="V221" s="14">
        <f t="shared" si="132"/>
        <v>11815.114173975506</v>
      </c>
      <c r="W221" s="14">
        <f t="shared" si="132"/>
        <v>11726.90472441221</v>
      </c>
      <c r="X221" s="187">
        <f t="shared" si="132"/>
        <v>11614.906934349638</v>
      </c>
      <c r="Y221" s="158">
        <f t="shared" si="132"/>
        <v>11640.983178510511</v>
      </c>
      <c r="Z221" s="158">
        <f t="shared" si="132"/>
        <v>11656.131714053325</v>
      </c>
      <c r="AA221" s="158">
        <f t="shared" si="132"/>
        <v>11673.794569021602</v>
      </c>
      <c r="AB221" s="158">
        <f t="shared" si="132"/>
        <v>11683.125344774286</v>
      </c>
      <c r="AC221" s="158">
        <f t="shared" si="132"/>
        <v>11680.070265793987</v>
      </c>
      <c r="AD221" s="158">
        <f t="shared" si="132"/>
        <v>11679.302397654164</v>
      </c>
      <c r="AE221" s="158">
        <f t="shared" si="132"/>
        <v>11670.036806772774</v>
      </c>
      <c r="AF221" s="158">
        <f t="shared" si="132"/>
        <v>11652.843352400836</v>
      </c>
      <c r="AG221" s="158">
        <f t="shared" si="132"/>
        <v>11618.720760817563</v>
      </c>
      <c r="AH221" s="187">
        <f t="shared" si="132"/>
        <v>11593.432068274602</v>
      </c>
    </row>
    <row r="222" spans="1:34">
      <c r="A222" s="1" t="s">
        <v>425</v>
      </c>
      <c r="C222" s="331">
        <f>SUM(C210,C213,C216,C219)</f>
        <v>29166.808177359999</v>
      </c>
      <c r="D222" s="331">
        <f t="shared" ref="D222:AH222" si="133">SUM(D210,D213,D216,D219)</f>
        <v>30769.45078701646</v>
      </c>
      <c r="E222" s="331">
        <f t="shared" si="133"/>
        <v>31633.704821295698</v>
      </c>
      <c r="F222" s="331">
        <f t="shared" si="133"/>
        <v>28377.960991395048</v>
      </c>
      <c r="G222" s="331">
        <f t="shared" si="133"/>
        <v>31562.744778631291</v>
      </c>
      <c r="H222" s="402">
        <f t="shared" si="133"/>
        <v>31106.941261783028</v>
      </c>
      <c r="I222" s="14">
        <f t="shared" si="133"/>
        <v>30983.642153586006</v>
      </c>
      <c r="J222" s="14">
        <f t="shared" si="133"/>
        <v>31350.895911894611</v>
      </c>
      <c r="K222" s="14">
        <f t="shared" si="133"/>
        <v>32320.815703586442</v>
      </c>
      <c r="L222" s="14">
        <f t="shared" si="133"/>
        <v>33369.715047145641</v>
      </c>
      <c r="M222" s="14">
        <f t="shared" si="133"/>
        <v>34362.825869988475</v>
      </c>
      <c r="N222" s="187">
        <f t="shared" si="133"/>
        <v>35747.761881022845</v>
      </c>
      <c r="O222" s="14">
        <f t="shared" si="133"/>
        <v>36160.966971726986</v>
      </c>
      <c r="P222" s="14">
        <f t="shared" si="133"/>
        <v>36583.469189038791</v>
      </c>
      <c r="Q222" s="14">
        <f t="shared" si="133"/>
        <v>37112.988322686957</v>
      </c>
      <c r="R222" s="14">
        <f t="shared" si="133"/>
        <v>37498.817640499205</v>
      </c>
      <c r="S222" s="14">
        <f t="shared" si="133"/>
        <v>37948.212027171081</v>
      </c>
      <c r="T222" s="14">
        <f t="shared" si="133"/>
        <v>38402.046369729323</v>
      </c>
      <c r="U222" s="14">
        <f t="shared" si="133"/>
        <v>38783.949523211762</v>
      </c>
      <c r="V222" s="14">
        <f t="shared" si="133"/>
        <v>39113.721754762395</v>
      </c>
      <c r="W222" s="14">
        <f t="shared" si="133"/>
        <v>39509.705471919857</v>
      </c>
      <c r="X222" s="187">
        <f t="shared" si="133"/>
        <v>39866.922776989581</v>
      </c>
      <c r="Y222" s="158">
        <f t="shared" si="133"/>
        <v>40136.989140648409</v>
      </c>
      <c r="Z222" s="158">
        <f t="shared" si="133"/>
        <v>40373.826610606935</v>
      </c>
      <c r="AA222" s="158">
        <f t="shared" si="133"/>
        <v>40623.675520666453</v>
      </c>
      <c r="AB222" s="158">
        <f t="shared" si="133"/>
        <v>40848.755399548703</v>
      </c>
      <c r="AC222" s="158">
        <f t="shared" si="133"/>
        <v>41034.186446793639</v>
      </c>
      <c r="AD222" s="158">
        <f t="shared" si="133"/>
        <v>41231.326299959219</v>
      </c>
      <c r="AE222" s="158">
        <f t="shared" si="133"/>
        <v>41402.243385777081</v>
      </c>
      <c r="AF222" s="158">
        <f t="shared" si="133"/>
        <v>41548.527379047388</v>
      </c>
      <c r="AG222" s="158">
        <f t="shared" si="133"/>
        <v>41637.855752579984</v>
      </c>
      <c r="AH222" s="187">
        <f t="shared" si="133"/>
        <v>41761.593460805183</v>
      </c>
    </row>
    <row r="223" spans="1:34" s="1" customFormat="1">
      <c r="A223" s="1" t="s">
        <v>443</v>
      </c>
      <c r="B223" s="13"/>
      <c r="C223" s="328" t="s">
        <v>0</v>
      </c>
      <c r="D223" s="341">
        <f>D210+D213</f>
        <v>377.37052707447396</v>
      </c>
      <c r="E223" s="341">
        <f t="shared" ref="E223:AH223" si="134">E210+E213</f>
        <v>653.83160492288266</v>
      </c>
      <c r="F223" s="341">
        <f t="shared" si="134"/>
        <v>909.07253524326893</v>
      </c>
      <c r="G223" s="341">
        <f t="shared" si="134"/>
        <v>1505.0531716392634</v>
      </c>
      <c r="H223" s="405">
        <f>H210+H213</f>
        <v>610.02768409836904</v>
      </c>
      <c r="I223" s="15">
        <f t="shared" si="134"/>
        <v>867.90372252628094</v>
      </c>
      <c r="J223" s="15">
        <f t="shared" si="134"/>
        <v>1264.3543955970345</v>
      </c>
      <c r="K223" s="15">
        <f t="shared" si="134"/>
        <v>1888.3139444821361</v>
      </c>
      <c r="L223" s="15">
        <f t="shared" si="134"/>
        <v>2833.9154678621071</v>
      </c>
      <c r="M223" s="15">
        <f t="shared" si="134"/>
        <v>4242.00141124118</v>
      </c>
      <c r="N223" s="190">
        <f t="shared" si="134"/>
        <v>6386.8632455559728</v>
      </c>
      <c r="O223" s="15">
        <f t="shared" si="134"/>
        <v>6783.4823369304477</v>
      </c>
      <c r="P223" s="15">
        <f t="shared" si="134"/>
        <v>7203.3536210087932</v>
      </c>
      <c r="Q223" s="15">
        <f t="shared" si="134"/>
        <v>7667.6797431230116</v>
      </c>
      <c r="R223" s="15">
        <f t="shared" si="134"/>
        <v>8126.3647004301956</v>
      </c>
      <c r="S223" s="15">
        <f t="shared" si="134"/>
        <v>8623.1142204953685</v>
      </c>
      <c r="T223" s="15">
        <f t="shared" si="134"/>
        <v>9146.7160754811248</v>
      </c>
      <c r="U223" s="15">
        <f t="shared" si="134"/>
        <v>9679.3879786797443</v>
      </c>
      <c r="V223" s="15">
        <f t="shared" si="134"/>
        <v>10224.613623215828</v>
      </c>
      <c r="W223" s="15">
        <f t="shared" si="134"/>
        <v>10813.657343349381</v>
      </c>
      <c r="X223" s="190">
        <f t="shared" si="134"/>
        <v>11419.924803965128</v>
      </c>
      <c r="Y223" s="130">
        <f t="shared" si="134"/>
        <v>11624.824096811692</v>
      </c>
      <c r="Z223" s="130">
        <f t="shared" si="134"/>
        <v>11823.015280382289</v>
      </c>
      <c r="AA223" s="130">
        <f t="shared" si="134"/>
        <v>12027.842387091692</v>
      </c>
      <c r="AB223" s="130">
        <f t="shared" si="134"/>
        <v>12228.111717382213</v>
      </c>
      <c r="AC223" s="130">
        <f t="shared" si="134"/>
        <v>12418.953889206266</v>
      </c>
      <c r="AD223" s="130">
        <f t="shared" si="134"/>
        <v>12615.754644008191</v>
      </c>
      <c r="AE223" s="130">
        <f t="shared" si="134"/>
        <v>12806.974268821115</v>
      </c>
      <c r="AF223" s="130">
        <f t="shared" si="134"/>
        <v>12992.827257600311</v>
      </c>
      <c r="AG223" s="130">
        <f t="shared" si="134"/>
        <v>13162.988471161781</v>
      </c>
      <c r="AH223" s="190">
        <f t="shared" si="134"/>
        <v>13345.820680367597</v>
      </c>
    </row>
    <row r="224" spans="1:34">
      <c r="A224" t="s">
        <v>446</v>
      </c>
      <c r="D224" s="331">
        <f>D210+D213+D216</f>
        <v>4737.1334975328627</v>
      </c>
      <c r="E224" s="331">
        <f t="shared" ref="E224:AH224" si="135">E210+E213+E216</f>
        <v>5055.0062779513128</v>
      </c>
      <c r="F224" s="331">
        <f t="shared" si="135"/>
        <v>4773.8555777148231</v>
      </c>
      <c r="G224" s="331">
        <f t="shared" si="135"/>
        <v>5696.8778744134506</v>
      </c>
      <c r="H224" s="402">
        <f t="shared" si="135"/>
        <v>4727.0552253646192</v>
      </c>
      <c r="I224" s="14">
        <f t="shared" si="135"/>
        <v>4889.8317525959501</v>
      </c>
      <c r="J224" s="14">
        <f t="shared" si="135"/>
        <v>5244.3386069069484</v>
      </c>
      <c r="K224" s="14">
        <f t="shared" si="135"/>
        <v>5886.2565081926068</v>
      </c>
      <c r="L224" s="14">
        <f t="shared" si="135"/>
        <v>6833.2228396905775</v>
      </c>
      <c r="M224" s="14">
        <f t="shared" si="135"/>
        <v>8199.9177126927643</v>
      </c>
      <c r="N224" s="187">
        <f t="shared" si="135"/>
        <v>10297.972095494866</v>
      </c>
      <c r="O224" s="14">
        <f t="shared" si="135"/>
        <v>10704.663704699728</v>
      </c>
      <c r="P224" s="14">
        <f t="shared" si="135"/>
        <v>11133.847346220839</v>
      </c>
      <c r="Q224" s="14">
        <f t="shared" si="135"/>
        <v>11616.984504880344</v>
      </c>
      <c r="R224" s="14">
        <f t="shared" si="135"/>
        <v>12077.241184736251</v>
      </c>
      <c r="S224" s="14">
        <f t="shared" si="135"/>
        <v>12580.404132965239</v>
      </c>
      <c r="T224" s="14">
        <f t="shared" si="135"/>
        <v>13108.872483085323</v>
      </c>
      <c r="U224" s="14">
        <f t="shared" si="135"/>
        <v>13637.089901898693</v>
      </c>
      <c r="V224" s="14">
        <f t="shared" si="135"/>
        <v>14170.702943036331</v>
      </c>
      <c r="W224" s="14">
        <f t="shared" si="135"/>
        <v>14752.906609271857</v>
      </c>
      <c r="X224" s="187">
        <f t="shared" si="135"/>
        <v>15346.563693362565</v>
      </c>
      <c r="Y224" s="158">
        <f t="shared" si="135"/>
        <v>15561.580208237338</v>
      </c>
      <c r="Z224" s="158">
        <f t="shared" si="135"/>
        <v>15766.437436494361</v>
      </c>
      <c r="AA224" s="158">
        <f t="shared" si="135"/>
        <v>15978.998097176398</v>
      </c>
      <c r="AB224" s="158">
        <f t="shared" si="135"/>
        <v>16184.379671691881</v>
      </c>
      <c r="AC224" s="158">
        <f t="shared" si="135"/>
        <v>16376.260330117449</v>
      </c>
      <c r="AD224" s="158">
        <f t="shared" si="135"/>
        <v>16575.021238244874</v>
      </c>
      <c r="AE224" s="158">
        <f t="shared" si="135"/>
        <v>16765.499015923444</v>
      </c>
      <c r="AF224" s="158">
        <f t="shared" si="135"/>
        <v>16948.080301756727</v>
      </c>
      <c r="AG224" s="158">
        <f t="shared" si="135"/>
        <v>17109.445257520689</v>
      </c>
      <c r="AH224" s="187">
        <f t="shared" si="135"/>
        <v>17286.570205558801</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377.37052707447396</v>
      </c>
      <c r="E226" s="331">
        <f>D226+E210+E213</f>
        <v>1031.2021319973567</v>
      </c>
      <c r="F226" s="331">
        <f>E226+F210+F213</f>
        <v>1940.2746672406256</v>
      </c>
      <c r="G226" s="331">
        <f>F226+G210+G213</f>
        <v>3445.327838879889</v>
      </c>
      <c r="H226" s="402">
        <f t="shared" ref="H226:X226" si="136">G226+H210+H213</f>
        <v>4055.3555229782578</v>
      </c>
      <c r="I226" s="14">
        <f t="shared" si="136"/>
        <v>4923.2592455045387</v>
      </c>
      <c r="J226" s="14">
        <f t="shared" si="136"/>
        <v>6187.6136411015732</v>
      </c>
      <c r="K226" s="14">
        <f t="shared" si="136"/>
        <v>8075.9275855837095</v>
      </c>
      <c r="L226" s="14">
        <f t="shared" si="136"/>
        <v>10909.843053445817</v>
      </c>
      <c r="M226" s="14">
        <f t="shared" si="136"/>
        <v>15151.844464686998</v>
      </c>
      <c r="N226" s="187">
        <f t="shared" si="136"/>
        <v>21538.707710242968</v>
      </c>
      <c r="O226" s="14">
        <f t="shared" si="136"/>
        <v>28322.190047173415</v>
      </c>
      <c r="P226" s="14">
        <f t="shared" si="136"/>
        <v>35525.54366818221</v>
      </c>
      <c r="Q226" s="14">
        <f t="shared" si="136"/>
        <v>43193.223411305225</v>
      </c>
      <c r="R226" s="14">
        <f t="shared" si="136"/>
        <v>51319.588111735422</v>
      </c>
      <c r="S226" s="14">
        <f t="shared" si="136"/>
        <v>59942.702332230794</v>
      </c>
      <c r="T226" s="14">
        <f t="shared" si="136"/>
        <v>69089.418407711913</v>
      </c>
      <c r="U226" s="14">
        <f t="shared" si="136"/>
        <v>78768.806386391661</v>
      </c>
      <c r="V226" s="14">
        <f t="shared" si="136"/>
        <v>88993.420009607493</v>
      </c>
      <c r="W226" s="14">
        <f t="shared" si="136"/>
        <v>99807.077352956869</v>
      </c>
      <c r="X226" s="187">
        <f t="shared" si="136"/>
        <v>111227.002156922</v>
      </c>
      <c r="Y226" s="158">
        <f t="shared" ref="Y226:AH226" si="137">X226+Y210+Y213</f>
        <v>122851.82625373369</v>
      </c>
      <c r="Z226" s="158">
        <f t="shared" si="137"/>
        <v>134674.84153411599</v>
      </c>
      <c r="AA226" s="158">
        <f t="shared" si="137"/>
        <v>146702.68392120767</v>
      </c>
      <c r="AB226" s="158">
        <f t="shared" si="137"/>
        <v>158930.79563858989</v>
      </c>
      <c r="AC226" s="158">
        <f t="shared" si="137"/>
        <v>171349.74952779614</v>
      </c>
      <c r="AD226" s="158">
        <f t="shared" si="137"/>
        <v>183965.50417180432</v>
      </c>
      <c r="AE226" s="158">
        <f t="shared" si="137"/>
        <v>196772.47844062545</v>
      </c>
      <c r="AF226" s="158">
        <f t="shared" si="137"/>
        <v>209765.30569822577</v>
      </c>
      <c r="AG226" s="158">
        <f t="shared" si="137"/>
        <v>222928.29416938755</v>
      </c>
      <c r="AH226" s="187">
        <f t="shared" si="137"/>
        <v>236274.11484975513</v>
      </c>
    </row>
    <row r="227" spans="1:34">
      <c r="A227" s="1" t="s">
        <v>454</v>
      </c>
      <c r="D227" s="331">
        <f>D219</f>
        <v>26032.317289483599</v>
      </c>
      <c r="E227" s="331">
        <f>D227+E219</f>
        <v>52611.015832827979</v>
      </c>
      <c r="F227" s="331">
        <f>E227+F219</f>
        <v>76215.121246508206</v>
      </c>
      <c r="G227" s="331">
        <f t="shared" ref="G227:X227" si="138">F227+G219</f>
        <v>102080.98815072604</v>
      </c>
      <c r="H227" s="402">
        <f t="shared" si="138"/>
        <v>128460.87418714445</v>
      </c>
      <c r="I227" s="14">
        <f t="shared" si="138"/>
        <v>154554.68458813452</v>
      </c>
      <c r="J227" s="14">
        <f t="shared" si="138"/>
        <v>180661.24189312218</v>
      </c>
      <c r="K227" s="14">
        <f t="shared" si="138"/>
        <v>207095.80108851602</v>
      </c>
      <c r="L227" s="14">
        <f t="shared" si="138"/>
        <v>233632.29329597109</v>
      </c>
      <c r="M227" s="14">
        <f t="shared" si="138"/>
        <v>259795.20145326681</v>
      </c>
      <c r="N227" s="187">
        <f t="shared" si="138"/>
        <v>285244.99123879481</v>
      </c>
      <c r="O227" s="14">
        <f t="shared" si="138"/>
        <v>310701.29450582206</v>
      </c>
      <c r="P227" s="14">
        <f t="shared" si="138"/>
        <v>336150.91634863999</v>
      </c>
      <c r="Q227" s="14">
        <f t="shared" si="138"/>
        <v>361646.92016644659</v>
      </c>
      <c r="R227" s="14">
        <f t="shared" si="138"/>
        <v>387068.49662220955</v>
      </c>
      <c r="S227" s="14">
        <f t="shared" si="138"/>
        <v>412436.3045164154</v>
      </c>
      <c r="T227" s="14">
        <f t="shared" si="138"/>
        <v>437729.47840305942</v>
      </c>
      <c r="U227" s="14">
        <f t="shared" si="138"/>
        <v>462876.33802437247</v>
      </c>
      <c r="V227" s="14">
        <f t="shared" si="138"/>
        <v>487819.35683609854</v>
      </c>
      <c r="W227" s="14">
        <f t="shared" si="138"/>
        <v>512576.15569874656</v>
      </c>
      <c r="X227" s="187">
        <f t="shared" si="138"/>
        <v>537096.51478237356</v>
      </c>
      <c r="Y227" s="158">
        <f t="shared" ref="Y227:AH227" si="139">X227+Y219</f>
        <v>561671.92371478467</v>
      </c>
      <c r="Z227" s="158">
        <f t="shared" si="139"/>
        <v>586279.31288889726</v>
      </c>
      <c r="AA227" s="158">
        <f t="shared" si="139"/>
        <v>610923.99031238735</v>
      </c>
      <c r="AB227" s="158">
        <f t="shared" si="139"/>
        <v>635588.36604024423</v>
      </c>
      <c r="AC227" s="158">
        <f t="shared" si="139"/>
        <v>660246.29215692042</v>
      </c>
      <c r="AD227" s="158">
        <f t="shared" si="139"/>
        <v>684902.59721863479</v>
      </c>
      <c r="AE227" s="158">
        <f t="shared" si="139"/>
        <v>709539.34158848843</v>
      </c>
      <c r="AF227" s="158">
        <f t="shared" si="139"/>
        <v>734139.78866577905</v>
      </c>
      <c r="AG227" s="158">
        <f t="shared" si="139"/>
        <v>758668.19916083838</v>
      </c>
      <c r="AH227" s="187">
        <f t="shared" si="139"/>
        <v>783143.22241608473</v>
      </c>
    </row>
    <row r="228" spans="1:34">
      <c r="A228" s="1" t="s">
        <v>456</v>
      </c>
      <c r="D228" s="331">
        <f t="shared" ref="D228:AH228" si="140">D227-D207</f>
        <v>-83.486710516401217</v>
      </c>
      <c r="E228" s="331">
        <f t="shared" si="140"/>
        <v>-424.78183960697788</v>
      </c>
      <c r="F228" s="331">
        <f t="shared" si="140"/>
        <v>-448.86956413053849</v>
      </c>
      <c r="G228" s="331">
        <f t="shared" si="140"/>
        <v>-1079.2740550027374</v>
      </c>
      <c r="H228" s="402">
        <f>H227-H207</f>
        <v>-1115.4903504364629</v>
      </c>
      <c r="I228" s="14">
        <f t="shared" si="140"/>
        <v>-1056.1986591696914</v>
      </c>
      <c r="J228" s="14">
        <f t="shared" si="140"/>
        <v>-1026.3558523619722</v>
      </c>
      <c r="K228" s="14">
        <f t="shared" si="140"/>
        <v>-1122.194192319992</v>
      </c>
      <c r="L228" s="14">
        <f t="shared" si="140"/>
        <v>-1459.4093866048206</v>
      </c>
      <c r="M228" s="14">
        <f t="shared" si="140"/>
        <v>-2421.2218742645637</v>
      </c>
      <c r="N228" s="187">
        <f t="shared" si="140"/>
        <v>-4221.5925973454141</v>
      </c>
      <c r="O228" s="14">
        <f t="shared" si="140"/>
        <v>-6154.7569573273067</v>
      </c>
      <c r="P228" s="14">
        <f t="shared" si="140"/>
        <v>-8211.033137759252</v>
      </c>
      <c r="Q228" s="14">
        <f t="shared" si="140"/>
        <v>-10294.263516519975</v>
      </c>
      <c r="R228" s="14">
        <f t="shared" si="140"/>
        <v>-12551.093257270637</v>
      </c>
      <c r="S228" s="14">
        <f t="shared" si="140"/>
        <v>-14915.740662416385</v>
      </c>
      <c r="T228" s="14">
        <f t="shared" si="140"/>
        <v>-17473.733561269706</v>
      </c>
      <c r="U228" s="14">
        <f t="shared" si="140"/>
        <v>-20237.29768386099</v>
      </c>
      <c r="V228" s="14">
        <f t="shared" si="140"/>
        <v>-23183.265448230959</v>
      </c>
      <c r="W228" s="14">
        <f t="shared" si="140"/>
        <v>-26340.078272872837</v>
      </c>
      <c r="X228" s="187">
        <f t="shared" si="140"/>
        <v>-29596.329048758838</v>
      </c>
      <c r="Y228" s="158">
        <f t="shared" si="140"/>
        <v>-32856.19456579606</v>
      </c>
      <c r="Z228" s="158">
        <f t="shared" si="140"/>
        <v>-36168.568431979278</v>
      </c>
      <c r="AA228" s="158">
        <f t="shared" si="140"/>
        <v>-39562.741985986708</v>
      </c>
      <c r="AB228" s="158">
        <f t="shared" si="140"/>
        <v>-43032.676612602547</v>
      </c>
      <c r="AC228" s="158">
        <f t="shared" si="140"/>
        <v>-46575.641845783335</v>
      </c>
      <c r="AD228" s="158">
        <f t="shared" si="140"/>
        <v>-50202.503458812716</v>
      </c>
      <c r="AE228" s="158">
        <f t="shared" si="140"/>
        <v>-53896.811410920345</v>
      </c>
      <c r="AF228" s="158">
        <f t="shared" si="140"/>
        <v>-57654.518698557978</v>
      </c>
      <c r="AG228" s="158">
        <f t="shared" si="140"/>
        <v>-61473.361018839758</v>
      </c>
      <c r="AH228" s="187">
        <f t="shared" si="140"/>
        <v>-65356.399445435847</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117.20946267447397</v>
      </c>
      <c r="E234" s="331">
        <f t="shared" si="145"/>
        <v>306.45151534701915</v>
      </c>
      <c r="F234" s="331">
        <f t="shared" si="145"/>
        <v>502.26761864042635</v>
      </c>
      <c r="G234" s="331">
        <f t="shared" si="145"/>
        <v>985.32988652990457</v>
      </c>
      <c r="H234" s="402">
        <f>H213-H194</f>
        <v>-2.7000000000043656E-4</v>
      </c>
      <c r="I234" s="14">
        <f t="shared" si="145"/>
        <v>157.32229139695903</v>
      </c>
      <c r="J234" s="14">
        <f t="shared" si="145"/>
        <v>384.35664984504183</v>
      </c>
      <c r="K234" s="14">
        <f t="shared" si="145"/>
        <v>603.57735465940027</v>
      </c>
      <c r="L234" s="14">
        <f t="shared" si="145"/>
        <v>1013.4398424059173</v>
      </c>
      <c r="M234" s="14">
        <f t="shared" si="145"/>
        <v>2322.8242256130652</v>
      </c>
      <c r="N234" s="187">
        <f t="shared" si="145"/>
        <v>4278.8944814677125</v>
      </c>
      <c r="O234" s="14">
        <f t="shared" si="145"/>
        <v>4523.9625872687848</v>
      </c>
      <c r="P234" s="14">
        <f t="shared" si="145"/>
        <v>4752.2603247109</v>
      </c>
      <c r="Q234" s="14">
        <f t="shared" si="145"/>
        <v>4805.1173924546911</v>
      </c>
      <c r="R234" s="14">
        <f t="shared" si="145"/>
        <v>5151.1765605468781</v>
      </c>
      <c r="S234" s="14">
        <f t="shared" si="145"/>
        <v>5431.677588490782</v>
      </c>
      <c r="T234" s="14">
        <f t="shared" si="145"/>
        <v>5836.4885479351087</v>
      </c>
      <c r="U234" s="14">
        <f t="shared" si="145"/>
        <v>6283.2525244146345</v>
      </c>
      <c r="V234" s="14">
        <f t="shared" si="145"/>
        <v>6704.2243817977223</v>
      </c>
      <c r="W234" s="14">
        <f t="shared" si="145"/>
        <v>7178.8444018044529</v>
      </c>
      <c r="X234" s="187">
        <f t="shared" si="145"/>
        <v>7457.2940040944559</v>
      </c>
      <c r="Y234" s="158">
        <f t="shared" si="145"/>
        <v>7416.0201265723699</v>
      </c>
      <c r="Z234" s="158">
        <f t="shared" si="145"/>
        <v>7471.8233262414133</v>
      </c>
      <c r="AA234" s="158">
        <f t="shared" si="145"/>
        <v>7578.4647840118178</v>
      </c>
      <c r="AB234" s="158">
        <f t="shared" si="145"/>
        <v>7683.141962965341</v>
      </c>
      <c r="AC234" s="158">
        <f t="shared" si="145"/>
        <v>7786.7173216727497</v>
      </c>
      <c r="AD234" s="158">
        <f t="shared" si="145"/>
        <v>7907.3448306701757</v>
      </c>
      <c r="AE234" s="158">
        <f t="shared" si="145"/>
        <v>7998.3936404031692</v>
      </c>
      <c r="AF234" s="158">
        <f t="shared" si="145"/>
        <v>8085.3257022491998</v>
      </c>
      <c r="AG234" s="158">
        <f t="shared" si="145"/>
        <v>8175.5482386689127</v>
      </c>
      <c r="AH234" s="187">
        <f t="shared" si="145"/>
        <v>8268.3049146465928</v>
      </c>
    </row>
    <row r="235" spans="1:34">
      <c r="A235" t="s">
        <v>417</v>
      </c>
      <c r="C235" s="331">
        <f t="shared" ref="C235:AH235" si="146">C214-C195</f>
        <v>0</v>
      </c>
      <c r="D235" s="331">
        <f t="shared" si="146"/>
        <v>61.689369818509135</v>
      </c>
      <c r="E235" s="331">
        <f t="shared" si="146"/>
        <v>161.29049015127245</v>
      </c>
      <c r="F235" s="331">
        <f t="shared" si="146"/>
        <v>264.35161125049478</v>
      </c>
      <c r="G235" s="331">
        <f t="shared" si="146"/>
        <v>518.59498353850768</v>
      </c>
      <c r="H235" s="402">
        <f t="shared" si="146"/>
        <v>0</v>
      </c>
      <c r="I235" s="14">
        <f t="shared" si="146"/>
        <v>82.8013743320559</v>
      </c>
      <c r="J235" s="14">
        <f t="shared" si="146"/>
        <v>202.29317563497409</v>
      </c>
      <c r="K235" s="14">
        <f t="shared" si="146"/>
        <v>317.67253811816477</v>
      </c>
      <c r="L235" s="14">
        <f t="shared" si="146"/>
        <v>533.38968956628275</v>
      </c>
      <c r="M235" s="14">
        <f t="shared" si="146"/>
        <v>1222.5394250326847</v>
      </c>
      <c r="N235" s="187">
        <f t="shared" si="146"/>
        <v>2252.0501576482538</v>
      </c>
      <c r="O235" s="14">
        <f t="shared" si="146"/>
        <v>2381.0333979651969</v>
      </c>
      <c r="P235" s="14">
        <f t="shared" si="146"/>
        <v>2501.190130187038</v>
      </c>
      <c r="Q235" s="14">
        <f t="shared" si="146"/>
        <v>2529.0096708276651</v>
      </c>
      <c r="R235" s="14">
        <f t="shared" si="146"/>
        <v>2711.1461060082097</v>
      </c>
      <c r="S235" s="14">
        <f t="shared" si="146"/>
        <v>2858.7782594662453</v>
      </c>
      <c r="T235" s="14">
        <f t="shared" si="146"/>
        <v>3071.8366944715517</v>
      </c>
      <c r="U235" s="14">
        <f t="shared" si="146"/>
        <v>3306.9756653699851</v>
      </c>
      <c r="V235" s="14">
        <f t="shared" si="146"/>
        <v>3528.5398375902669</v>
      </c>
      <c r="W235" s="14">
        <f t="shared" si="146"/>
        <v>3778.3398878295484</v>
      </c>
      <c r="X235" s="187">
        <f t="shared" si="146"/>
        <v>3924.892350957979</v>
      </c>
      <c r="Y235" s="158">
        <f t="shared" si="146"/>
        <v>3903.169271338254</v>
      </c>
      <c r="Z235" s="158">
        <f t="shared" si="146"/>
        <v>3932.5393897879594</v>
      </c>
      <c r="AA235" s="158">
        <f t="shared" si="146"/>
        <v>3988.6664866331012</v>
      </c>
      <c r="AB235" s="158">
        <f t="shared" si="146"/>
        <v>4043.7597522147335</v>
      </c>
      <c r="AC235" s="158">
        <f t="shared" si="146"/>
        <v>4098.273111768156</v>
      </c>
      <c r="AD235" s="158">
        <f t="shared" si="146"/>
        <v>4161.7612876653839</v>
      </c>
      <c r="AE235" s="158">
        <f t="shared" si="146"/>
        <v>4209.6817267314018</v>
      </c>
      <c r="AF235" s="158">
        <f t="shared" si="146"/>
        <v>4255.4354560214488</v>
      </c>
      <c r="AG235" s="158">
        <f t="shared" si="146"/>
        <v>4302.9210129766489</v>
      </c>
      <c r="AH235" s="187">
        <f t="shared" si="146"/>
        <v>4351.7403284481315</v>
      </c>
    </row>
    <row r="236" spans="1:34">
      <c r="A236" t="s">
        <v>418</v>
      </c>
      <c r="C236" s="331">
        <f t="shared" ref="C236:AH236" si="147">C215-C196</f>
        <v>-2.7000000000043656E-4</v>
      </c>
      <c r="D236" s="331">
        <f t="shared" si="147"/>
        <v>55.520092855964819</v>
      </c>
      <c r="E236" s="331">
        <f t="shared" si="147"/>
        <v>145.1610251957467</v>
      </c>
      <c r="F236" s="331">
        <f t="shared" si="147"/>
        <v>237.91600738993165</v>
      </c>
      <c r="G236" s="331">
        <f t="shared" si="147"/>
        <v>466.73490299139672</v>
      </c>
      <c r="H236" s="402">
        <f>H215-H196</f>
        <v>-2.7000000000043656E-4</v>
      </c>
      <c r="I236" s="14">
        <f t="shared" si="147"/>
        <v>74.520917064903131</v>
      </c>
      <c r="J236" s="14">
        <f t="shared" si="147"/>
        <v>182.06347421006791</v>
      </c>
      <c r="K236" s="14">
        <f t="shared" si="147"/>
        <v>285.90481654123562</v>
      </c>
      <c r="L236" s="14">
        <f t="shared" si="147"/>
        <v>480.05015283963417</v>
      </c>
      <c r="M236" s="14">
        <f t="shared" si="147"/>
        <v>1100.2848005803803</v>
      </c>
      <c r="N236" s="187">
        <f t="shared" si="147"/>
        <v>2026.8443238194586</v>
      </c>
      <c r="O236" s="14">
        <f t="shared" si="147"/>
        <v>2142.9291893035888</v>
      </c>
      <c r="P236" s="14">
        <f t="shared" si="147"/>
        <v>2251.0701945238629</v>
      </c>
      <c r="Q236" s="14">
        <f t="shared" si="147"/>
        <v>2276.1077216270264</v>
      </c>
      <c r="R236" s="14">
        <f t="shared" si="147"/>
        <v>2440.0304545386689</v>
      </c>
      <c r="S236" s="14">
        <f t="shared" si="147"/>
        <v>2572.8993290245371</v>
      </c>
      <c r="T236" s="14">
        <f t="shared" si="147"/>
        <v>2764.6518534635566</v>
      </c>
      <c r="U236" s="14">
        <f t="shared" si="147"/>
        <v>2976.2768590446494</v>
      </c>
      <c r="V236" s="14">
        <f t="shared" si="147"/>
        <v>3175.6845442074555</v>
      </c>
      <c r="W236" s="14">
        <f t="shared" si="147"/>
        <v>3400.504513974905</v>
      </c>
      <c r="X236" s="187">
        <f t="shared" si="147"/>
        <v>3532.4016531364782</v>
      </c>
      <c r="Y236" s="158">
        <f t="shared" si="147"/>
        <v>3512.8508552341164</v>
      </c>
      <c r="Z236" s="158">
        <f t="shared" si="147"/>
        <v>3539.2839364534548</v>
      </c>
      <c r="AA236" s="158">
        <f t="shared" si="147"/>
        <v>3589.798297378718</v>
      </c>
      <c r="AB236" s="158">
        <f t="shared" si="147"/>
        <v>3639.382210750608</v>
      </c>
      <c r="AC236" s="158">
        <f t="shared" si="147"/>
        <v>3688.4442099045928</v>
      </c>
      <c r="AD236" s="158">
        <f t="shared" si="147"/>
        <v>3745.5835430047919</v>
      </c>
      <c r="AE236" s="158">
        <f t="shared" si="147"/>
        <v>3788.711913671767</v>
      </c>
      <c r="AF236" s="158">
        <f t="shared" si="147"/>
        <v>3829.8902462277506</v>
      </c>
      <c r="AG236" s="158">
        <f t="shared" si="147"/>
        <v>3872.6272256922643</v>
      </c>
      <c r="AH236" s="187">
        <f t="shared" si="147"/>
        <v>3916.5645861984608</v>
      </c>
    </row>
    <row r="237" spans="1:34">
      <c r="A237" t="s">
        <v>419</v>
      </c>
      <c r="C237" s="331">
        <f t="shared" ref="C237:AH237" si="148">C216-C197</f>
        <v>0</v>
      </c>
      <c r="D237" s="331">
        <f t="shared" si="148"/>
        <v>33.370820458388152</v>
      </c>
      <c r="E237" s="331">
        <f t="shared" si="148"/>
        <v>207.19988722621019</v>
      </c>
      <c r="F237" s="331">
        <f t="shared" si="148"/>
        <v>-334.3535287973491</v>
      </c>
      <c r="G237" s="331">
        <f t="shared" si="148"/>
        <v>95.884487417300534</v>
      </c>
      <c r="H237" s="402">
        <f t="shared" si="148"/>
        <v>0</v>
      </c>
      <c r="I237" s="14">
        <f t="shared" si="148"/>
        <v>-220.98298745906641</v>
      </c>
      <c r="J237" s="14">
        <f t="shared" si="148"/>
        <v>-307.14186368097307</v>
      </c>
      <c r="K237" s="14">
        <f t="shared" si="148"/>
        <v>-248.47216459993706</v>
      </c>
      <c r="L237" s="14">
        <f t="shared" si="148"/>
        <v>-118.56015392193785</v>
      </c>
      <c r="M237" s="14">
        <f t="shared" si="148"/>
        <v>-30.477623538824446</v>
      </c>
      <c r="N237" s="187">
        <f t="shared" si="148"/>
        <v>0</v>
      </c>
      <c r="O237" s="14">
        <f t="shared" si="148"/>
        <v>7.0210108759279137</v>
      </c>
      <c r="P237" s="14">
        <f t="shared" si="148"/>
        <v>16.333480038694688</v>
      </c>
      <c r="Q237" s="14">
        <f t="shared" si="148"/>
        <v>24.456262027418234</v>
      </c>
      <c r="R237" s="14">
        <f t="shared" si="148"/>
        <v>26.027872856139766</v>
      </c>
      <c r="S237" s="14">
        <f t="shared" si="148"/>
        <v>32.441412739955013</v>
      </c>
      <c r="T237" s="14">
        <f t="shared" si="148"/>
        <v>37.307796154282187</v>
      </c>
      <c r="U237" s="14">
        <f t="shared" si="148"/>
        <v>32.853423489033958</v>
      </c>
      <c r="V237" s="14">
        <f t="shared" si="148"/>
        <v>19.527507130223512</v>
      </c>
      <c r="W237" s="14">
        <f t="shared" si="148"/>
        <v>12.687341512194962</v>
      </c>
      <c r="X237" s="187">
        <f t="shared" si="148"/>
        <v>-1.0380238485304289</v>
      </c>
      <c r="Y237" s="158">
        <f t="shared" si="148"/>
        <v>5.7797751825551131</v>
      </c>
      <c r="Z237" s="158">
        <f t="shared" si="148"/>
        <v>9.56274627191533</v>
      </c>
      <c r="AA237" s="158">
        <f t="shared" si="148"/>
        <v>17.296411964551226</v>
      </c>
      <c r="AB237" s="158">
        <f t="shared" si="148"/>
        <v>18.469371792127276</v>
      </c>
      <c r="AC237" s="158">
        <f t="shared" si="148"/>
        <v>16.006907856474299</v>
      </c>
      <c r="AD237" s="158">
        <f t="shared" si="148"/>
        <v>16.535998394149374</v>
      </c>
      <c r="AE237" s="158">
        <f t="shared" si="148"/>
        <v>15.794151259795854</v>
      </c>
      <c r="AF237" s="158">
        <f t="shared" si="148"/>
        <v>12.522448313885434</v>
      </c>
      <c r="AG237" s="158">
        <f t="shared" si="148"/>
        <v>3.7261905163768461</v>
      </c>
      <c r="AH237" s="187">
        <f t="shared" si="148"/>
        <v>-1.9811823713284866</v>
      </c>
    </row>
    <row r="238" spans="1:34">
      <c r="A238" t="s">
        <v>420</v>
      </c>
      <c r="C238" s="331">
        <f t="shared" ref="C238:AH238" si="149">C217-C198</f>
        <v>0</v>
      </c>
      <c r="D238" s="331">
        <f t="shared" si="149"/>
        <v>17.563589714940917</v>
      </c>
      <c r="E238" s="331">
        <f t="shared" si="149"/>
        <v>109.05257222432147</v>
      </c>
      <c r="F238" s="331">
        <f t="shared" si="149"/>
        <v>-175.97554147228925</v>
      </c>
      <c r="G238" s="331">
        <f t="shared" si="149"/>
        <v>50.46551969331631</v>
      </c>
      <c r="H238" s="402">
        <f t="shared" si="149"/>
        <v>0</v>
      </c>
      <c r="I238" s="14">
        <f t="shared" si="149"/>
        <v>-116.3068355047717</v>
      </c>
      <c r="J238" s="14">
        <f t="shared" si="149"/>
        <v>-161.65361246367047</v>
      </c>
      <c r="K238" s="14">
        <f t="shared" si="149"/>
        <v>-130.7748234736514</v>
      </c>
      <c r="L238" s="14">
        <f t="shared" si="149"/>
        <v>-62.400081011546263</v>
      </c>
      <c r="M238" s="14">
        <f t="shared" si="149"/>
        <v>-16.040854494118321</v>
      </c>
      <c r="N238" s="187">
        <f t="shared" si="149"/>
        <v>0</v>
      </c>
      <c r="O238" s="14">
        <f t="shared" si="149"/>
        <v>3.6952688820674666</v>
      </c>
      <c r="P238" s="14">
        <f t="shared" si="149"/>
        <v>8.5965684414181851</v>
      </c>
      <c r="Q238" s="14">
        <f t="shared" si="149"/>
        <v>12.871716856535841</v>
      </c>
      <c r="R238" s="14">
        <f t="shared" si="149"/>
        <v>13.698880450599972</v>
      </c>
      <c r="S238" s="14">
        <f t="shared" si="149"/>
        <v>17.074427757871035</v>
      </c>
      <c r="T238" s="14">
        <f t="shared" si="149"/>
        <v>19.635682186464237</v>
      </c>
      <c r="U238" s="14">
        <f t="shared" si="149"/>
        <v>17.291275520544332</v>
      </c>
      <c r="V238" s="14">
        <f t="shared" si="149"/>
        <v>10.277635331696729</v>
      </c>
      <c r="W238" s="14">
        <f t="shared" si="149"/>
        <v>6.6775481643130661</v>
      </c>
      <c r="X238" s="187">
        <f t="shared" si="149"/>
        <v>-0.54632834133190045</v>
      </c>
      <c r="Y238" s="158">
        <f t="shared" si="149"/>
        <v>3.0419869381867102</v>
      </c>
      <c r="Z238" s="158">
        <f t="shared" si="149"/>
        <v>5.0330243536395756</v>
      </c>
      <c r="AA238" s="158">
        <f t="shared" si="149"/>
        <v>9.1033747181850231</v>
      </c>
      <c r="AB238" s="158">
        <f t="shared" si="149"/>
        <v>9.7207219958563655</v>
      </c>
      <c r="AC238" s="158">
        <f t="shared" si="149"/>
        <v>8.4246883455125499</v>
      </c>
      <c r="AD238" s="158">
        <f t="shared" si="149"/>
        <v>8.703157049551919</v>
      </c>
      <c r="AE238" s="158">
        <f t="shared" si="149"/>
        <v>8.3127111893659276</v>
      </c>
      <c r="AF238" s="158">
        <f t="shared" si="149"/>
        <v>6.5907622704658024</v>
      </c>
      <c r="AG238" s="158">
        <f t="shared" si="149"/>
        <v>1.9611529033559236</v>
      </c>
      <c r="AH238" s="187">
        <f t="shared" si="149"/>
        <v>-1.04272756385717</v>
      </c>
    </row>
    <row r="239" spans="1:34">
      <c r="A239" t="s">
        <v>421</v>
      </c>
      <c r="C239" s="331">
        <f t="shared" ref="C239:AH239" si="150">C218-C199</f>
        <v>0</v>
      </c>
      <c r="D239" s="331">
        <f t="shared" si="150"/>
        <v>15.80723074344678</v>
      </c>
      <c r="E239" s="331">
        <f t="shared" si="150"/>
        <v>98.147315001889638</v>
      </c>
      <c r="F239" s="331">
        <f t="shared" si="150"/>
        <v>-158.3779873250603</v>
      </c>
      <c r="G239" s="331">
        <f t="shared" si="150"/>
        <v>45.418967723984679</v>
      </c>
      <c r="H239" s="402">
        <f t="shared" si="150"/>
        <v>0</v>
      </c>
      <c r="I239" s="14">
        <f t="shared" si="150"/>
        <v>-104.67615195429471</v>
      </c>
      <c r="J239" s="14">
        <f t="shared" si="150"/>
        <v>-145.48825121730306</v>
      </c>
      <c r="K239" s="14">
        <f t="shared" si="150"/>
        <v>-117.69734112628589</v>
      </c>
      <c r="L239" s="14">
        <f t="shared" si="150"/>
        <v>-56.160072910391818</v>
      </c>
      <c r="M239" s="14">
        <f t="shared" si="150"/>
        <v>-14.436769044706352</v>
      </c>
      <c r="N239" s="187">
        <f t="shared" si="150"/>
        <v>0</v>
      </c>
      <c r="O239" s="14">
        <f t="shared" si="150"/>
        <v>3.3257419938606745</v>
      </c>
      <c r="P239" s="14">
        <f t="shared" si="150"/>
        <v>7.736911597276503</v>
      </c>
      <c r="Q239" s="14">
        <f t="shared" si="150"/>
        <v>11.584545170881938</v>
      </c>
      <c r="R239" s="14">
        <f t="shared" si="150"/>
        <v>12.328992405539793</v>
      </c>
      <c r="S239" s="14">
        <f t="shared" si="150"/>
        <v>15.36698498208375</v>
      </c>
      <c r="T239" s="14">
        <f t="shared" si="150"/>
        <v>17.67211396781795</v>
      </c>
      <c r="U239" s="14">
        <f t="shared" si="150"/>
        <v>15.562147968489626</v>
      </c>
      <c r="V239" s="14">
        <f t="shared" si="150"/>
        <v>9.2498717985270105</v>
      </c>
      <c r="W239" s="14">
        <f t="shared" si="150"/>
        <v>6.0097933478818959</v>
      </c>
      <c r="X239" s="187">
        <f t="shared" si="150"/>
        <v>-0.4916955071985285</v>
      </c>
      <c r="Y239" s="158">
        <f t="shared" si="150"/>
        <v>2.737788244368403</v>
      </c>
      <c r="Z239" s="158">
        <f t="shared" si="150"/>
        <v>4.5297219182757544</v>
      </c>
      <c r="AA239" s="158">
        <f t="shared" si="150"/>
        <v>8.1930372463666572</v>
      </c>
      <c r="AB239" s="158">
        <f t="shared" si="150"/>
        <v>8.7486497962706835</v>
      </c>
      <c r="AC239" s="158">
        <f t="shared" si="150"/>
        <v>7.5822195109615222</v>
      </c>
      <c r="AD239" s="158">
        <f t="shared" si="150"/>
        <v>7.8328413445972274</v>
      </c>
      <c r="AE239" s="158">
        <f t="shared" si="150"/>
        <v>7.4814400704296986</v>
      </c>
      <c r="AF239" s="158">
        <f t="shared" si="150"/>
        <v>5.9316860434194041</v>
      </c>
      <c r="AG239" s="158">
        <f t="shared" si="150"/>
        <v>1.7650376130206951</v>
      </c>
      <c r="AH239" s="187">
        <f t="shared" si="150"/>
        <v>-0.9384548074713166</v>
      </c>
    </row>
    <row r="240" spans="1:34">
      <c r="A240" t="s">
        <v>393</v>
      </c>
      <c r="C240" s="331">
        <f>C219-C200</f>
        <v>1.1616052799981844</v>
      </c>
      <c r="D240" s="331">
        <f t="shared" ref="D240:AH240" si="151">D219-D200+D249+D252</f>
        <v>-83.486710516401217</v>
      </c>
      <c r="E240" s="331">
        <f t="shared" si="151"/>
        <v>-341.29512909057667</v>
      </c>
      <c r="F240" s="331">
        <f t="shared" si="151"/>
        <v>-24.08772452356061</v>
      </c>
      <c r="G240" s="331">
        <f t="shared" si="151"/>
        <v>-630.40449087219167</v>
      </c>
      <c r="H240" s="402">
        <f t="shared" si="151"/>
        <v>-36.216295433721825</v>
      </c>
      <c r="I240" s="14">
        <f t="shared" si="151"/>
        <v>59.291691266753332</v>
      </c>
      <c r="J240" s="14">
        <f t="shared" si="151"/>
        <v>29.842806807730085</v>
      </c>
      <c r="K240" s="14">
        <f t="shared" si="151"/>
        <v>-95.838339958019787</v>
      </c>
      <c r="L240" s="14">
        <f t="shared" si="151"/>
        <v>-337.21519428484316</v>
      </c>
      <c r="M240" s="14">
        <f t="shared" si="151"/>
        <v>-961.81248765975761</v>
      </c>
      <c r="N240" s="187">
        <f t="shared" si="151"/>
        <v>-1800.370723080865</v>
      </c>
      <c r="O240" s="14">
        <f t="shared" si="151"/>
        <v>-1933.1643599818963</v>
      </c>
      <c r="P240" s="14">
        <f t="shared" si="151"/>
        <v>-2056.2761804318943</v>
      </c>
      <c r="Q240" s="14">
        <f t="shared" si="151"/>
        <v>-2083.2303787607088</v>
      </c>
      <c r="R240" s="14">
        <f t="shared" si="151"/>
        <v>-2256.8297407506834</v>
      </c>
      <c r="S240" s="14">
        <f t="shared" si="151"/>
        <v>-2364.6474051457699</v>
      </c>
      <c r="T240" s="14">
        <f t="shared" si="151"/>
        <v>-2557.9928988533538</v>
      </c>
      <c r="U240" s="14">
        <f t="shared" si="151"/>
        <v>-2763.5641225912623</v>
      </c>
      <c r="V240" s="14">
        <f t="shared" si="151"/>
        <v>-2945.967764369987</v>
      </c>
      <c r="W240" s="14">
        <f t="shared" si="151"/>
        <v>-3156.8128246418928</v>
      </c>
      <c r="X240" s="187">
        <f t="shared" si="151"/>
        <v>-3256.2507758859501</v>
      </c>
      <c r="Y240" s="158">
        <f t="shared" si="151"/>
        <v>-3259.8655170372585</v>
      </c>
      <c r="Z240" s="158">
        <f t="shared" si="151"/>
        <v>-3312.3738661832322</v>
      </c>
      <c r="AA240" s="158">
        <f t="shared" si="151"/>
        <v>-3394.1735540075024</v>
      </c>
      <c r="AB240" s="158">
        <f t="shared" si="151"/>
        <v>-3469.9346266158827</v>
      </c>
      <c r="AC240" s="158">
        <f t="shared" si="151"/>
        <v>-3542.965233180752</v>
      </c>
      <c r="AD240" s="158">
        <f t="shared" si="151"/>
        <v>-3626.8616130294031</v>
      </c>
      <c r="AE240" s="158">
        <f t="shared" si="151"/>
        <v>-3694.3079521075742</v>
      </c>
      <c r="AF240" s="158">
        <f t="shared" si="151"/>
        <v>-3757.7072876376187</v>
      </c>
      <c r="AG240" s="158">
        <f t="shared" si="151"/>
        <v>-3818.8423202818121</v>
      </c>
      <c r="AH240" s="187">
        <f t="shared" si="151"/>
        <v>-3883.038426596042</v>
      </c>
    </row>
    <row r="241" spans="1:34">
      <c r="A241" t="s">
        <v>422</v>
      </c>
      <c r="C241" s="331">
        <f>C220-C201</f>
        <v>0.61137119999875722</v>
      </c>
      <c r="D241" s="331">
        <f t="shared" ref="D241:AH241" si="152">D220-D201+D250+D253</f>
        <v>-43.940373956000258</v>
      </c>
      <c r="E241" s="331">
        <f t="shared" si="152"/>
        <v>-179.62901531083116</v>
      </c>
      <c r="F241" s="331">
        <f t="shared" si="152"/>
        <v>-12.677749749242139</v>
      </c>
      <c r="G241" s="331">
        <f t="shared" si="152"/>
        <v>-331.79183730115437</v>
      </c>
      <c r="H241" s="402">
        <f t="shared" si="152"/>
        <v>-19.061208123011966</v>
      </c>
      <c r="I241" s="14">
        <f t="shared" si="152"/>
        <v>31.206153298291611</v>
      </c>
      <c r="J241" s="14">
        <f t="shared" si="152"/>
        <v>15.706740425121097</v>
      </c>
      <c r="K241" s="14">
        <f t="shared" si="152"/>
        <v>-50.441231556851562</v>
      </c>
      <c r="L241" s="14">
        <f t="shared" si="152"/>
        <v>-177.48168120254923</v>
      </c>
      <c r="M241" s="14">
        <f t="shared" si="152"/>
        <v>-506.21709876829482</v>
      </c>
      <c r="N241" s="187">
        <f t="shared" si="152"/>
        <v>-947.56353846361162</v>
      </c>
      <c r="O241" s="14">
        <f t="shared" si="152"/>
        <v>-1017.4549263062618</v>
      </c>
      <c r="P241" s="14">
        <f t="shared" si="152"/>
        <v>-1082.2506212799453</v>
      </c>
      <c r="Q241" s="14">
        <f t="shared" si="152"/>
        <v>-1096.4370414530058</v>
      </c>
      <c r="R241" s="14">
        <f t="shared" si="152"/>
        <v>-1187.8051267108858</v>
      </c>
      <c r="S241" s="14">
        <f t="shared" si="152"/>
        <v>-1244.5512658661955</v>
      </c>
      <c r="T241" s="14">
        <f t="shared" si="152"/>
        <v>-1346.3120520280809</v>
      </c>
      <c r="U241" s="14">
        <f t="shared" si="152"/>
        <v>-1454.5074329427698</v>
      </c>
      <c r="V241" s="14">
        <f t="shared" si="152"/>
        <v>-1550.5093496684149</v>
      </c>
      <c r="W241" s="14">
        <f t="shared" si="152"/>
        <v>-1661.4804340220508</v>
      </c>
      <c r="X241" s="187">
        <f t="shared" si="152"/>
        <v>-1713.8161978347107</v>
      </c>
      <c r="Y241" s="158">
        <f t="shared" si="152"/>
        <v>-1715.718693177505</v>
      </c>
      <c r="Z241" s="158">
        <f t="shared" si="152"/>
        <v>-1743.3546664122259</v>
      </c>
      <c r="AA241" s="158">
        <f t="shared" si="152"/>
        <v>-1786.4071336881607</v>
      </c>
      <c r="AB241" s="158">
        <f t="shared" si="152"/>
        <v>-1826.2813824294099</v>
      </c>
      <c r="AC241" s="158">
        <f t="shared" si="152"/>
        <v>-1864.7185437793414</v>
      </c>
      <c r="AD241" s="158">
        <f t="shared" si="152"/>
        <v>-1908.874533173368</v>
      </c>
      <c r="AE241" s="158">
        <f t="shared" si="152"/>
        <v>-1944.372606372408</v>
      </c>
      <c r="AF241" s="158">
        <f t="shared" si="152"/>
        <v>-1977.7406777040105</v>
      </c>
      <c r="AG241" s="158">
        <f t="shared" si="152"/>
        <v>-2009.9170106746387</v>
      </c>
      <c r="AH241" s="187">
        <f t="shared" si="152"/>
        <v>-2043.7044350505494</v>
      </c>
    </row>
    <row r="242" spans="1:34">
      <c r="A242" t="s">
        <v>423</v>
      </c>
      <c r="C242" s="331">
        <f>C221-C202</f>
        <v>0.55023407999942719</v>
      </c>
      <c r="D242" s="331">
        <f t="shared" ref="D242:AH242" si="153">D221-D202+D251+D254</f>
        <v>-39.54633656040096</v>
      </c>
      <c r="E242" s="331">
        <f t="shared" si="153"/>
        <v>-161.66611377974914</v>
      </c>
      <c r="F242" s="331">
        <f t="shared" si="153"/>
        <v>-11.409974774318471</v>
      </c>
      <c r="G242" s="331">
        <f t="shared" si="153"/>
        <v>-298.6126535710373</v>
      </c>
      <c r="H242" s="402">
        <f t="shared" si="153"/>
        <v>-17.155087310711679</v>
      </c>
      <c r="I242" s="14">
        <f t="shared" si="153"/>
        <v>28.085537968463541</v>
      </c>
      <c r="J242" s="14">
        <f t="shared" si="153"/>
        <v>14.136066382607169</v>
      </c>
      <c r="K242" s="14">
        <f t="shared" si="153"/>
        <v>-45.397108401166406</v>
      </c>
      <c r="L242" s="14">
        <f t="shared" si="153"/>
        <v>-159.73351308229394</v>
      </c>
      <c r="M242" s="14">
        <f t="shared" si="153"/>
        <v>-455.59538889146461</v>
      </c>
      <c r="N242" s="187">
        <f t="shared" si="153"/>
        <v>-852.80718461725155</v>
      </c>
      <c r="O242" s="14">
        <f t="shared" si="153"/>
        <v>-915.7094336756345</v>
      </c>
      <c r="P242" s="14">
        <f t="shared" si="153"/>
        <v>-974.02555915195262</v>
      </c>
      <c r="Q242" s="14">
        <f t="shared" si="153"/>
        <v>-986.79333730770486</v>
      </c>
      <c r="R242" s="14">
        <f t="shared" si="153"/>
        <v>-1069.0246140397976</v>
      </c>
      <c r="S242" s="14">
        <f t="shared" si="153"/>
        <v>-1120.0961392795762</v>
      </c>
      <c r="T242" s="14">
        <f t="shared" si="153"/>
        <v>-1211.6808468252748</v>
      </c>
      <c r="U242" s="14">
        <f t="shared" si="153"/>
        <v>-1309.0566896484925</v>
      </c>
      <c r="V242" s="14">
        <f t="shared" si="153"/>
        <v>-1395.4584147015721</v>
      </c>
      <c r="W242" s="14">
        <f t="shared" si="153"/>
        <v>-1495.3323906198439</v>
      </c>
      <c r="X242" s="187">
        <f t="shared" si="153"/>
        <v>-1542.4345780512413</v>
      </c>
      <c r="Y242" s="158">
        <f t="shared" si="153"/>
        <v>-1544.1468238597536</v>
      </c>
      <c r="Z242" s="158">
        <f t="shared" si="153"/>
        <v>-1569.0191997710062</v>
      </c>
      <c r="AA242" s="158">
        <f t="shared" si="153"/>
        <v>-1607.7664203193453</v>
      </c>
      <c r="AB242" s="158">
        <f t="shared" si="153"/>
        <v>-1643.6532441864692</v>
      </c>
      <c r="AC242" s="158">
        <f t="shared" si="153"/>
        <v>-1678.2466894014069</v>
      </c>
      <c r="AD242" s="158">
        <f t="shared" si="153"/>
        <v>-1717.9870798560314</v>
      </c>
      <c r="AE242" s="158">
        <f t="shared" si="153"/>
        <v>-1749.9353457351663</v>
      </c>
      <c r="AF242" s="158">
        <f t="shared" si="153"/>
        <v>-1779.9666099336118</v>
      </c>
      <c r="AG242" s="158">
        <f t="shared" si="153"/>
        <v>-1808.9253096071752</v>
      </c>
      <c r="AH242" s="187">
        <f t="shared" si="153"/>
        <v>-1839.3339915454944</v>
      </c>
    </row>
    <row r="243" spans="1:34" s="1" customFormat="1">
      <c r="A243" s="1" t="s">
        <v>404</v>
      </c>
      <c r="B243" s="13"/>
      <c r="C243" s="341">
        <f>C222-C203</f>
        <v>1.1613352799977292</v>
      </c>
      <c r="D243" s="341">
        <f t="shared" ref="D243:AH243" si="154">D222-D203+D249+D252</f>
        <v>67.093572616460733</v>
      </c>
      <c r="E243" s="341">
        <f t="shared" si="154"/>
        <v>172.35627348265189</v>
      </c>
      <c r="F243" s="341">
        <f t="shared" si="154"/>
        <v>143.82636531951721</v>
      </c>
      <c r="G243" s="341">
        <f t="shared" si="154"/>
        <v>450.8098830750132</v>
      </c>
      <c r="H243" s="405">
        <f t="shared" si="154"/>
        <v>-36.21656543372228</v>
      </c>
      <c r="I243" s="15">
        <f t="shared" si="154"/>
        <v>-4.3690047953532485</v>
      </c>
      <c r="J243" s="15">
        <f t="shared" si="154"/>
        <v>107.05759297179975</v>
      </c>
      <c r="K243" s="15">
        <f t="shared" si="154"/>
        <v>259.26685010144502</v>
      </c>
      <c r="L243" s="15">
        <f t="shared" si="154"/>
        <v>557.66449419913988</v>
      </c>
      <c r="M243" s="15">
        <f t="shared" si="154"/>
        <v>1330.5341144144768</v>
      </c>
      <c r="N243" s="190">
        <f t="shared" si="154"/>
        <v>2478.5237583868438</v>
      </c>
      <c r="O243" s="15">
        <f t="shared" si="154"/>
        <v>2597.8192381628178</v>
      </c>
      <c r="P243" s="15">
        <f t="shared" si="154"/>
        <v>2712.3176243177004</v>
      </c>
      <c r="Q243" s="15">
        <f t="shared" si="154"/>
        <v>2746.3432757214032</v>
      </c>
      <c r="R243" s="15">
        <f t="shared" si="154"/>
        <v>2920.3746926523309</v>
      </c>
      <c r="S243" s="15">
        <f t="shared" si="154"/>
        <v>3099.4715960849644</v>
      </c>
      <c r="T243" s="15">
        <f t="shared" si="154"/>
        <v>3315.8034452360371</v>
      </c>
      <c r="U243" s="15">
        <f t="shared" si="154"/>
        <v>3552.5418253124008</v>
      </c>
      <c r="V243" s="15">
        <f t="shared" si="154"/>
        <v>3777.7841245579548</v>
      </c>
      <c r="W243" s="15">
        <f t="shared" si="154"/>
        <v>4034.7189186747564</v>
      </c>
      <c r="X243" s="190">
        <f t="shared" si="154"/>
        <v>4200.0052043599717</v>
      </c>
      <c r="Y243" s="130">
        <f t="shared" si="154"/>
        <v>4161.9343847176642</v>
      </c>
      <c r="Z243" s="130">
        <f t="shared" si="154"/>
        <v>4169.0122063300951</v>
      </c>
      <c r="AA243" s="130">
        <f t="shared" si="154"/>
        <v>4201.587641968872</v>
      </c>
      <c r="AB243" s="130">
        <f t="shared" si="154"/>
        <v>4231.6767081415819</v>
      </c>
      <c r="AC243" s="130">
        <f t="shared" si="154"/>
        <v>4259.7589963484643</v>
      </c>
      <c r="AD243" s="130">
        <f t="shared" si="154"/>
        <v>4297.0192160349252</v>
      </c>
      <c r="AE243" s="130">
        <f t="shared" si="154"/>
        <v>4319.8798395553968</v>
      </c>
      <c r="AF243" s="130">
        <f t="shared" si="154"/>
        <v>4340.1408629254729</v>
      </c>
      <c r="AG243" s="130">
        <f t="shared" si="154"/>
        <v>4360.4321089034711</v>
      </c>
      <c r="AH243" s="190">
        <f t="shared" si="154"/>
        <v>4383.2853056792228</v>
      </c>
    </row>
    <row r="244" spans="1:34">
      <c r="A244" t="s">
        <v>444</v>
      </c>
      <c r="C244" s="331"/>
      <c r="D244" s="331">
        <f>D231+D234</f>
        <v>117.20946267447397</v>
      </c>
      <c r="E244" s="331">
        <f t="shared" ref="E244:N244" si="155">E231+E234</f>
        <v>306.45151534701915</v>
      </c>
      <c r="F244" s="331">
        <f t="shared" si="155"/>
        <v>502.26761864042635</v>
      </c>
      <c r="G244" s="331">
        <f t="shared" si="155"/>
        <v>985.32988652990457</v>
      </c>
      <c r="H244" s="402">
        <f t="shared" si="155"/>
        <v>-2.7000000000043656E-4</v>
      </c>
      <c r="I244" s="14">
        <f t="shared" si="155"/>
        <v>157.32229139695903</v>
      </c>
      <c r="J244" s="14">
        <f t="shared" si="155"/>
        <v>384.35664984504183</v>
      </c>
      <c r="K244" s="14">
        <f t="shared" si="155"/>
        <v>603.57735465940027</v>
      </c>
      <c r="L244" s="14">
        <f t="shared" si="155"/>
        <v>1013.4398424059173</v>
      </c>
      <c r="M244" s="14">
        <f t="shared" si="155"/>
        <v>2322.8242256130652</v>
      </c>
      <c r="N244" s="187">
        <f t="shared" si="155"/>
        <v>4278.8944814677125</v>
      </c>
      <c r="O244" s="14">
        <f>O231+O234</f>
        <v>4523.9625872687848</v>
      </c>
      <c r="P244" s="14">
        <f t="shared" ref="P244:AH244" si="156">P231+P234</f>
        <v>4752.2603247109</v>
      </c>
      <c r="Q244" s="14">
        <f t="shared" si="156"/>
        <v>4805.1173924546911</v>
      </c>
      <c r="R244" s="14">
        <f t="shared" si="156"/>
        <v>5151.1765605468781</v>
      </c>
      <c r="S244" s="14">
        <f t="shared" si="156"/>
        <v>5431.677588490782</v>
      </c>
      <c r="T244" s="14">
        <f t="shared" si="156"/>
        <v>5836.4885479351087</v>
      </c>
      <c r="U244" s="14">
        <f t="shared" si="156"/>
        <v>6283.2525244146345</v>
      </c>
      <c r="V244" s="14">
        <f t="shared" si="156"/>
        <v>6704.2243817977223</v>
      </c>
      <c r="W244" s="14">
        <f t="shared" si="156"/>
        <v>7178.8444018044529</v>
      </c>
      <c r="X244" s="187">
        <f t="shared" si="156"/>
        <v>7457.2940040944559</v>
      </c>
      <c r="Y244" s="158">
        <f t="shared" si="156"/>
        <v>7416.0201265723699</v>
      </c>
      <c r="Z244" s="158">
        <f t="shared" si="156"/>
        <v>7471.8233262414133</v>
      </c>
      <c r="AA244" s="158">
        <f t="shared" si="156"/>
        <v>7578.4647840118178</v>
      </c>
      <c r="AB244" s="158">
        <f t="shared" si="156"/>
        <v>7683.141962965341</v>
      </c>
      <c r="AC244" s="158">
        <f t="shared" si="156"/>
        <v>7786.7173216727497</v>
      </c>
      <c r="AD244" s="158">
        <f t="shared" si="156"/>
        <v>7907.3448306701757</v>
      </c>
      <c r="AE244" s="158">
        <f t="shared" si="156"/>
        <v>7998.3936404031692</v>
      </c>
      <c r="AF244" s="158">
        <f t="shared" si="156"/>
        <v>8085.3257022491998</v>
      </c>
      <c r="AG244" s="158">
        <f t="shared" si="156"/>
        <v>8175.5482386689127</v>
      </c>
      <c r="AH244" s="187">
        <f t="shared" si="156"/>
        <v>8268.3049146465928</v>
      </c>
    </row>
    <row r="245" spans="1:34">
      <c r="A245" t="s">
        <v>445</v>
      </c>
      <c r="D245" s="331">
        <f>D231+D234+D237</f>
        <v>150.58028313286212</v>
      </c>
      <c r="E245" s="331">
        <f t="shared" ref="E245:N245" si="157">E231+E234+E237</f>
        <v>513.65140257322935</v>
      </c>
      <c r="F245" s="331">
        <f t="shared" si="157"/>
        <v>167.91408984307725</v>
      </c>
      <c r="G245" s="331">
        <f t="shared" si="157"/>
        <v>1081.2143739472051</v>
      </c>
      <c r="H245" s="402">
        <f t="shared" si="157"/>
        <v>-2.7000000000043656E-4</v>
      </c>
      <c r="I245" s="14">
        <f t="shared" si="157"/>
        <v>-63.660696062107377</v>
      </c>
      <c r="J245" s="14">
        <f t="shared" si="157"/>
        <v>77.214786164068755</v>
      </c>
      <c r="K245" s="14">
        <f t="shared" si="157"/>
        <v>355.10519005946321</v>
      </c>
      <c r="L245" s="14">
        <f t="shared" si="157"/>
        <v>894.87968848397941</v>
      </c>
      <c r="M245" s="14">
        <f t="shared" si="157"/>
        <v>2292.3466020742408</v>
      </c>
      <c r="N245" s="187">
        <f t="shared" si="157"/>
        <v>4278.8944814677125</v>
      </c>
      <c r="O245" s="14">
        <f>O231+O234+O237</f>
        <v>4530.9835981447122</v>
      </c>
      <c r="P245" s="14">
        <f t="shared" ref="P245:AH245" si="158">P231+P234+P237</f>
        <v>4768.5938047495947</v>
      </c>
      <c r="Q245" s="14">
        <f t="shared" si="158"/>
        <v>4829.5736544821093</v>
      </c>
      <c r="R245" s="14">
        <f t="shared" si="158"/>
        <v>5177.2044334030179</v>
      </c>
      <c r="S245" s="14">
        <f t="shared" si="158"/>
        <v>5464.119001230737</v>
      </c>
      <c r="T245" s="14">
        <f t="shared" si="158"/>
        <v>5873.7963440893909</v>
      </c>
      <c r="U245" s="14">
        <f t="shared" si="158"/>
        <v>6316.1059479036685</v>
      </c>
      <c r="V245" s="14">
        <f t="shared" si="158"/>
        <v>6723.7518889279454</v>
      </c>
      <c r="W245" s="14">
        <f t="shared" si="158"/>
        <v>7191.5317433166474</v>
      </c>
      <c r="X245" s="187">
        <f t="shared" si="158"/>
        <v>7456.2559802459255</v>
      </c>
      <c r="Y245" s="158">
        <f t="shared" si="158"/>
        <v>7421.7999017549246</v>
      </c>
      <c r="Z245" s="158">
        <f t="shared" si="158"/>
        <v>7481.3860725133291</v>
      </c>
      <c r="AA245" s="158">
        <f t="shared" si="158"/>
        <v>7595.761195976369</v>
      </c>
      <c r="AB245" s="158">
        <f t="shared" si="158"/>
        <v>7701.6113347574683</v>
      </c>
      <c r="AC245" s="158">
        <f t="shared" si="158"/>
        <v>7802.7242295292235</v>
      </c>
      <c r="AD245" s="158">
        <f t="shared" si="158"/>
        <v>7923.8808290643246</v>
      </c>
      <c r="AE245" s="158">
        <f t="shared" si="158"/>
        <v>8014.1877916629655</v>
      </c>
      <c r="AF245" s="158">
        <f t="shared" si="158"/>
        <v>8097.8481505630853</v>
      </c>
      <c r="AG245" s="158">
        <f t="shared" si="158"/>
        <v>8179.2744291852896</v>
      </c>
      <c r="AH245" s="187">
        <f t="shared" si="158"/>
        <v>8266.3237322752648</v>
      </c>
    </row>
    <row r="246" spans="1:34" s="1" customFormat="1">
      <c r="A246" s="1" t="s">
        <v>448</v>
      </c>
      <c r="B246" s="13"/>
      <c r="C246" s="328"/>
      <c r="D246" s="341">
        <f>D243</f>
        <v>67.093572616460733</v>
      </c>
      <c r="E246" s="341">
        <f>D246+E243</f>
        <v>239.44984609911262</v>
      </c>
      <c r="F246" s="341">
        <f>E246+F243</f>
        <v>383.27621141862983</v>
      </c>
      <c r="G246" s="341">
        <f>F246+G243</f>
        <v>834.08609449364303</v>
      </c>
      <c r="H246" s="405"/>
      <c r="I246" s="15">
        <f t="shared" ref="I246:X246" si="159">H246+I243</f>
        <v>-4.3690047953532485</v>
      </c>
      <c r="J246" s="15">
        <f t="shared" si="159"/>
        <v>102.6885881764465</v>
      </c>
      <c r="K246" s="15">
        <f t="shared" si="159"/>
        <v>361.95543827789152</v>
      </c>
      <c r="L246" s="15">
        <f t="shared" si="159"/>
        <v>919.6199324770314</v>
      </c>
      <c r="M246" s="15">
        <f t="shared" si="159"/>
        <v>2250.1540468915082</v>
      </c>
      <c r="N246" s="190">
        <f t="shared" si="159"/>
        <v>4728.677805278352</v>
      </c>
      <c r="O246" s="15">
        <f t="shared" si="159"/>
        <v>7326.4970434411698</v>
      </c>
      <c r="P246" s="15">
        <f t="shared" si="159"/>
        <v>10038.81466775887</v>
      </c>
      <c r="Q246" s="15">
        <f t="shared" si="159"/>
        <v>12785.157943480273</v>
      </c>
      <c r="R246" s="15">
        <f t="shared" si="159"/>
        <v>15705.532636132604</v>
      </c>
      <c r="S246" s="15">
        <f t="shared" si="159"/>
        <v>18805.004232217569</v>
      </c>
      <c r="T246" s="15">
        <f t="shared" si="159"/>
        <v>22120.807677453606</v>
      </c>
      <c r="U246" s="15">
        <f t="shared" si="159"/>
        <v>25673.349502766006</v>
      </c>
      <c r="V246" s="15">
        <f t="shared" si="159"/>
        <v>29451.133627323961</v>
      </c>
      <c r="W246" s="15">
        <f t="shared" si="159"/>
        <v>33485.852545998714</v>
      </c>
      <c r="X246" s="190">
        <f t="shared" si="159"/>
        <v>37685.857750358686</v>
      </c>
      <c r="Y246" s="130">
        <f t="shared" ref="Y246:AH246" si="160">X246+Y243</f>
        <v>41847.79213507635</v>
      </c>
      <c r="Z246" s="130">
        <f t="shared" si="160"/>
        <v>46016.804341406445</v>
      </c>
      <c r="AA246" s="130">
        <f t="shared" si="160"/>
        <v>50218.391983375317</v>
      </c>
      <c r="AB246" s="130">
        <f t="shared" si="160"/>
        <v>54450.068691516899</v>
      </c>
      <c r="AC246" s="130">
        <f t="shared" si="160"/>
        <v>58709.827687865363</v>
      </c>
      <c r="AD246" s="130">
        <f t="shared" si="160"/>
        <v>63006.846903900288</v>
      </c>
      <c r="AE246" s="130">
        <f t="shared" si="160"/>
        <v>67326.726743455685</v>
      </c>
      <c r="AF246" s="130">
        <f t="shared" si="160"/>
        <v>71666.867606381158</v>
      </c>
      <c r="AG246" s="130">
        <f t="shared" si="160"/>
        <v>76027.299715284636</v>
      </c>
      <c r="AH246" s="190">
        <f t="shared" si="160"/>
        <v>80410.585020963859</v>
      </c>
    </row>
    <row r="247" spans="1:34">
      <c r="A247" t="s">
        <v>457</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V5"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136052</v>
      </c>
      <c r="D4" s="329">
        <f>EIA_electricity_aeo2014!F58 * 1000</f>
        <v>143344</v>
      </c>
      <c r="E4" s="329">
        <f>EIA_electricity_aeo2014!G58 * 1000</f>
        <v>146737.28023506945</v>
      </c>
      <c r="F4" s="329">
        <f>EIA_electricity_aeo2014!H58 * 1000</f>
        <v>130688.63420819565</v>
      </c>
      <c r="G4" s="329">
        <f>EIA_electricity_aeo2014!I58 * 1000</f>
        <v>143795.31300471694</v>
      </c>
      <c r="H4" s="21">
        <f>EIA_electricity_aeo2014!J58 * 1000</f>
        <v>143553.09184099018</v>
      </c>
      <c r="I4" s="21">
        <f>EIA_electricity_aeo2014!K58 * 1000</f>
        <v>142284.45086790866</v>
      </c>
      <c r="J4" s="21">
        <f>EIA_electricity_aeo2014!L58 * 1000</f>
        <v>142886.57777310995</v>
      </c>
      <c r="K4" s="21">
        <f>EIA_electricity_aeo2014!M58 * 1000</f>
        <v>145689.71959000817</v>
      </c>
      <c r="L4" s="21">
        <f>EIA_electricity_aeo2014!N58 * 1000</f>
        <v>147964.53514494299</v>
      </c>
      <c r="M4" s="21">
        <f>EIA_electricity_aeo2014!O58 * 1000</f>
        <v>148703.50134726759</v>
      </c>
      <c r="N4" s="388">
        <f>EIA_electricity_aeo2014!P58 * 1000</f>
        <v>149259.03811054709</v>
      </c>
      <c r="O4" s="21">
        <f>EIA_electricity_aeo2014!Q58 * 1000</f>
        <v>150086.42676989175</v>
      </c>
      <c r="P4" s="21">
        <f>EIA_electricity_aeo2014!R58 * 1000</f>
        <v>150889.54649775344</v>
      </c>
      <c r="Q4" s="21">
        <f>EIA_electricity_aeo2014!S58 * 1000</f>
        <v>152063.18463726813</v>
      </c>
      <c r="R4" s="21">
        <f>EIA_electricity_aeo2014!T58 * 1000</f>
        <v>152578.07227402943</v>
      </c>
      <c r="S4" s="21">
        <f>EIA_electricity_aeo2014!U58 * 1000</f>
        <v>153283.58587983053</v>
      </c>
      <c r="T4" s="21">
        <f>EIA_electricity_aeo2014!V58 * 1000</f>
        <v>153933.23963663686</v>
      </c>
      <c r="U4" s="21">
        <f>EIA_electricity_aeo2014!W58 * 1000</f>
        <v>154223.58971328317</v>
      </c>
      <c r="V4" s="21">
        <f>EIA_electricity_aeo2014!X58 * 1000</f>
        <v>154235.91467762031</v>
      </c>
      <c r="W4" s="21">
        <f>EIA_electricity_aeo2014!Y58 * 1000</f>
        <v>154435.41873557237</v>
      </c>
      <c r="X4" s="388">
        <f>EIA_electricity_aeo2014!Z58 * 1000</f>
        <v>154409.22697334082</v>
      </c>
      <c r="Y4" s="21">
        <f>EIA_electricity_aeo2014!AA58 * 1000</f>
        <v>155094.78668609634</v>
      </c>
      <c r="Z4" s="21">
        <f>EIA_electricity_aeo2014!AB58 * 1000</f>
        <v>155646.68162042298</v>
      </c>
      <c r="AA4" s="21">
        <f>EIA_electricity_aeo2014!AC58 * 1000</f>
        <v>156242.84878608884</v>
      </c>
      <c r="AB4" s="21">
        <f>EIA_electricity_aeo2014!AD58 * 1000</f>
        <v>156737.39467165136</v>
      </c>
      <c r="AC4" s="21">
        <f>EIA_electricity_aeo2014!AE58 * 1000</f>
        <v>157072.09835125768</v>
      </c>
      <c r="AD4" s="21">
        <f>EIA_electricity_aeo2014!AF58 * 1000</f>
        <v>157444.70893889651</v>
      </c>
      <c r="AE4" s="21">
        <f>EIA_electricity_aeo2014!AG58 * 1000</f>
        <v>157711.07011899247</v>
      </c>
      <c r="AF4" s="21">
        <f>EIA_electricity_aeo2014!AH58 * 1000</f>
        <v>157877.45298397058</v>
      </c>
      <c r="AG4" s="21">
        <f>EIA_electricity_aeo2014!AI58 * 1000</f>
        <v>157823.53008093376</v>
      </c>
      <c r="AH4" s="21">
        <f>EIA_electricity_aeo2014!AJ58 * 1000</f>
        <v>157893.16950071082</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527.99</v>
      </c>
      <c r="D7" s="330">
        <f>EIA_RE_aeo2014!F73*1000-D15</f>
        <v>428.99</v>
      </c>
      <c r="E7" s="330">
        <f>EIA_RE_aeo2014!G73*1000-E15</f>
        <v>686.86061081480318</v>
      </c>
      <c r="F7" s="330">
        <f>EIA_RE_aeo2014!H73*1000-F15</f>
        <v>538.87681076808065</v>
      </c>
      <c r="G7" s="330">
        <f>EIA_RE_aeo2014!I73*1000-G15</f>
        <v>691.86880588381064</v>
      </c>
      <c r="H7" s="174">
        <f>EIA_RE_aeo2014!J73*1000-H15</f>
        <v>740.86550310964969</v>
      </c>
      <c r="I7" s="174">
        <f>EIA_RE_aeo2014!K73*1000-I15</f>
        <v>786.37019904819488</v>
      </c>
      <c r="J7" s="174">
        <f>EIA_RE_aeo2014!L73*1000-J15</f>
        <v>800.2871515469709</v>
      </c>
      <c r="K7" s="174">
        <f>EIA_RE_aeo2014!M73*1000-K15</f>
        <v>881.52835308915076</v>
      </c>
      <c r="L7" s="174">
        <f>EIA_RE_aeo2014!N73*1000-L15</f>
        <v>881.52835308915076</v>
      </c>
      <c r="M7" s="174">
        <f>EIA_RE_aeo2014!O73*1000-M15</f>
        <v>881.52835308915076</v>
      </c>
      <c r="N7" s="184">
        <f>EIA_RE_aeo2014!P73*1000-N15</f>
        <v>881.52828315401337</v>
      </c>
      <c r="O7" s="174">
        <f>EIA_RE_aeo2014!Q73*1000-O15</f>
        <v>892.23493309947833</v>
      </c>
      <c r="P7" s="174">
        <f>EIA_RE_aeo2014!R73*1000-P15</f>
        <v>892.23493309947833</v>
      </c>
      <c r="Q7" s="174">
        <f>EIA_RE_aeo2014!S73*1000-Q15</f>
        <v>929.73758066636913</v>
      </c>
      <c r="R7" s="174">
        <f>EIA_RE_aeo2014!T73*1000-R15</f>
        <v>929.73758066636913</v>
      </c>
      <c r="S7" s="83">
        <f>EIA_RE_aeo2014!U73*1000-S15</f>
        <v>929.73758066636913</v>
      </c>
      <c r="T7" s="83">
        <f>EIA_RE_aeo2014!V73*1000-T15</f>
        <v>929.73758066636913</v>
      </c>
      <c r="U7" s="83">
        <f>EIA_RE_aeo2014!W73*1000-U15</f>
        <v>929.73758066636913</v>
      </c>
      <c r="V7" s="83">
        <f>EIA_RE_aeo2014!X73*1000-V15</f>
        <v>935.74920508869889</v>
      </c>
      <c r="W7" s="83">
        <f>EIA_RE_aeo2014!Y73*1000-W15</f>
        <v>935.74920508869889</v>
      </c>
      <c r="X7" s="184">
        <f>EIA_RE_aeo2014!Z73*1000-X15</f>
        <v>939.66144661742806</v>
      </c>
      <c r="Y7" s="174">
        <f>EIA_RE_aeo2014!AA73*1000-Y15</f>
        <v>951.23836941435275</v>
      </c>
      <c r="Z7" s="174">
        <f>EIA_RE_aeo2014!AB73*1000-Z15</f>
        <v>961.35441712335194</v>
      </c>
      <c r="AA7" s="174">
        <f>EIA_RE_aeo2014!AC73*1000-AA15</f>
        <v>961.35441712335194</v>
      </c>
      <c r="AB7" s="174">
        <f>EIA_RE_aeo2014!AD73*1000-AB15</f>
        <v>975.17646764049596</v>
      </c>
      <c r="AC7" s="174">
        <f>EIA_RE_aeo2014!AE73*1000-AC15</f>
        <v>987.46050461301593</v>
      </c>
      <c r="AD7" s="174">
        <f>EIA_RE_aeo2014!AF73*1000-AD15</f>
        <v>992.48177755274219</v>
      </c>
      <c r="AE7" s="174">
        <f>EIA_RE_aeo2014!AG73*1000-AE15</f>
        <v>992.48177755274219</v>
      </c>
      <c r="AF7" s="174">
        <f>EIA_RE_aeo2014!AH73*1000-AF15</f>
        <v>992.48177755274219</v>
      </c>
      <c r="AG7" s="174">
        <f>EIA_RE_aeo2014!AI73*1000-AG15</f>
        <v>992.48177755274219</v>
      </c>
      <c r="AH7" s="174">
        <f>EIA_RE_aeo2014!AJ73*1000-AH15</f>
        <v>992.48177755274219</v>
      </c>
    </row>
    <row r="8" spans="1:34">
      <c r="A8" s="9" t="s">
        <v>59</v>
      </c>
      <c r="B8" s="34">
        <v>0</v>
      </c>
      <c r="C8" s="330">
        <f>EIA_electricity_aeo2014!E52*1000</f>
        <v>15206</v>
      </c>
      <c r="D8" s="330">
        <f>EIA_electricity_aeo2014!F52*1000</f>
        <v>15805</v>
      </c>
      <c r="E8" s="330">
        <f>EIA_electricity_aeo2014!G52*1000</f>
        <v>15030.90042</v>
      </c>
      <c r="F8" s="330">
        <f>EIA_electricity_aeo2014!H52*1000</f>
        <v>15208.859699999999</v>
      </c>
      <c r="G8" s="330">
        <f>EIA_electricity_aeo2014!I52*1000</f>
        <v>14656.983479999999</v>
      </c>
      <c r="H8" s="3">
        <f>EIA_electricity_aeo2014!J52*1000</f>
        <v>14683.76268</v>
      </c>
      <c r="I8" s="3">
        <f>EIA_electricity_aeo2014!K52*1000</f>
        <v>15108.2538</v>
      </c>
      <c r="J8" s="3">
        <f>EIA_electricity_aeo2014!L52*1000</f>
        <v>15259.5648</v>
      </c>
      <c r="K8" s="3">
        <f>EIA_electricity_aeo2014!M52*1000</f>
        <v>15019.470479999998</v>
      </c>
      <c r="L8" s="3">
        <f>EIA_electricity_aeo2014!N52*1000</f>
        <v>14536.21032</v>
      </c>
      <c r="M8" s="3">
        <f>EIA_electricity_aeo2014!O52*1000</f>
        <v>14049.467459999998</v>
      </c>
      <c r="N8" s="388">
        <f>EIA_electricity_aeo2014!P52*1000</f>
        <v>13758.922139999999</v>
      </c>
      <c r="O8" s="3">
        <f>EIA_electricity_aeo2014!Q52*1000</f>
        <v>13758.922560000001</v>
      </c>
      <c r="P8" s="3">
        <f>EIA_electricity_aeo2014!R52*1000</f>
        <v>13758.922139999999</v>
      </c>
      <c r="Q8" s="3">
        <f>EIA_electricity_aeo2014!S52*1000</f>
        <v>13758.922139999999</v>
      </c>
      <c r="R8" s="3">
        <f>EIA_electricity_aeo2014!T52*1000</f>
        <v>13758.922560000001</v>
      </c>
      <c r="S8" s="3">
        <f>EIA_electricity_aeo2014!U52*1000</f>
        <v>13758.922139999999</v>
      </c>
      <c r="T8" s="3">
        <f>EIA_electricity_aeo2014!V52*1000</f>
        <v>13758.922560000001</v>
      </c>
      <c r="U8" s="3">
        <f>EIA_electricity_aeo2014!W52*1000</f>
        <v>13758.922139999999</v>
      </c>
      <c r="V8" s="3">
        <f>EIA_electricity_aeo2014!X52*1000</f>
        <v>13758.922139999999</v>
      </c>
      <c r="W8" s="3">
        <f>EIA_electricity_aeo2014!Y52*1000</f>
        <v>13758.922560000001</v>
      </c>
      <c r="X8" s="184">
        <f>EIA_electricity_aeo2014!Z52*1000</f>
        <v>13758.922560000001</v>
      </c>
      <c r="Y8" s="174">
        <f>EIA_electricity_aeo2014!AA52*1000</f>
        <v>13758.922560000001</v>
      </c>
      <c r="Z8" s="174">
        <f>EIA_electricity_aeo2014!AB52*1000</f>
        <v>13758.922560000001</v>
      </c>
      <c r="AA8" s="174">
        <f>EIA_electricity_aeo2014!AC52*1000</f>
        <v>13758.922139999999</v>
      </c>
      <c r="AB8" s="174">
        <f>EIA_electricity_aeo2014!AD52*1000</f>
        <v>13758.922139999999</v>
      </c>
      <c r="AC8" s="174">
        <f>EIA_electricity_aeo2014!AE52*1000</f>
        <v>13758.922139999999</v>
      </c>
      <c r="AD8" s="174">
        <f>EIA_electricity_aeo2014!AF52*1000</f>
        <v>13758.922139999999</v>
      </c>
      <c r="AE8" s="174">
        <f>EIA_electricity_aeo2014!AG52*1000</f>
        <v>13758.922139999999</v>
      </c>
      <c r="AF8" s="174">
        <f>EIA_electricity_aeo2014!AH52*1000</f>
        <v>13758.922139999999</v>
      </c>
      <c r="AG8" s="174">
        <f>EIA_electricity_aeo2014!AI52*1000</f>
        <v>13758.922139999999</v>
      </c>
      <c r="AH8" s="174">
        <f>EIA_electricity_aeo2014!AJ52*1000</f>
        <v>13758.922560000001</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410</v>
      </c>
      <c r="D10" s="330">
        <f>EIA_RE_aeo2014!F76*1000</f>
        <v>399</v>
      </c>
      <c r="E10" s="330">
        <f>EIA_RE_aeo2014!G76*1000</f>
        <v>450.42247440669121</v>
      </c>
      <c r="F10" s="330">
        <f>EIA_RE_aeo2014!H76*1000</f>
        <v>433.77303417349918</v>
      </c>
      <c r="G10" s="330">
        <f>EIA_RE_aeo2014!I76*1000</f>
        <v>471.95123469894156</v>
      </c>
      <c r="H10" s="83">
        <f>EIA_RE_aeo2014!J76*1000</f>
        <v>535.98764234655084</v>
      </c>
      <c r="I10" s="174">
        <f>EIA_RE_aeo2014!K76*1000</f>
        <v>632.96654306905725</v>
      </c>
      <c r="J10" s="174">
        <f>EIA_RE_aeo2014!L76*1000</f>
        <v>891.77880126896821</v>
      </c>
      <c r="K10" s="174">
        <f>EIA_RE_aeo2014!M76*1000</f>
        <v>1667.9599556439127</v>
      </c>
      <c r="L10" s="174">
        <f>EIA_RE_aeo2014!N76*1000</f>
        <v>2769.2111606913641</v>
      </c>
      <c r="M10" s="174">
        <f>EIA_RE_aeo2014!O76*1000</f>
        <v>2785.6188241124455</v>
      </c>
      <c r="N10" s="184">
        <f>EIA_RE_aeo2014!P76*1000</f>
        <v>3027.873072990802</v>
      </c>
      <c r="O10" s="174">
        <f>EIA_RE_aeo2014!Q76*1000</f>
        <v>3171.2670047818356</v>
      </c>
      <c r="P10" s="174">
        <f>EIA_RE_aeo2014!R76*1000</f>
        <v>3412.8580576109935</v>
      </c>
      <c r="Q10" s="174">
        <f>EIA_RE_aeo2014!S76*1000</f>
        <v>4196.7342177956234</v>
      </c>
      <c r="R10" s="174">
        <f>EIA_RE_aeo2014!T76*1000</f>
        <v>4238.5464751188129</v>
      </c>
      <c r="S10" s="83">
        <f>EIA_RE_aeo2014!U76*1000</f>
        <v>4687.808678379236</v>
      </c>
      <c r="T10" s="83">
        <f>EIA_RE_aeo2014!V76*1000</f>
        <v>4772.7763259951562</v>
      </c>
      <c r="U10" s="83">
        <f>EIA_RE_aeo2014!W76*1000</f>
        <v>4781.4944565836568</v>
      </c>
      <c r="V10" s="83">
        <f>EIA_RE_aeo2014!X76*1000</f>
        <v>4892.0244486182419</v>
      </c>
      <c r="W10" s="83">
        <f>EIA_RE_aeo2014!Y76*1000</f>
        <v>4973.2984805679216</v>
      </c>
      <c r="X10" s="184">
        <f>EIA_RE_aeo2014!Z76*1000</f>
        <v>5594.6668193319083</v>
      </c>
      <c r="Y10" s="174">
        <f>EIA_RE_aeo2014!AA76*1000</f>
        <v>5992.2373977148854</v>
      </c>
      <c r="Z10" s="174">
        <f>EIA_RE_aeo2014!AB76*1000</f>
        <v>6131.7165411766673</v>
      </c>
      <c r="AA10" s="174">
        <f>EIA_RE_aeo2014!AC76*1000</f>
        <v>6157.4237585187011</v>
      </c>
      <c r="AB10" s="174">
        <f>EIA_RE_aeo2014!AD76*1000</f>
        <v>6174.2831035208628</v>
      </c>
      <c r="AC10" s="174">
        <f>EIA_RE_aeo2014!AE76*1000</f>
        <v>6178.0327367174741</v>
      </c>
      <c r="AD10" s="174">
        <f>EIA_RE_aeo2014!AF76*1000</f>
        <v>6152.046397543083</v>
      </c>
      <c r="AE10" s="174">
        <f>EIA_RE_aeo2014!AG76*1000</f>
        <v>6188.2459558751389</v>
      </c>
      <c r="AF10" s="174">
        <f>EIA_RE_aeo2014!AH76*1000</f>
        <v>6224.5021756172237</v>
      </c>
      <c r="AG10" s="174">
        <f>EIA_RE_aeo2014!AI76*1000</f>
        <v>6220.1962303948758</v>
      </c>
      <c r="AH10" s="174">
        <f>EIA_RE_aeo2014!AJ76*1000</f>
        <v>6235.9970372369562</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198</v>
      </c>
      <c r="D12" s="330">
        <f>EIA_RE_aeo2014!F75*1000</f>
        <v>264</v>
      </c>
      <c r="E12" s="330">
        <f>EIA_RE_aeo2014!G75*1000</f>
        <v>173.37698359636573</v>
      </c>
      <c r="F12" s="330">
        <f>EIA_RE_aeo2014!H75*1000</f>
        <v>191.11639660564393</v>
      </c>
      <c r="G12" s="330">
        <f>EIA_RE_aeo2014!I75*1000</f>
        <v>233.00088971257796</v>
      </c>
      <c r="H12" s="83">
        <f>EIA_RE_aeo2014!J75*1000</f>
        <v>233.94931672333044</v>
      </c>
      <c r="I12" s="174">
        <f>EIA_RE_aeo2014!K75*1000</f>
        <v>232.48537715657221</v>
      </c>
      <c r="J12" s="174">
        <f>EIA_RE_aeo2014!L75*1000</f>
        <v>232.49898662529819</v>
      </c>
      <c r="K12" s="174">
        <f>EIA_RE_aeo2014!M75*1000</f>
        <v>232.50675225874988</v>
      </c>
      <c r="L12" s="174">
        <f>EIA_RE_aeo2014!N75*1000</f>
        <v>232.50361462907244</v>
      </c>
      <c r="M12" s="174">
        <f>EIA_RE_aeo2014!O75*1000</f>
        <v>232.49235838260455</v>
      </c>
      <c r="N12" s="184">
        <f>EIA_RE_aeo2014!P75*1000</f>
        <v>232.46160961176551</v>
      </c>
      <c r="O12" s="174">
        <f>EIA_RE_aeo2014!Q75*1000</f>
        <v>232.44376434297499</v>
      </c>
      <c r="P12" s="174">
        <f>EIA_RE_aeo2014!R75*1000</f>
        <v>232.42764477050707</v>
      </c>
      <c r="Q12" s="174">
        <f>EIA_RE_aeo2014!S75*1000</f>
        <v>232.4094857387488</v>
      </c>
      <c r="R12" s="174">
        <f>EIA_RE_aeo2014!T75*1000</f>
        <v>234.98712695951943</v>
      </c>
      <c r="S12" s="83">
        <f>EIA_RE_aeo2014!U75*1000</f>
        <v>234.97626291676127</v>
      </c>
      <c r="T12" s="83">
        <f>EIA_RE_aeo2014!V75*1000</f>
        <v>234.96100619245465</v>
      </c>
      <c r="U12" s="83">
        <f>EIA_RE_aeo2014!W75*1000</f>
        <v>234.94480817924475</v>
      </c>
      <c r="V12" s="83">
        <f>EIA_RE_aeo2014!X75*1000</f>
        <v>234.92759043638972</v>
      </c>
      <c r="W12" s="83">
        <f>EIA_RE_aeo2014!Y75*1000</f>
        <v>234.89182145806674</v>
      </c>
      <c r="X12" s="184">
        <f>EIA_RE_aeo2014!Z75*1000</f>
        <v>234.84969877964693</v>
      </c>
      <c r="Y12" s="174">
        <f>EIA_RE_aeo2014!AA75*1000</f>
        <v>234.81118437535619</v>
      </c>
      <c r="Z12" s="174">
        <f>EIA_RE_aeo2014!AB75*1000</f>
        <v>234.77153258030737</v>
      </c>
      <c r="AA12" s="174">
        <f>EIA_RE_aeo2014!AC75*1000</f>
        <v>234.7307041741295</v>
      </c>
      <c r="AB12" s="174">
        <f>EIA_RE_aeo2014!AD75*1000</f>
        <v>239.76899224907265</v>
      </c>
      <c r="AC12" s="174">
        <f>EIA_RE_aeo2014!AE75*1000</f>
        <v>239.74647975613692</v>
      </c>
      <c r="AD12" s="174">
        <f>EIA_RE_aeo2014!AF75*1000</f>
        <v>239.72130027797539</v>
      </c>
      <c r="AE12" s="174">
        <f>EIA_RE_aeo2014!AG75*1000</f>
        <v>239.69466964608796</v>
      </c>
      <c r="AF12" s="174">
        <f>EIA_RE_aeo2014!AH75*1000</f>
        <v>239.66992159200703</v>
      </c>
      <c r="AG12" s="174">
        <f>EIA_RE_aeo2014!AI75*1000</f>
        <v>239.6457226231197</v>
      </c>
      <c r="AH12" s="174">
        <f>EIA_RE_aeo2014!AJ75*1000</f>
        <v>239.62419063945813</v>
      </c>
    </row>
    <row r="13" spans="1:34">
      <c r="A13" s="9" t="s">
        <v>347</v>
      </c>
      <c r="B13" s="34">
        <v>1</v>
      </c>
      <c r="C13" s="330">
        <f>(EIA_RE_aeo2014!E34+EIA_RE_aeo2014!E54)*1000</f>
        <v>5.4420799999999998</v>
      </c>
      <c r="D13" s="330">
        <f>(EIA_RE_aeo2014!F34+EIA_RE_aeo2014!F54)*1000</f>
        <v>14.3344</v>
      </c>
      <c r="E13" s="330">
        <f>(EIA_RE_aeo2014!G34+EIA_RE_aeo2014!G54)*1000</f>
        <v>44.03118407052083</v>
      </c>
      <c r="F13" s="330">
        <f>(EIA_RE_aeo2014!H34+EIA_RE_aeo2014!H54)*1000</f>
        <v>78.423180524917385</v>
      </c>
      <c r="G13" s="330">
        <f>(EIA_RE_aeo2014!I34+EIA_RE_aeo2014!I54)*1000</f>
        <v>129.42578170424525</v>
      </c>
      <c r="H13" s="83">
        <f>(EIA_RE_aeo2014!J34+EIA_RE_aeo2014!J54)*1000</f>
        <v>172.27371020918821</v>
      </c>
      <c r="I13" s="83">
        <f>(EIA_RE_aeo2014!K34+EIA_RE_aeo2014!K54)*1000</f>
        <v>213.43667630186297</v>
      </c>
      <c r="J13" s="83">
        <f>(EIA_RE_aeo2014!L34+EIA_RE_aeo2014!L54)*1000</f>
        <v>257.20583999159794</v>
      </c>
      <c r="K13" s="83">
        <f>(EIA_RE_aeo2014!M34+EIA_RE_aeo2014!M54)*1000</f>
        <v>320.52738309801799</v>
      </c>
      <c r="L13" s="83">
        <f>(EIA_RE_aeo2014!N34+EIA_RE_aeo2014!N54)*1000</f>
        <v>384.71779137685178</v>
      </c>
      <c r="M13" s="83">
        <f>(EIA_RE_aeo2014!O34+EIA_RE_aeo2014!O54)*1000</f>
        <v>446.1205040418028</v>
      </c>
      <c r="N13" s="388">
        <f>(EIA_RE_aeo2014!P34+EIA_RE_aeo2014!P54)*1000</f>
        <v>507.49072957586003</v>
      </c>
      <c r="O13" s="83">
        <f>(EIA_RE_aeo2014!Q34+EIA_RE_aeo2014!Q54)*1000</f>
        <v>570.33842172558855</v>
      </c>
      <c r="P13" s="83">
        <f>(EIA_RE_aeo2014!R34+EIA_RE_aeo2014!R54)*1000</f>
        <v>633.74609529056431</v>
      </c>
      <c r="Q13" s="83">
        <f>(EIA_RE_aeo2014!S34+EIA_RE_aeo2014!S54)*1000</f>
        <v>699.50064933143346</v>
      </c>
      <c r="R13" s="83">
        <f>(EIA_RE_aeo2014!T34+EIA_RE_aeo2014!T54)*1000</f>
        <v>762.90036137014715</v>
      </c>
      <c r="S13" s="83">
        <f>(EIA_RE_aeo2014!U34+EIA_RE_aeo2014!U54)*1000</f>
        <v>787.5044224576319</v>
      </c>
      <c r="T13" s="83">
        <f>(EIA_RE_aeo2014!V34+EIA_RE_aeo2014!V54)*1000</f>
        <v>843.99426079010959</v>
      </c>
      <c r="U13" s="83">
        <f>(EIA_RE_aeo2014!W34+EIA_RE_aeo2014!W54)*1000</f>
        <v>898.83868881281376</v>
      </c>
      <c r="V13" s="83">
        <f>(EIA_RE_aeo2014!X34+EIA_RE_aeo2014!X54)*1000</f>
        <v>952.167273860563</v>
      </c>
      <c r="W13" s="83">
        <f>(EIA_RE_aeo2014!Y34+EIA_RE_aeo2014!Y54)*1000</f>
        <v>1006.7245303370173</v>
      </c>
      <c r="X13" s="184">
        <f>(EIA_RE_aeo2014!Z34+EIA_RE_aeo2014!Z54)*1000</f>
        <v>1059.8703924971589</v>
      </c>
      <c r="Y13" s="174">
        <f>(EIA_RE_aeo2014!AA34+EIA_RE_aeo2014!AA54)*1000</f>
        <v>1118.1293717224255</v>
      </c>
      <c r="Z13" s="174">
        <f>(EIA_RE_aeo2014!AB34+EIA_RE_aeo2014!AB54)*1000</f>
        <v>1175.8520119886377</v>
      </c>
      <c r="AA13" s="174">
        <f>(EIA_RE_aeo2014!AC34+EIA_RE_aeo2014!AC54)*1000</f>
        <v>1234.3055285205721</v>
      </c>
      <c r="AB13" s="174">
        <f>(EIA_RE_aeo2014!AD34+EIA_RE_aeo2014!AD54)*1000</f>
        <v>1292.332868684626</v>
      </c>
      <c r="AC13" s="174">
        <f>(EIA_RE_aeo2014!AE34+EIA_RE_aeo2014!AE54)*1000</f>
        <v>1349.3286213512956</v>
      </c>
      <c r="AD13" s="174">
        <f>(EIA_RE_aeo2014!AF34+EIA_RE_aeo2014!AF54)*1000</f>
        <v>1406.8942425373907</v>
      </c>
      <c r="AE13" s="174">
        <f>(EIA_RE_aeo2014!AG34+EIA_RE_aeo2014!AG54)*1000</f>
        <v>1463.7310803352675</v>
      </c>
      <c r="AF13" s="174">
        <f>(EIA_RE_aeo2014!AH34+EIA_RE_aeo2014!AH54)*1000</f>
        <v>1519.7894404232075</v>
      </c>
      <c r="AG13" s="174">
        <f>(EIA_RE_aeo2014!AI34+EIA_RE_aeo2014!AI54)*1000</f>
        <v>1573.7658976761697</v>
      </c>
      <c r="AH13" s="174">
        <f>(EIA_RE_aeo2014!AJ34+EIA_RE_aeo2014!AJ54)*1000</f>
        <v>1628.9798979885941</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14</v>
      </c>
      <c r="D16" s="330">
        <f>EIA_RE_aeo2014!F78*1000</f>
        <v>13</v>
      </c>
      <c r="E16" s="330">
        <f>EIA_RE_aeo2014!G78*1000</f>
        <v>161.45131462934285</v>
      </c>
      <c r="F16" s="330">
        <f>EIA_RE_aeo2014!H78*1000</f>
        <v>190.52200903903051</v>
      </c>
      <c r="G16" s="330">
        <f>EIA_RE_aeo2014!I78*1000</f>
        <v>218.98418114806276</v>
      </c>
      <c r="H16" s="3">
        <f>EIA_RE_aeo2014!J78*1000</f>
        <v>219.50771041626808</v>
      </c>
      <c r="I16" s="3">
        <f>EIA_RE_aeo2014!K78*1000</f>
        <v>221.0263058159403</v>
      </c>
      <c r="J16" s="3">
        <f>EIA_RE_aeo2014!L78*1000</f>
        <v>222.41587301107035</v>
      </c>
      <c r="K16" s="3">
        <f>EIA_RE_aeo2014!M78*1000</f>
        <v>222.39950789302097</v>
      </c>
      <c r="L16" s="3">
        <f>EIA_RE_aeo2014!N78*1000</f>
        <v>222.37132280772579</v>
      </c>
      <c r="M16" s="3">
        <f>EIA_RE_aeo2014!O78*1000</f>
        <v>222.34853267480096</v>
      </c>
      <c r="N16" s="388">
        <f>EIA_RE_aeo2014!P78*1000</f>
        <v>222.42341821892006</v>
      </c>
      <c r="O16" s="3">
        <f>EIA_RE_aeo2014!Q78*1000</f>
        <v>222.44665900419082</v>
      </c>
      <c r="P16" s="3">
        <f>EIA_RE_aeo2014!R78*1000</f>
        <v>222.47264233088143</v>
      </c>
      <c r="Q16" s="3">
        <f>EIA_RE_aeo2014!S78*1000</f>
        <v>222.50377597009737</v>
      </c>
      <c r="R16" s="3">
        <f>EIA_RE_aeo2014!T78*1000</f>
        <v>222.64341381844184</v>
      </c>
      <c r="S16" s="3">
        <f>EIA_RE_aeo2014!U78*1000</f>
        <v>222.84549920615666</v>
      </c>
      <c r="T16" s="3">
        <f>EIA_RE_aeo2014!V78*1000</f>
        <v>223.16099447568035</v>
      </c>
      <c r="U16" s="3">
        <f>EIA_RE_aeo2014!W78*1000</f>
        <v>223.50936161489736</v>
      </c>
      <c r="V16" s="3">
        <f>EIA_RE_aeo2014!X78*1000</f>
        <v>223.8530805970602</v>
      </c>
      <c r="W16" s="3">
        <f>EIA_RE_aeo2014!Y78*1000</f>
        <v>224.20946934803553</v>
      </c>
      <c r="X16" s="184">
        <f>EIA_RE_aeo2014!Z78*1000</f>
        <v>224.61800501333033</v>
      </c>
      <c r="Y16" s="174">
        <f>EIA_RE_aeo2014!AA78*1000</f>
        <v>224.94852631964685</v>
      </c>
      <c r="Z16" s="174">
        <f>EIA_RE_aeo2014!AB78*1000</f>
        <v>225.2749145001618</v>
      </c>
      <c r="AA16" s="174">
        <f>EIA_RE_aeo2014!AC78*1000</f>
        <v>225.89837270714091</v>
      </c>
      <c r="AB16" s="174">
        <f>EIA_RE_aeo2014!AD78*1000</f>
        <v>226.92104451374388</v>
      </c>
      <c r="AC16" s="174">
        <f>EIA_RE_aeo2014!AE78*1000</f>
        <v>227.62228531563758</v>
      </c>
      <c r="AD16" s="174">
        <f>EIA_RE_aeo2014!AF78*1000</f>
        <v>228.06492892563176</v>
      </c>
      <c r="AE16" s="174">
        <f>EIA_RE_aeo2014!AG78*1000</f>
        <v>229.37355895942537</v>
      </c>
      <c r="AF16" s="174">
        <f>EIA_RE_aeo2014!AH78*1000</f>
        <v>230.35854335412387</v>
      </c>
      <c r="AG16" s="174">
        <f>EIA_RE_aeo2014!AI78*1000</f>
        <v>232.35539677490328</v>
      </c>
      <c r="AH16" s="174">
        <f>EIA_RE_aeo2014!AJ78*1000</f>
        <v>235.14466440505706</v>
      </c>
    </row>
    <row r="17" spans="1:34">
      <c r="A17" s="11" t="s">
        <v>327</v>
      </c>
      <c r="B17" s="36"/>
      <c r="C17" s="330">
        <f t="shared" ref="C17:AH17" si="0">SUM(C7:C16)</f>
        <v>16361.442080000001</v>
      </c>
      <c r="D17" s="330">
        <f t="shared" si="0"/>
        <v>16924.334399999996</v>
      </c>
      <c r="E17" s="330">
        <f t="shared" si="0"/>
        <v>16547.062987617719</v>
      </c>
      <c r="F17" s="330">
        <f t="shared" si="0"/>
        <v>16641.591131211171</v>
      </c>
      <c r="G17" s="330">
        <f t="shared" si="0"/>
        <v>16402.234373247637</v>
      </c>
      <c r="H17" s="3">
        <f t="shared" si="0"/>
        <v>16586.366562904986</v>
      </c>
      <c r="I17" s="3">
        <f t="shared" si="0"/>
        <v>17194.558901491626</v>
      </c>
      <c r="J17" s="3">
        <f t="shared" si="0"/>
        <v>17663.771452543904</v>
      </c>
      <c r="K17" s="3">
        <f t="shared" si="0"/>
        <v>18344.412432082845</v>
      </c>
      <c r="L17" s="3">
        <f t="shared" si="0"/>
        <v>19026.562562694158</v>
      </c>
      <c r="M17" s="3">
        <f t="shared" si="0"/>
        <v>18617.596032400801</v>
      </c>
      <c r="N17" s="388">
        <f t="shared" si="0"/>
        <v>18630.719253651358</v>
      </c>
      <c r="O17" s="3">
        <f t="shared" si="0"/>
        <v>18847.673343054066</v>
      </c>
      <c r="P17" s="3">
        <f t="shared" si="0"/>
        <v>19152.681513202424</v>
      </c>
      <c r="Q17" s="3">
        <f t="shared" si="0"/>
        <v>20039.827849602269</v>
      </c>
      <c r="R17" s="3">
        <f t="shared" si="0"/>
        <v>20147.75751803329</v>
      </c>
      <c r="S17" s="3">
        <f t="shared" si="0"/>
        <v>20621.814583726147</v>
      </c>
      <c r="T17" s="3">
        <f t="shared" si="0"/>
        <v>20763.572728219769</v>
      </c>
      <c r="U17" s="3">
        <f t="shared" si="0"/>
        <v>20827.467035956979</v>
      </c>
      <c r="V17" s="3">
        <f t="shared" si="0"/>
        <v>20997.663738700947</v>
      </c>
      <c r="W17" s="3">
        <f t="shared" si="0"/>
        <v>21133.816066899741</v>
      </c>
      <c r="X17" s="184">
        <f t="shared" si="0"/>
        <v>21812.60892233947</v>
      </c>
      <c r="Y17" s="174">
        <f t="shared" si="0"/>
        <v>22280.307409646666</v>
      </c>
      <c r="Z17" s="174">
        <f t="shared" si="0"/>
        <v>22487.911977469124</v>
      </c>
      <c r="AA17" s="174">
        <f t="shared" si="0"/>
        <v>22572.654921143894</v>
      </c>
      <c r="AB17" s="174">
        <f t="shared" si="0"/>
        <v>22667.424616708795</v>
      </c>
      <c r="AC17" s="174">
        <f t="shared" si="0"/>
        <v>22741.132767853553</v>
      </c>
      <c r="AD17" s="174">
        <f t="shared" si="0"/>
        <v>22778.150786936822</v>
      </c>
      <c r="AE17" s="174">
        <f t="shared" si="0"/>
        <v>22872.469182468656</v>
      </c>
      <c r="AF17" s="174">
        <f t="shared" si="0"/>
        <v>22965.743998639296</v>
      </c>
      <c r="AG17" s="174">
        <f t="shared" si="0"/>
        <v>23017.387165121811</v>
      </c>
      <c r="AH17" s="174">
        <f t="shared" si="0"/>
        <v>23091.170127922804</v>
      </c>
    </row>
    <row r="18" spans="1:34">
      <c r="A18" s="10" t="s">
        <v>126</v>
      </c>
      <c r="B18" s="37"/>
      <c r="C18" s="331">
        <f t="shared" ref="C18:AH18" si="1">SUMPRODUCT($B7:$B16,C7:C16)</f>
        <v>627.45208000000002</v>
      </c>
      <c r="D18" s="331">
        <f t="shared" si="1"/>
        <v>690.34439999999995</v>
      </c>
      <c r="E18" s="331">
        <f t="shared" si="1"/>
        <v>829.30195680292059</v>
      </c>
      <c r="F18" s="331">
        <f t="shared" si="1"/>
        <v>893.85462044309099</v>
      </c>
      <c r="G18" s="331">
        <f t="shared" si="1"/>
        <v>1053.3820873638276</v>
      </c>
      <c r="H18" s="14">
        <f t="shared" si="1"/>
        <v>1161.7383797953376</v>
      </c>
      <c r="I18" s="14">
        <f t="shared" si="1"/>
        <v>1299.9349024434327</v>
      </c>
      <c r="J18" s="14">
        <f t="shared" si="1"/>
        <v>1603.9195009969346</v>
      </c>
      <c r="K18" s="14">
        <f t="shared" si="1"/>
        <v>2443.4135989937022</v>
      </c>
      <c r="L18" s="14">
        <f t="shared" si="1"/>
        <v>3608.8238896050143</v>
      </c>
      <c r="M18" s="14">
        <f t="shared" si="1"/>
        <v>3686.6002193116537</v>
      </c>
      <c r="N18" s="190">
        <f t="shared" si="1"/>
        <v>3990.2688304973481</v>
      </c>
      <c r="O18" s="14">
        <f t="shared" si="1"/>
        <v>4196.5158499545905</v>
      </c>
      <c r="P18" s="14">
        <f t="shared" si="1"/>
        <v>4501.5244401029458</v>
      </c>
      <c r="Q18" s="14">
        <f t="shared" si="1"/>
        <v>5351.168128935903</v>
      </c>
      <c r="R18" s="14">
        <f t="shared" si="1"/>
        <v>5459.097377366922</v>
      </c>
      <c r="S18" s="14">
        <f t="shared" si="1"/>
        <v>5933.1548630597872</v>
      </c>
      <c r="T18" s="14">
        <f t="shared" si="1"/>
        <v>6074.912587553401</v>
      </c>
      <c r="U18" s="14">
        <f t="shared" si="1"/>
        <v>6138.8073152906118</v>
      </c>
      <c r="V18" s="14">
        <f t="shared" si="1"/>
        <v>6302.992393612255</v>
      </c>
      <c r="W18" s="14">
        <f t="shared" si="1"/>
        <v>6439.1443018110422</v>
      </c>
      <c r="X18" s="187">
        <f t="shared" si="1"/>
        <v>7114.0249157220451</v>
      </c>
      <c r="Y18" s="14">
        <f t="shared" si="1"/>
        <v>7570.1464802323135</v>
      </c>
      <c r="Z18" s="14">
        <f t="shared" si="1"/>
        <v>7767.6350003457746</v>
      </c>
      <c r="AA18" s="14">
        <f t="shared" si="1"/>
        <v>7852.3783640205438</v>
      </c>
      <c r="AB18" s="14">
        <f t="shared" si="1"/>
        <v>7933.3260090683061</v>
      </c>
      <c r="AC18" s="14">
        <f t="shared" si="1"/>
        <v>7994.7501232405448</v>
      </c>
      <c r="AD18" s="14">
        <f t="shared" si="1"/>
        <v>8026.746869384081</v>
      </c>
      <c r="AE18" s="14">
        <f t="shared" si="1"/>
        <v>8121.0652649159201</v>
      </c>
      <c r="AF18" s="14">
        <f t="shared" si="1"/>
        <v>8214.3400810865623</v>
      </c>
      <c r="AG18" s="14">
        <f t="shared" si="1"/>
        <v>8265.9832475690691</v>
      </c>
      <c r="AH18" s="14">
        <f t="shared" si="1"/>
        <v>8339.7657903700656</v>
      </c>
    </row>
    <row r="19" spans="1:34">
      <c r="A19" s="10" t="s">
        <v>112</v>
      </c>
      <c r="B19" s="37"/>
      <c r="C19" s="332">
        <f t="shared" ref="C19:AH19" si="2">C18/C4</f>
        <v>4.6118548790168466E-3</v>
      </c>
      <c r="D19" s="332">
        <f t="shared" si="2"/>
        <v>4.8159978792275916E-3</v>
      </c>
      <c r="E19" s="332">
        <f t="shared" si="2"/>
        <v>5.6516105210236934E-3</v>
      </c>
      <c r="F19" s="332">
        <f t="shared" si="2"/>
        <v>6.83957427406519E-3</v>
      </c>
      <c r="G19" s="332">
        <f t="shared" si="2"/>
        <v>7.3255662187631486E-3</v>
      </c>
      <c r="H19" s="23">
        <f t="shared" si="2"/>
        <v>8.0927437012792685E-3</v>
      </c>
      <c r="I19" s="23">
        <f t="shared" si="2"/>
        <v>9.1361697958847361E-3</v>
      </c>
      <c r="J19" s="23">
        <f t="shared" si="2"/>
        <v>1.1225123632982543E-2</v>
      </c>
      <c r="K19" s="23">
        <f t="shared" si="2"/>
        <v>1.6771352198836124E-2</v>
      </c>
      <c r="L19" s="23">
        <f t="shared" si="2"/>
        <v>2.4389789661893542E-2</v>
      </c>
      <c r="M19" s="23">
        <f t="shared" si="2"/>
        <v>2.4791616780443716E-2</v>
      </c>
      <c r="N19" s="183">
        <f t="shared" si="2"/>
        <v>2.6733850633165669E-2</v>
      </c>
      <c r="O19" s="23">
        <f t="shared" si="2"/>
        <v>2.7960662001691661E-2</v>
      </c>
      <c r="P19" s="23">
        <f t="shared" si="2"/>
        <v>2.9833242557793543E-2</v>
      </c>
      <c r="Q19" s="23">
        <f t="shared" si="2"/>
        <v>3.5190425228174671E-2</v>
      </c>
      <c r="R19" s="23">
        <f t="shared" si="2"/>
        <v>3.5779042794317206E-2</v>
      </c>
      <c r="S19" s="23">
        <f t="shared" si="2"/>
        <v>3.8707046348140581E-2</v>
      </c>
      <c r="T19" s="23">
        <f t="shared" si="2"/>
        <v>3.9464592585028282E-2</v>
      </c>
      <c r="U19" s="23">
        <f t="shared" si="2"/>
        <v>3.9804593620880298E-2</v>
      </c>
      <c r="V19" s="23">
        <f t="shared" si="2"/>
        <v>4.0865918983828096E-2</v>
      </c>
      <c r="W19" s="23">
        <f t="shared" si="2"/>
        <v>4.1694737868625091E-2</v>
      </c>
      <c r="X19" s="185">
        <f t="shared" si="2"/>
        <v>4.6072537601333251E-2</v>
      </c>
      <c r="Y19" s="172">
        <f t="shared" si="2"/>
        <v>4.8809806196477061E-2</v>
      </c>
      <c r="Z19" s="172">
        <f t="shared" si="2"/>
        <v>4.9905561233157404E-2</v>
      </c>
      <c r="AA19" s="172">
        <f t="shared" si="2"/>
        <v>5.0257521704376938E-2</v>
      </c>
      <c r="AB19" s="172">
        <f t="shared" si="2"/>
        <v>5.0615400528302795E-2</v>
      </c>
      <c r="AC19" s="172">
        <f t="shared" si="2"/>
        <v>5.0898601388529363E-2</v>
      </c>
      <c r="AD19" s="172">
        <f t="shared" si="2"/>
        <v>5.0981369418385603E-2</v>
      </c>
      <c r="AE19" s="172">
        <f t="shared" si="2"/>
        <v>5.149331152714013E-2</v>
      </c>
      <c r="AF19" s="172">
        <f t="shared" si="2"/>
        <v>5.2029849264926833E-2</v>
      </c>
      <c r="AG19" s="172">
        <f t="shared" si="2"/>
        <v>5.2374847041693817E-2</v>
      </c>
      <c r="AH19" s="172">
        <f t="shared" si="2"/>
        <v>5.2819040980316256E-2</v>
      </c>
    </row>
    <row r="20" spans="1:34">
      <c r="A20" s="10" t="s">
        <v>142</v>
      </c>
      <c r="B20" s="37"/>
      <c r="C20" s="331">
        <f>EIA_electricity_aeo2014!E49*1000</f>
        <v>113712</v>
      </c>
      <c r="D20" s="331">
        <f>EIA_electricity_aeo2014!F49*1000</f>
        <v>117828</v>
      </c>
      <c r="E20" s="331">
        <f>EIA_electricity_aeo2014!G49*1000</f>
        <v>121736.18574776538</v>
      </c>
      <c r="F20" s="331">
        <f>EIA_electricity_aeo2014!H49*1000</f>
        <v>102988.68360518556</v>
      </c>
      <c r="G20" s="331">
        <f>EIA_electricity_aeo2014!I49*1000</f>
        <v>118601.68835032551</v>
      </c>
      <c r="H20" s="14">
        <f>EIA_electricity_aeo2014!J49*1000</f>
        <v>118532.9078996944</v>
      </c>
      <c r="I20" s="14">
        <f>EIA_electricity_aeo2014!K49*1000</f>
        <v>115876.08519814021</v>
      </c>
      <c r="J20" s="14">
        <f>EIA_electricity_aeo2014!L49*1000</f>
        <v>114792.90506681307</v>
      </c>
      <c r="K20" s="14">
        <f>EIA_electricity_aeo2014!M49*1000</f>
        <v>116687.54646208543</v>
      </c>
      <c r="L20" s="14">
        <f>EIA_electricity_aeo2014!N49*1000</f>
        <v>118083.38710574119</v>
      </c>
      <c r="M20" s="14">
        <f>EIA_electricity_aeo2014!O49*1000</f>
        <v>119119.32523220801</v>
      </c>
      <c r="N20" s="190">
        <f>EIA_electricity_aeo2014!P49*1000</f>
        <v>119629.36980739159</v>
      </c>
      <c r="O20" s="14">
        <f>EIA_electricity_aeo2014!Q49*1000</f>
        <v>120499.71129175671</v>
      </c>
      <c r="P20" s="14">
        <f>EIA_electricity_aeo2014!R49*1000</f>
        <v>120909.57612735814</v>
      </c>
      <c r="Q20" s="14">
        <f>EIA_electricity_aeo2014!S49*1000</f>
        <v>120835.35478878142</v>
      </c>
      <c r="R20" s="14">
        <f>EIA_electricity_aeo2014!T49*1000</f>
        <v>121361.17686955807</v>
      </c>
      <c r="S20" s="14">
        <f>EIA_electricity_aeo2014!U49*1000</f>
        <v>121614.61102510818</v>
      </c>
      <c r="T20" s="14">
        <f>EIA_electricity_aeo2014!V49*1000</f>
        <v>121572.16693447538</v>
      </c>
      <c r="U20" s="14">
        <f>EIA_electricity_aeo2014!W49*1000</f>
        <v>121649.1025872552</v>
      </c>
      <c r="V20" s="14">
        <f>EIA_electricity_aeo2014!X49*1000</f>
        <v>121620.95520635432</v>
      </c>
      <c r="W20" s="14">
        <f>EIA_electricity_aeo2014!Y49*1000</f>
        <v>121578.86742488944</v>
      </c>
      <c r="X20" s="187">
        <f>EIA_electricity_aeo2014!Z49*1000</f>
        <v>121026.3391112008</v>
      </c>
      <c r="Y20" s="14">
        <f>EIA_electricity_aeo2014!AA49*1000</f>
        <v>120630.98174507337</v>
      </c>
      <c r="Z20" s="14">
        <f>EIA_electricity_aeo2014!AB49*1000</f>
        <v>120423.13559992252</v>
      </c>
      <c r="AA20" s="14">
        <f>EIA_electricity_aeo2014!AC49*1000</f>
        <v>120316.20346251462</v>
      </c>
      <c r="AB20" s="14">
        <f>EIA_electricity_aeo2014!AD49*1000</f>
        <v>120256.35056501771</v>
      </c>
      <c r="AC20" s="14">
        <f>EIA_electricity_aeo2014!AE49*1000</f>
        <v>120179.26753692319</v>
      </c>
      <c r="AD20" s="14">
        <f>EIA_electricity_aeo2014!AF49*1000</f>
        <v>120118.72601848684</v>
      </c>
      <c r="AE20" s="14">
        <f>EIA_electricity_aeo2014!AG49*1000</f>
        <v>120000.17992375698</v>
      </c>
      <c r="AF20" s="14">
        <f>EIA_electricity_aeo2014!AH49*1000</f>
        <v>119889.15257848936</v>
      </c>
      <c r="AG20" s="14">
        <f>EIA_electricity_aeo2014!AI49*1000</f>
        <v>119817.56991014886</v>
      </c>
      <c r="AH20" s="14">
        <f>EIA_electricity_aeo2014!AJ49*1000</f>
        <v>119737.33070274844</v>
      </c>
    </row>
    <row r="21" spans="1:34">
      <c r="A21" s="10" t="s">
        <v>222</v>
      </c>
      <c r="B21" s="37"/>
      <c r="C21" s="331">
        <f>EIA_electricity_aeo2014!E51*1000</f>
        <v>4650</v>
      </c>
      <c r="D21" s="331">
        <f>EIA_electricity_aeo2014!F51*1000</f>
        <v>7128</v>
      </c>
      <c r="E21" s="331">
        <f>EIA_electricity_aeo2014!G51*1000</f>
        <v>7067.6117279999989</v>
      </c>
      <c r="F21" s="331">
        <f>EIA_electricity_aeo2014!H51*1000</f>
        <v>10064.872080000001</v>
      </c>
      <c r="G21" s="331">
        <f>EIA_electricity_aeo2014!I51*1000</f>
        <v>8174.7298079999982</v>
      </c>
      <c r="H21" s="14">
        <f>EIA_electricity_aeo2014!J51*1000</f>
        <v>7859.9262239999998</v>
      </c>
      <c r="I21" s="14">
        <f>EIA_electricity_aeo2014!K51*1000</f>
        <v>8690.9899679999999</v>
      </c>
      <c r="J21" s="14">
        <f>EIA_electricity_aeo2014!L51*1000</f>
        <v>9976.0638239999989</v>
      </c>
      <c r="K21" s="14">
        <f>EIA_electricity_aeo2014!M51*1000</f>
        <v>10252.154663999998</v>
      </c>
      <c r="L21" s="14">
        <f>EIA_electricity_aeo2014!N51*1000</f>
        <v>10498.944959999999</v>
      </c>
      <c r="M21" s="14">
        <f>EIA_electricity_aeo2014!O51*1000</f>
        <v>10664.027135999999</v>
      </c>
      <c r="N21" s="190">
        <f>EIA_electricity_aeo2014!P51*1000</f>
        <v>10754.173295999999</v>
      </c>
      <c r="O21" s="14">
        <f>EIA_electricity_aeo2014!Q51*1000</f>
        <v>10550.373047999999</v>
      </c>
      <c r="P21" s="14">
        <f>EIA_electricity_aeo2014!R51*1000</f>
        <v>10697.591448000001</v>
      </c>
      <c r="Q21" s="14">
        <f>EIA_electricity_aeo2014!S51*1000</f>
        <v>11122.703567999999</v>
      </c>
      <c r="R21" s="14">
        <f>EIA_electricity_aeo2014!T51*1000</f>
        <v>11071.388664</v>
      </c>
      <c r="S21" s="14">
        <f>EIA_electricity_aeo2014!U51*1000</f>
        <v>11076.562656</v>
      </c>
      <c r="T21" s="14">
        <f>EIA_electricity_aeo2014!V51*1000</f>
        <v>11687.004287999998</v>
      </c>
      <c r="U21" s="14">
        <f>EIA_electricity_aeo2014!W51*1000</f>
        <v>11893.594751999999</v>
      </c>
      <c r="V21" s="14">
        <f>EIA_electricity_aeo2014!X51*1000</f>
        <v>11819.171951999999</v>
      </c>
      <c r="W21" s="14">
        <f>EIA_electricity_aeo2014!Y51*1000</f>
        <v>11979.083231999997</v>
      </c>
      <c r="X21" s="187">
        <f>EIA_electricity_aeo2014!Z51*1000</f>
        <v>11876.100407999998</v>
      </c>
      <c r="Y21" s="14">
        <f>EIA_electricity_aeo2014!AA51*1000</f>
        <v>12552.149592</v>
      </c>
      <c r="Z21" s="14">
        <f>EIA_electricity_aeo2014!AB51*1000</f>
        <v>13164.247368</v>
      </c>
      <c r="AA21" s="14">
        <f>EIA_electricity_aeo2014!AC51*1000</f>
        <v>13840.978247999999</v>
      </c>
      <c r="AB21" s="14">
        <f>EIA_electricity_aeo2014!AD51*1000</f>
        <v>14357.574575999997</v>
      </c>
      <c r="AC21" s="14">
        <f>EIA_electricity_aeo2014!AE51*1000</f>
        <v>14753.22696</v>
      </c>
      <c r="AD21" s="14">
        <f>EIA_electricity_aeo2014!AF51*1000</f>
        <v>15207.430319999999</v>
      </c>
      <c r="AE21" s="14">
        <f>EIA_electricity_aeo2014!AG51*1000</f>
        <v>15555.094343999999</v>
      </c>
      <c r="AF21" s="14">
        <f>EIA_electricity_aeo2014!AH51*1000</f>
        <v>15795.796535999998</v>
      </c>
      <c r="AG21" s="14">
        <f>EIA_electricity_aeo2014!AI51*1000</f>
        <v>15815.218679999998</v>
      </c>
      <c r="AH21" s="14">
        <f>EIA_electricity_aeo2014!AJ51*1000</f>
        <v>15947.174951999999</v>
      </c>
    </row>
    <row r="22" spans="1:34">
      <c r="A22" s="10" t="s">
        <v>350</v>
      </c>
      <c r="B22" s="37"/>
      <c r="C22" s="330">
        <f>SUM(C17,C20:C21)</f>
        <v>134723.44208000001</v>
      </c>
      <c r="D22" s="330">
        <f t="shared" ref="D22:AH22" si="3">SUM(D17,D20:D21)</f>
        <v>141880.33439999999</v>
      </c>
      <c r="E22" s="330">
        <f t="shared" si="3"/>
        <v>145350.86046338308</v>
      </c>
      <c r="F22" s="330">
        <f t="shared" si="3"/>
        <v>129695.14681639674</v>
      </c>
      <c r="G22" s="330">
        <f t="shared" si="3"/>
        <v>143178.65253157314</v>
      </c>
      <c r="H22" s="79">
        <f t="shared" si="3"/>
        <v>142979.20068659939</v>
      </c>
      <c r="I22" s="79">
        <f t="shared" si="3"/>
        <v>141761.63406763185</v>
      </c>
      <c r="J22" s="79">
        <f t="shared" si="3"/>
        <v>142432.74034335697</v>
      </c>
      <c r="K22" s="79">
        <f t="shared" si="3"/>
        <v>145284.11355816829</v>
      </c>
      <c r="L22" s="79">
        <f t="shared" si="3"/>
        <v>147608.89462843534</v>
      </c>
      <c r="M22" s="79">
        <f t="shared" si="3"/>
        <v>148400.94840060879</v>
      </c>
      <c r="N22" s="388">
        <f t="shared" si="3"/>
        <v>149014.26235704293</v>
      </c>
      <c r="O22" s="79">
        <f t="shared" si="3"/>
        <v>149897.7576828108</v>
      </c>
      <c r="P22" s="79">
        <f t="shared" si="3"/>
        <v>150759.84908856056</v>
      </c>
      <c r="Q22" s="79">
        <f t="shared" si="3"/>
        <v>151997.8862063837</v>
      </c>
      <c r="R22" s="79">
        <f t="shared" si="3"/>
        <v>152580.32305159135</v>
      </c>
      <c r="S22" s="79">
        <f t="shared" si="3"/>
        <v>153312.98826483433</v>
      </c>
      <c r="T22" s="79">
        <f t="shared" si="3"/>
        <v>154022.74395069515</v>
      </c>
      <c r="U22" s="79">
        <f t="shared" si="3"/>
        <v>154370.16437521219</v>
      </c>
      <c r="V22" s="79">
        <f t="shared" si="3"/>
        <v>154437.79089705527</v>
      </c>
      <c r="W22" s="79">
        <f t="shared" si="3"/>
        <v>154691.76672378919</v>
      </c>
      <c r="X22" s="184">
        <f t="shared" si="3"/>
        <v>154715.04844154028</v>
      </c>
      <c r="Y22" s="174">
        <f t="shared" si="3"/>
        <v>155463.43874672003</v>
      </c>
      <c r="Z22" s="174">
        <f t="shared" si="3"/>
        <v>156075.29494539165</v>
      </c>
      <c r="AA22" s="174">
        <f t="shared" si="3"/>
        <v>156729.83663165852</v>
      </c>
      <c r="AB22" s="174">
        <f t="shared" si="3"/>
        <v>157281.34975772648</v>
      </c>
      <c r="AC22" s="174">
        <f t="shared" si="3"/>
        <v>157673.62726477673</v>
      </c>
      <c r="AD22" s="174">
        <f t="shared" si="3"/>
        <v>158104.30712542363</v>
      </c>
      <c r="AE22" s="174">
        <f t="shared" si="3"/>
        <v>158427.74345022565</v>
      </c>
      <c r="AF22" s="174">
        <f t="shared" si="3"/>
        <v>158650.69311312865</v>
      </c>
      <c r="AG22" s="174">
        <f t="shared" si="3"/>
        <v>158650.17575527067</v>
      </c>
      <c r="AH22" s="174">
        <f t="shared" si="3"/>
        <v>158775.67578267126</v>
      </c>
    </row>
    <row r="23" spans="1:34">
      <c r="A23" s="10" t="s">
        <v>328</v>
      </c>
      <c r="B23" s="37"/>
      <c r="C23" s="330">
        <f>EIA_electricity_aeo2014!E50*1000+EIA_electricity_aeo2014!E55*1000</f>
        <v>1323</v>
      </c>
      <c r="D23" s="330">
        <f>EIA_electricity_aeo2014!F50*1000+EIA_electricity_aeo2014!F55*1000</f>
        <v>1454</v>
      </c>
      <c r="E23" s="330">
        <f>EIA_electricity_aeo2014!G50*1000+EIA_electricity_aeo2014!G55*1000</f>
        <v>1430.4609557568697</v>
      </c>
      <c r="F23" s="330">
        <f>EIA_electricity_aeo2014!H50*1000+EIA_electricity_aeo2014!H55*1000</f>
        <v>1071.9205723238395</v>
      </c>
      <c r="G23" s="330">
        <f>EIA_electricity_aeo2014!I50*1000+EIA_electricity_aeo2014!I55*1000</f>
        <v>746.09625484807066</v>
      </c>
      <c r="H23" s="330">
        <f>EIA_electricity_aeo2014!J50*1000+EIA_electricity_aeo2014!J55*1000</f>
        <v>746.17486459998702</v>
      </c>
      <c r="I23" s="330">
        <f>EIA_electricity_aeo2014!K50*1000+EIA_electricity_aeo2014!K55*1000</f>
        <v>736.26347657865779</v>
      </c>
      <c r="J23" s="330">
        <f>EIA_electricity_aeo2014!L50*1000+EIA_electricity_aeo2014!L55*1000</f>
        <v>711.05326974459604</v>
      </c>
      <c r="K23" s="330">
        <f>EIA_electricity_aeo2014!M50*1000+EIA_electricity_aeo2014!M55*1000</f>
        <v>726.14341493791267</v>
      </c>
      <c r="L23" s="330">
        <f>EIA_electricity_aeo2014!N50*1000+EIA_electricity_aeo2014!N55*1000</f>
        <v>740.36830788446503</v>
      </c>
      <c r="M23" s="330">
        <f>EIA_electricity_aeo2014!O50*1000+EIA_electricity_aeo2014!O55*1000</f>
        <v>748.68345070061957</v>
      </c>
      <c r="N23" s="330">
        <f>EIA_electricity_aeo2014!P50*1000+EIA_electricity_aeo2014!P55*1000</f>
        <v>752.27648308000914</v>
      </c>
      <c r="O23" s="330">
        <f>EIA_electricity_aeo2014!Q50*1000+EIA_electricity_aeo2014!Q55*1000</f>
        <v>759.01750880657517</v>
      </c>
      <c r="P23" s="330">
        <f>EIA_electricity_aeo2014!R50*1000+EIA_electricity_aeo2014!R55*1000</f>
        <v>763.45350448340139</v>
      </c>
      <c r="Q23" s="330">
        <f>EIA_electricity_aeo2014!S50*1000+EIA_electricity_aeo2014!S55*1000</f>
        <v>764.80908021586663</v>
      </c>
      <c r="R23" s="330">
        <f>EIA_electricity_aeo2014!T50*1000+EIA_electricity_aeo2014!T55*1000</f>
        <v>760.65958380821166</v>
      </c>
      <c r="S23" s="330">
        <f>EIA_electricity_aeo2014!U50*1000+EIA_electricity_aeo2014!U55*1000</f>
        <v>758.11203745379373</v>
      </c>
      <c r="T23" s="330">
        <f>EIA_electricity_aeo2014!V50*1000+EIA_electricity_aeo2014!V55*1000</f>
        <v>754.49994673183301</v>
      </c>
      <c r="U23" s="330">
        <f>EIA_electricity_aeo2014!W50*1000+EIA_electricity_aeo2014!W55*1000</f>
        <v>752.27402688376344</v>
      </c>
      <c r="V23" s="330">
        <f>EIA_electricity_aeo2014!X50*1000+EIA_electricity_aeo2014!X55*1000</f>
        <v>750.30105442561694</v>
      </c>
      <c r="W23" s="330">
        <f>EIA_electricity_aeo2014!Y50*1000+EIA_electricity_aeo2014!Y55*1000</f>
        <v>750.3865421202363</v>
      </c>
      <c r="X23" s="330">
        <f>EIA_electricity_aeo2014!Z50*1000+EIA_electricity_aeo2014!Z55*1000</f>
        <v>754.05892429770745</v>
      </c>
      <c r="Y23" s="330">
        <f>EIA_electricity_aeo2014!AA50*1000+EIA_electricity_aeo2014!AA55*1000</f>
        <v>749.48731109873643</v>
      </c>
      <c r="Z23" s="330">
        <f>EIA_electricity_aeo2014!AB50*1000+EIA_electricity_aeo2014!AB55*1000</f>
        <v>747.24868701997298</v>
      </c>
      <c r="AA23" s="330">
        <f>EIA_electricity_aeo2014!AC50*1000+EIA_electricity_aeo2014!AC55*1000</f>
        <v>747.32768295086169</v>
      </c>
      <c r="AB23" s="330">
        <f>EIA_electricity_aeo2014!AD50*1000+EIA_electricity_aeo2014!AD55*1000</f>
        <v>748.3877826094888</v>
      </c>
      <c r="AC23" s="330">
        <f>EIA_electricity_aeo2014!AE50*1000+EIA_electricity_aeo2014!AE55*1000</f>
        <v>747.80970783222324</v>
      </c>
      <c r="AD23" s="330">
        <f>EIA_electricity_aeo2014!AF50*1000+EIA_electricity_aeo2014!AF55*1000</f>
        <v>747.30605601018488</v>
      </c>
      <c r="AE23" s="330">
        <f>EIA_electricity_aeo2014!AG50*1000+EIA_electricity_aeo2014!AG55*1000</f>
        <v>747.06774910207685</v>
      </c>
      <c r="AF23" s="330">
        <f>EIA_electricity_aeo2014!AH50*1000+EIA_electricity_aeo2014!AH55*1000</f>
        <v>746.55931126512212</v>
      </c>
      <c r="AG23" s="330">
        <f>EIA_electricity_aeo2014!AI50*1000+EIA_electricity_aeo2014!AI55*1000</f>
        <v>747.1302233392978</v>
      </c>
      <c r="AH23" s="330">
        <f>EIA_electricity_aeo2014!AJ50*1000+EIA_electricity_aeo2014!AJ55*1000</f>
        <v>746.48361602816829</v>
      </c>
    </row>
    <row r="24" spans="1:34">
      <c r="A24" s="10" t="s">
        <v>345</v>
      </c>
      <c r="B24" s="37"/>
      <c r="C24" s="330">
        <f>SUM(C22:C23)</f>
        <v>136046.44208000001</v>
      </c>
      <c r="D24" s="330">
        <f t="shared" ref="D24:AH24" si="4">SUM(D22:D23)</f>
        <v>143334.33439999999</v>
      </c>
      <c r="E24" s="330">
        <f t="shared" si="4"/>
        <v>146781.32141913995</v>
      </c>
      <c r="F24" s="330">
        <f t="shared" si="4"/>
        <v>130767.06738872058</v>
      </c>
      <c r="G24" s="330">
        <f t="shared" si="4"/>
        <v>143924.7487864212</v>
      </c>
      <c r="H24" s="83">
        <f t="shared" si="4"/>
        <v>143725.37555119937</v>
      </c>
      <c r="I24" s="83">
        <f t="shared" si="4"/>
        <v>142497.89754421051</v>
      </c>
      <c r="J24" s="83">
        <f t="shared" si="4"/>
        <v>143143.79361310156</v>
      </c>
      <c r="K24" s="83">
        <f t="shared" si="4"/>
        <v>146010.25697310621</v>
      </c>
      <c r="L24" s="83">
        <f t="shared" si="4"/>
        <v>148349.26293631981</v>
      </c>
      <c r="M24" s="83">
        <f t="shared" si="4"/>
        <v>149149.63185130942</v>
      </c>
      <c r="N24" s="388">
        <f t="shared" si="4"/>
        <v>149766.53884012293</v>
      </c>
      <c r="O24" s="83">
        <f t="shared" si="4"/>
        <v>150656.77519161737</v>
      </c>
      <c r="P24" s="83">
        <f t="shared" si="4"/>
        <v>151523.30259304395</v>
      </c>
      <c r="Q24" s="83">
        <f t="shared" si="4"/>
        <v>152762.69528659957</v>
      </c>
      <c r="R24" s="83">
        <f t="shared" si="4"/>
        <v>153340.98263539956</v>
      </c>
      <c r="S24" s="83">
        <f t="shared" si="4"/>
        <v>154071.10030228813</v>
      </c>
      <c r="T24" s="83">
        <f t="shared" si="4"/>
        <v>154777.24389742699</v>
      </c>
      <c r="U24" s="83">
        <f t="shared" si="4"/>
        <v>155122.43840209596</v>
      </c>
      <c r="V24" s="83">
        <f t="shared" si="4"/>
        <v>155188.09195148089</v>
      </c>
      <c r="W24" s="83">
        <f t="shared" si="4"/>
        <v>155442.15326590944</v>
      </c>
      <c r="X24" s="184">
        <f t="shared" si="4"/>
        <v>155469.10736583799</v>
      </c>
      <c r="Y24" s="174">
        <f t="shared" si="4"/>
        <v>156212.92605781875</v>
      </c>
      <c r="Z24" s="174">
        <f t="shared" si="4"/>
        <v>156822.54363241163</v>
      </c>
      <c r="AA24" s="174">
        <f t="shared" si="4"/>
        <v>157477.16431460937</v>
      </c>
      <c r="AB24" s="174">
        <f t="shared" si="4"/>
        <v>158029.73754033598</v>
      </c>
      <c r="AC24" s="174">
        <f t="shared" si="4"/>
        <v>158421.43697260896</v>
      </c>
      <c r="AD24" s="174">
        <f t="shared" si="4"/>
        <v>158851.61318143382</v>
      </c>
      <c r="AE24" s="174">
        <f t="shared" si="4"/>
        <v>159174.81119932773</v>
      </c>
      <c r="AF24" s="174">
        <f t="shared" si="4"/>
        <v>159397.25242439378</v>
      </c>
      <c r="AG24" s="174">
        <f t="shared" si="4"/>
        <v>159397.30597860998</v>
      </c>
      <c r="AH24" s="174">
        <f t="shared" si="4"/>
        <v>159522.15939869941</v>
      </c>
    </row>
    <row r="25" spans="1:34">
      <c r="A25" s="10" t="s">
        <v>346</v>
      </c>
      <c r="B25" s="37"/>
      <c r="C25" s="332">
        <f t="shared" ref="C25:AH25" si="5">C24/C4-1</f>
        <v>-4.085143915555367E-5</v>
      </c>
      <c r="D25" s="332">
        <f t="shared" si="5"/>
        <v>-6.7429400602780909E-5</v>
      </c>
      <c r="E25" s="332">
        <f t="shared" si="5"/>
        <v>3.0013629801461938E-4</v>
      </c>
      <c r="F25" s="332">
        <f t="shared" si="5"/>
        <v>6.0015303549643129E-4</v>
      </c>
      <c r="G25" s="332">
        <f t="shared" si="5"/>
        <v>9.0013908659192232E-4</v>
      </c>
      <c r="H25" s="82">
        <f t="shared" si="5"/>
        <v>1.2001393212763833E-3</v>
      </c>
      <c r="I25" s="82">
        <f t="shared" si="5"/>
        <v>1.500140563497121E-3</v>
      </c>
      <c r="J25" s="82">
        <f t="shared" si="5"/>
        <v>1.8001399711597976E-3</v>
      </c>
      <c r="K25" s="82">
        <f t="shared" si="5"/>
        <v>2.2001372780460215E-3</v>
      </c>
      <c r="L25" s="82">
        <f t="shared" si="5"/>
        <v>2.6001351675246642E-3</v>
      </c>
      <c r="M25" s="82">
        <f t="shared" si="5"/>
        <v>3.0001344958245912E-3</v>
      </c>
      <c r="N25" s="199">
        <f t="shared" si="5"/>
        <v>3.4001339952356435E-3</v>
      </c>
      <c r="O25" s="82">
        <f t="shared" si="5"/>
        <v>3.8001332565540391E-3</v>
      </c>
      <c r="P25" s="82">
        <f t="shared" si="5"/>
        <v>4.2001325472864615E-3</v>
      </c>
      <c r="Q25" s="82">
        <f t="shared" si="5"/>
        <v>4.6001315242742979E-3</v>
      </c>
      <c r="R25" s="82">
        <f t="shared" si="5"/>
        <v>5.0001310804344001E-3</v>
      </c>
      <c r="S25" s="82">
        <f t="shared" si="5"/>
        <v>5.1376304771144632E-3</v>
      </c>
      <c r="T25" s="82">
        <f t="shared" si="5"/>
        <v>5.4829240441012228E-3</v>
      </c>
      <c r="U25" s="82">
        <f t="shared" si="5"/>
        <v>5.8282179171411652E-3</v>
      </c>
      <c r="V25" s="82">
        <f t="shared" si="5"/>
        <v>6.1735120244257313E-3</v>
      </c>
      <c r="W25" s="82">
        <f t="shared" si="5"/>
        <v>6.5188059745595606E-3</v>
      </c>
      <c r="X25" s="185">
        <f t="shared" si="5"/>
        <v>6.8641001141735991E-3</v>
      </c>
      <c r="Y25" s="172">
        <f t="shared" si="5"/>
        <v>7.2093936592818597E-3</v>
      </c>
      <c r="Z25" s="172">
        <f t="shared" si="5"/>
        <v>7.5546873196836728E-3</v>
      </c>
      <c r="AA25" s="172">
        <f t="shared" si="5"/>
        <v>7.8999809470348126E-3</v>
      </c>
      <c r="AB25" s="172">
        <f t="shared" si="5"/>
        <v>8.2452746607912797E-3</v>
      </c>
      <c r="AC25" s="172">
        <f t="shared" si="5"/>
        <v>8.5905685065323922E-3</v>
      </c>
      <c r="AD25" s="172">
        <f t="shared" si="5"/>
        <v>8.9358623228381617E-3</v>
      </c>
      <c r="AE25" s="172">
        <f t="shared" si="5"/>
        <v>9.281156225944498E-3</v>
      </c>
      <c r="AF25" s="172">
        <f t="shared" si="5"/>
        <v>9.6264502099454585E-3</v>
      </c>
      <c r="AG25" s="172">
        <f t="shared" si="5"/>
        <v>9.9717443708753351E-3</v>
      </c>
      <c r="AH25" s="172">
        <f t="shared" si="5"/>
        <v>1.0317038432629877E-2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0.65343635485278806</v>
      </c>
      <c r="D28" s="332">
        <f t="shared" si="6"/>
        <v>0.57797238595692246</v>
      </c>
      <c r="E28" s="332">
        <f t="shared" si="6"/>
        <v>0.54313446472878857</v>
      </c>
      <c r="F28" s="332">
        <f t="shared" si="6"/>
        <v>0.48528365156122855</v>
      </c>
      <c r="G28" s="332">
        <f t="shared" si="6"/>
        <v>0.44803423217499078</v>
      </c>
      <c r="H28" s="164">
        <f t="shared" si="6"/>
        <v>0.46136690641224692</v>
      </c>
      <c r="I28" s="164">
        <f t="shared" si="6"/>
        <v>0.48692172344884099</v>
      </c>
      <c r="J28" s="164">
        <f t="shared" si="6"/>
        <v>0.55599972487065141</v>
      </c>
      <c r="K28" s="164">
        <f t="shared" si="6"/>
        <v>0.68263512830199802</v>
      </c>
      <c r="L28" s="164">
        <f t="shared" ref="L28:L34" si="7">L10/L$18</f>
        <v>0.76734449931677162</v>
      </c>
      <c r="M28" s="164">
        <f t="shared" ref="M28:AH28" si="8">M10/M$18</f>
        <v>0.75560642825344493</v>
      </c>
      <c r="N28" s="185">
        <f t="shared" si="8"/>
        <v>0.7588143059056518</v>
      </c>
      <c r="O28" s="164">
        <f t="shared" si="8"/>
        <v>0.75569046279573826</v>
      </c>
      <c r="P28" s="164">
        <f t="shared" si="8"/>
        <v>0.75815606535570523</v>
      </c>
      <c r="Q28" s="164">
        <f t="shared" si="8"/>
        <v>0.7842650645010022</v>
      </c>
      <c r="R28" s="164">
        <f t="shared" si="8"/>
        <v>0.77641891729053281</v>
      </c>
      <c r="S28" s="164">
        <f t="shared" si="8"/>
        <v>0.79010388007328802</v>
      </c>
      <c r="T28" s="164">
        <f t="shared" si="8"/>
        <v>0.785653498253435</v>
      </c>
      <c r="U28" s="164">
        <f t="shared" si="8"/>
        <v>0.7788963248078915</v>
      </c>
      <c r="V28" s="164">
        <f t="shared" si="8"/>
        <v>0.77614316234556247</v>
      </c>
      <c r="W28" s="164">
        <f t="shared" si="8"/>
        <v>0.77235394137217206</v>
      </c>
      <c r="X28" s="185">
        <f t="shared" si="8"/>
        <v>0.78642777971829358</v>
      </c>
      <c r="Y28" s="172">
        <f t="shared" si="8"/>
        <v>0.79156161817505477</v>
      </c>
      <c r="Z28" s="172">
        <f t="shared" si="8"/>
        <v>0.78939298009029968</v>
      </c>
      <c r="AA28" s="172">
        <f t="shared" si="8"/>
        <v>0.78414761401869093</v>
      </c>
      <c r="AB28" s="172">
        <f t="shared" si="8"/>
        <v>0.77827169795660189</v>
      </c>
      <c r="AC28" s="172">
        <f t="shared" si="8"/>
        <v>0.77276120472584664</v>
      </c>
      <c r="AD28" s="172">
        <f t="shared" si="8"/>
        <v>0.76644330482233702</v>
      </c>
      <c r="AE28" s="172">
        <f t="shared" si="8"/>
        <v>0.76199928876439194</v>
      </c>
      <c r="AF28" s="172">
        <f t="shared" si="8"/>
        <v>0.75776046696058752</v>
      </c>
      <c r="AG28" s="172">
        <f t="shared" si="8"/>
        <v>0.75250530325284215</v>
      </c>
      <c r="AH28" s="172">
        <f t="shared" si="8"/>
        <v>0.74774246591405091</v>
      </c>
    </row>
    <row r="29" spans="1:34">
      <c r="A29" s="9" t="s">
        <v>50</v>
      </c>
      <c r="B29" s="37"/>
      <c r="C29" s="332">
        <f t="shared" ref="C29:K29" si="9">C11/C$18</f>
        <v>0</v>
      </c>
      <c r="D29" s="332">
        <f t="shared" si="9"/>
        <v>0</v>
      </c>
      <c r="E29" s="332">
        <f t="shared" si="9"/>
        <v>1.2058334021725273E-10</v>
      </c>
      <c r="F29" s="332">
        <f t="shared" si="9"/>
        <v>1.1187501604056059E-10</v>
      </c>
      <c r="G29" s="332">
        <f t="shared" si="9"/>
        <v>9.493231487375863E-11</v>
      </c>
      <c r="H29" s="164">
        <f t="shared" si="9"/>
        <v>8.6077899929256817E-11</v>
      </c>
      <c r="I29" s="164">
        <f t="shared" si="9"/>
        <v>7.6926929042396073E-11</v>
      </c>
      <c r="J29" s="164">
        <f t="shared" si="9"/>
        <v>6.2347268636514405E-11</v>
      </c>
      <c r="K29" s="164">
        <f t="shared" si="9"/>
        <v>4.0926349939766279E-11</v>
      </c>
      <c r="L29" s="164">
        <f t="shared" si="7"/>
        <v>2.7709858684998068E-11</v>
      </c>
      <c r="M29" s="164">
        <f t="shared" ref="M29:AH29" si="10">M11/M$18</f>
        <v>2.7125262857677469E-11</v>
      </c>
      <c r="N29" s="185">
        <f t="shared" si="10"/>
        <v>2.5060968132198747E-11</v>
      </c>
      <c r="O29" s="164">
        <f t="shared" si="10"/>
        <v>2.3829291625595096E-11</v>
      </c>
      <c r="P29" s="164">
        <f t="shared" si="10"/>
        <v>2.2214696672337316E-11</v>
      </c>
      <c r="Q29" s="164">
        <f t="shared" si="10"/>
        <v>1.8687508519730502E-11</v>
      </c>
      <c r="R29" s="164">
        <f t="shared" si="10"/>
        <v>1.8318046572056725E-11</v>
      </c>
      <c r="S29" s="164">
        <f t="shared" si="10"/>
        <v>1.6854439553332172E-11</v>
      </c>
      <c r="T29" s="164">
        <f t="shared" si="10"/>
        <v>1.6461142207195745E-11</v>
      </c>
      <c r="U29" s="164">
        <f t="shared" si="10"/>
        <v>1.6289809219279266E-11</v>
      </c>
      <c r="V29" s="164">
        <f t="shared" si="10"/>
        <v>1.586548003791733E-11</v>
      </c>
      <c r="W29" s="164">
        <f t="shared" si="10"/>
        <v>1.5530013820605714E-11</v>
      </c>
      <c r="X29" s="185">
        <f t="shared" si="10"/>
        <v>1.4056740197662129E-11</v>
      </c>
      <c r="Y29" s="172">
        <f t="shared" si="10"/>
        <v>1.3209784019520214E-11</v>
      </c>
      <c r="Z29" s="172">
        <f t="shared" si="10"/>
        <v>1.2873931382660042E-11</v>
      </c>
      <c r="AA29" s="172">
        <f t="shared" si="10"/>
        <v>1.2734995101382048E-11</v>
      </c>
      <c r="AB29" s="172">
        <f t="shared" si="10"/>
        <v>1.2605053654128612E-11</v>
      </c>
      <c r="AC29" s="172">
        <f t="shared" si="10"/>
        <v>1.2508208319019556E-11</v>
      </c>
      <c r="AD29" s="172">
        <f t="shared" si="10"/>
        <v>1.2458347276581471E-11</v>
      </c>
      <c r="AE29" s="172">
        <f t="shared" si="10"/>
        <v>1.2313655504286276E-11</v>
      </c>
      <c r="AF29" s="172">
        <f t="shared" si="10"/>
        <v>1.2173832470151684E-11</v>
      </c>
      <c r="AG29" s="172">
        <f t="shared" si="10"/>
        <v>1.2097774336695984E-11</v>
      </c>
      <c r="AH29" s="172">
        <f t="shared" si="10"/>
        <v>1.1990744406212233E-11</v>
      </c>
    </row>
    <row r="30" spans="1:34">
      <c r="A30" s="9" t="s">
        <v>51</v>
      </c>
      <c r="B30" s="37"/>
      <c r="C30" s="332">
        <f t="shared" ref="C30:K30" si="11">C12/C$18</f>
        <v>0.31556194697768791</v>
      </c>
      <c r="D30" s="332">
        <f t="shared" si="11"/>
        <v>0.3824178192797682</v>
      </c>
      <c r="E30" s="332">
        <f t="shared" si="11"/>
        <v>0.20906375798841614</v>
      </c>
      <c r="F30" s="332">
        <f t="shared" si="11"/>
        <v>0.21381149935870553</v>
      </c>
      <c r="G30" s="332">
        <f t="shared" si="11"/>
        <v>0.22119313828060358</v>
      </c>
      <c r="H30" s="164">
        <f t="shared" si="11"/>
        <v>0.20137865873428842</v>
      </c>
      <c r="I30" s="164">
        <f t="shared" si="11"/>
        <v>0.17884386111918318</v>
      </c>
      <c r="J30" s="164">
        <f t="shared" si="11"/>
        <v>0.14495676776844832</v>
      </c>
      <c r="K30" s="164">
        <f t="shared" si="11"/>
        <v>9.51565270630014E-2</v>
      </c>
      <c r="L30" s="164">
        <f t="shared" si="7"/>
        <v>6.4426423051228462E-2</v>
      </c>
      <c r="M30" s="164">
        <f t="shared" ref="M30:AH30" si="12">M12/M$18</f>
        <v>6.306416333529502E-2</v>
      </c>
      <c r="N30" s="185">
        <f t="shared" si="12"/>
        <v>5.8257129904400809E-2</v>
      </c>
      <c r="O30" s="164">
        <f t="shared" si="12"/>
        <v>5.5389702470798531E-2</v>
      </c>
      <c r="P30" s="164">
        <f t="shared" si="12"/>
        <v>5.1633096268425827E-2</v>
      </c>
      <c r="Q30" s="164">
        <f t="shared" si="12"/>
        <v>4.343154244809052E-2</v>
      </c>
      <c r="R30" s="164">
        <f t="shared" si="12"/>
        <v>4.3045051354782829E-2</v>
      </c>
      <c r="S30" s="164">
        <f t="shared" si="12"/>
        <v>3.9603932197984408E-2</v>
      </c>
      <c r="T30" s="164">
        <f t="shared" si="12"/>
        <v>3.8677265360797956E-2</v>
      </c>
      <c r="U30" s="164">
        <f t="shared" si="12"/>
        <v>3.8272061023000598E-2</v>
      </c>
      <c r="V30" s="164">
        <f t="shared" si="12"/>
        <v>3.7272389964245596E-2</v>
      </c>
      <c r="W30" s="164">
        <f t="shared" si="12"/>
        <v>3.6478732335910258E-2</v>
      </c>
      <c r="X30" s="185">
        <f t="shared" si="12"/>
        <v>3.3012212012447049E-2</v>
      </c>
      <c r="Y30" s="172">
        <f t="shared" si="12"/>
        <v>3.1018050309661944E-2</v>
      </c>
      <c r="Z30" s="172">
        <f t="shared" si="12"/>
        <v>3.0224326010408132E-2</v>
      </c>
      <c r="AA30" s="172">
        <f t="shared" si="12"/>
        <v>2.9892943678014976E-2</v>
      </c>
      <c r="AB30" s="172">
        <f t="shared" si="12"/>
        <v>3.0223010118959077E-2</v>
      </c>
      <c r="AC30" s="172">
        <f t="shared" si="12"/>
        <v>2.9987989125413655E-2</v>
      </c>
      <c r="AD30" s="172">
        <f t="shared" si="12"/>
        <v>2.9865312084566834E-2</v>
      </c>
      <c r="AE30" s="172">
        <f t="shared" si="12"/>
        <v>2.9515175882356314E-2</v>
      </c>
      <c r="AF30" s="172">
        <f t="shared" si="12"/>
        <v>2.9177014735954829E-2</v>
      </c>
      <c r="AG30" s="172">
        <f t="shared" si="12"/>
        <v>2.8991798730489415E-2</v>
      </c>
      <c r="AH30" s="172">
        <f t="shared" si="12"/>
        <v>2.8732724235032162E-2</v>
      </c>
    </row>
    <row r="31" spans="1:34">
      <c r="A31" s="9" t="s">
        <v>347</v>
      </c>
      <c r="B31" s="37"/>
      <c r="C31" s="332">
        <f t="shared" ref="C31:K31" si="13">C13/C$18</f>
        <v>8.6732998000420992E-3</v>
      </c>
      <c r="D31" s="332">
        <f t="shared" si="13"/>
        <v>2.076412874501481E-2</v>
      </c>
      <c r="E31" s="332">
        <f t="shared" si="13"/>
        <v>5.3094272489440923E-2</v>
      </c>
      <c r="F31" s="332">
        <f t="shared" si="13"/>
        <v>8.7735945791769104E-2</v>
      </c>
      <c r="G31" s="332">
        <f t="shared" si="13"/>
        <v>0.12286689061529758</v>
      </c>
      <c r="H31" s="164">
        <f t="shared" si="13"/>
        <v>0.14828959187828289</v>
      </c>
      <c r="I31" s="164">
        <f t="shared" si="13"/>
        <v>0.16419028052918269</v>
      </c>
      <c r="J31" s="164">
        <f t="shared" si="13"/>
        <v>0.16036081600836494</v>
      </c>
      <c r="K31" s="164">
        <f t="shared" si="13"/>
        <v>0.13118015845947009</v>
      </c>
      <c r="L31" s="164">
        <f t="shared" si="7"/>
        <v>0.10660475632657129</v>
      </c>
      <c r="M31" s="164">
        <f t="shared" ref="M31:AH31" si="14">M13/M$18</f>
        <v>0.12101135938333463</v>
      </c>
      <c r="N31" s="185">
        <f t="shared" si="14"/>
        <v>0.1271820900128692</v>
      </c>
      <c r="O31" s="164">
        <f t="shared" si="14"/>
        <v>0.1359076057658069</v>
      </c>
      <c r="P31" s="164">
        <f t="shared" si="14"/>
        <v>0.14078477274158066</v>
      </c>
      <c r="Q31" s="164">
        <f t="shared" si="14"/>
        <v>0.13071924343938179</v>
      </c>
      <c r="R31" s="164">
        <f t="shared" si="14"/>
        <v>0.13974844349417259</v>
      </c>
      <c r="S31" s="164">
        <f t="shared" si="14"/>
        <v>0.13272945686293919</v>
      </c>
      <c r="T31" s="164">
        <f t="shared" si="14"/>
        <v>0.13893109548923044</v>
      </c>
      <c r="U31" s="164">
        <f t="shared" si="14"/>
        <v>0.14641910759667859</v>
      </c>
      <c r="V31" s="164">
        <f t="shared" si="14"/>
        <v>0.15106590876192927</v>
      </c>
      <c r="W31" s="164">
        <f t="shared" si="14"/>
        <v>0.15634445869676672</v>
      </c>
      <c r="X31" s="185">
        <f t="shared" si="14"/>
        <v>0.14898322750526752</v>
      </c>
      <c r="Y31" s="172">
        <f t="shared" si="14"/>
        <v>0.14770247506335071</v>
      </c>
      <c r="Z31" s="172">
        <f t="shared" si="14"/>
        <v>0.15137838118504474</v>
      </c>
      <c r="AA31" s="172">
        <f t="shared" si="14"/>
        <v>0.15718874859318266</v>
      </c>
      <c r="AB31" s="172">
        <f t="shared" si="14"/>
        <v>0.16289925148763654</v>
      </c>
      <c r="AC31" s="172">
        <f t="shared" si="14"/>
        <v>0.16877683486677464</v>
      </c>
      <c r="AD31" s="172">
        <f t="shared" si="14"/>
        <v>0.1752757705495385</v>
      </c>
      <c r="AE31" s="172">
        <f t="shared" si="14"/>
        <v>0.18023880274165263</v>
      </c>
      <c r="AF31" s="172">
        <f t="shared" si="14"/>
        <v>0.185016620376177</v>
      </c>
      <c r="AG31" s="172">
        <f t="shared" si="14"/>
        <v>0.19039064688874083</v>
      </c>
      <c r="AH31" s="172">
        <f t="shared" si="14"/>
        <v>0.19532681599638907</v>
      </c>
    </row>
    <row r="32" spans="1:34">
      <c r="A32" s="9" t="s">
        <v>348</v>
      </c>
      <c r="B32" s="37"/>
      <c r="C32" s="332">
        <f t="shared" ref="C32:K32" si="15">C14/C$18</f>
        <v>0</v>
      </c>
      <c r="D32" s="332">
        <f t="shared" si="15"/>
        <v>0</v>
      </c>
      <c r="E32" s="332">
        <f t="shared" si="15"/>
        <v>1.2058334021725273E-5</v>
      </c>
      <c r="F32" s="332">
        <f t="shared" si="15"/>
        <v>1.118750160405606E-5</v>
      </c>
      <c r="G32" s="332">
        <f t="shared" si="15"/>
        <v>9.493231487375862E-6</v>
      </c>
      <c r="H32" s="164">
        <f t="shared" si="15"/>
        <v>8.6077899929256809E-6</v>
      </c>
      <c r="I32" s="164">
        <f t="shared" si="15"/>
        <v>7.6926929042396059E-6</v>
      </c>
      <c r="J32" s="164">
        <f t="shared" si="15"/>
        <v>6.2347268636514398E-6</v>
      </c>
      <c r="K32" s="164">
        <f t="shared" si="15"/>
        <v>4.0926349939766279E-6</v>
      </c>
      <c r="L32" s="164">
        <f t="shared" si="7"/>
        <v>2.7709858684998064E-6</v>
      </c>
      <c r="M32" s="164">
        <f t="shared" ref="M32:AH32" si="16">M14/M$18</f>
        <v>2.7125262857677467E-6</v>
      </c>
      <c r="N32" s="185">
        <f t="shared" si="16"/>
        <v>2.5060968132198747E-6</v>
      </c>
      <c r="O32" s="164">
        <f t="shared" si="16"/>
        <v>2.3829291625595095E-6</v>
      </c>
      <c r="P32" s="164">
        <f t="shared" si="16"/>
        <v>2.2214696672337316E-6</v>
      </c>
      <c r="Q32" s="164">
        <f t="shared" si="16"/>
        <v>1.86875085197305E-6</v>
      </c>
      <c r="R32" s="164">
        <f t="shared" si="16"/>
        <v>1.8318046572056726E-6</v>
      </c>
      <c r="S32" s="164">
        <f t="shared" si="16"/>
        <v>1.6854439553332171E-6</v>
      </c>
      <c r="T32" s="164">
        <f t="shared" si="16"/>
        <v>1.6461142207195745E-6</v>
      </c>
      <c r="U32" s="164">
        <f t="shared" si="16"/>
        <v>1.6289809219279264E-6</v>
      </c>
      <c r="V32" s="164">
        <f t="shared" si="16"/>
        <v>1.5865480037917331E-6</v>
      </c>
      <c r="W32" s="164">
        <f t="shared" si="16"/>
        <v>1.5530013820605713E-6</v>
      </c>
      <c r="X32" s="185">
        <f t="shared" si="16"/>
        <v>1.4056740197662127E-6</v>
      </c>
      <c r="Y32" s="172">
        <f t="shared" si="16"/>
        <v>1.3209784019520212E-6</v>
      </c>
      <c r="Z32" s="172">
        <f t="shared" si="16"/>
        <v>1.287393138266004E-6</v>
      </c>
      <c r="AA32" s="172">
        <f t="shared" si="16"/>
        <v>1.2734995101382047E-6</v>
      </c>
      <c r="AB32" s="172">
        <f t="shared" si="16"/>
        <v>1.2605053654128611E-6</v>
      </c>
      <c r="AC32" s="172">
        <f t="shared" si="16"/>
        <v>1.2508208319019556E-6</v>
      </c>
      <c r="AD32" s="172">
        <f t="shared" si="16"/>
        <v>1.245834727658147E-6</v>
      </c>
      <c r="AE32" s="172">
        <f t="shared" si="16"/>
        <v>1.2313655504286276E-6</v>
      </c>
      <c r="AF32" s="172">
        <f t="shared" si="16"/>
        <v>1.2173832470151683E-6</v>
      </c>
      <c r="AG32" s="172">
        <f t="shared" si="16"/>
        <v>1.2097774336695982E-6</v>
      </c>
      <c r="AH32" s="172">
        <f t="shared" si="16"/>
        <v>1.1990744406212232E-6</v>
      </c>
    </row>
    <row r="33" spans="1:36">
      <c r="A33" s="9" t="s">
        <v>344</v>
      </c>
      <c r="B33" s="37"/>
      <c r="C33" s="332">
        <f t="shared" ref="C33:K33" si="17">C15/C$18</f>
        <v>1.5937472069580197E-5</v>
      </c>
      <c r="D33" s="332">
        <f t="shared" si="17"/>
        <v>1.4485523457566978E-5</v>
      </c>
      <c r="E33" s="332">
        <f t="shared" si="17"/>
        <v>1.2058334021725273E-5</v>
      </c>
      <c r="F33" s="332">
        <f t="shared" si="17"/>
        <v>1.118750160405606E-5</v>
      </c>
      <c r="G33" s="332">
        <f t="shared" si="17"/>
        <v>9.493231487375862E-6</v>
      </c>
      <c r="H33" s="164">
        <f t="shared" si="17"/>
        <v>8.6077899929256809E-6</v>
      </c>
      <c r="I33" s="164">
        <f t="shared" si="17"/>
        <v>7.6926929042396059E-6</v>
      </c>
      <c r="J33" s="164">
        <f t="shared" si="17"/>
        <v>6.2347268636514398E-6</v>
      </c>
      <c r="K33" s="164">
        <f t="shared" si="17"/>
        <v>4.0926349939766279E-6</v>
      </c>
      <c r="L33" s="164">
        <f t="shared" si="7"/>
        <v>2.7709858684998064E-6</v>
      </c>
      <c r="M33" s="164">
        <f t="shared" ref="M33:AH33" si="18">M15/M$18</f>
        <v>2.7125262857677467E-6</v>
      </c>
      <c r="N33" s="185">
        <f t="shared" si="18"/>
        <v>2.5060968132198747E-6</v>
      </c>
      <c r="O33" s="164">
        <f t="shared" si="18"/>
        <v>2.3829291625595095E-6</v>
      </c>
      <c r="P33" s="164">
        <f t="shared" si="18"/>
        <v>2.2214696672337316E-6</v>
      </c>
      <c r="Q33" s="164">
        <f t="shared" si="18"/>
        <v>1.86875085197305E-6</v>
      </c>
      <c r="R33" s="164">
        <f t="shared" si="18"/>
        <v>1.8318046572056726E-6</v>
      </c>
      <c r="S33" s="164">
        <f t="shared" si="18"/>
        <v>1.6854439553332171E-6</v>
      </c>
      <c r="T33" s="164">
        <f t="shared" si="18"/>
        <v>1.6461142207195745E-6</v>
      </c>
      <c r="U33" s="164">
        <f t="shared" si="18"/>
        <v>1.6289809219279264E-6</v>
      </c>
      <c r="V33" s="164">
        <f t="shared" si="18"/>
        <v>1.5865480037917331E-6</v>
      </c>
      <c r="W33" s="164">
        <f t="shared" si="18"/>
        <v>1.5530013820605713E-6</v>
      </c>
      <c r="X33" s="185">
        <f t="shared" si="18"/>
        <v>1.4056740197662127E-6</v>
      </c>
      <c r="Y33" s="172">
        <f t="shared" si="18"/>
        <v>1.3209784019520212E-6</v>
      </c>
      <c r="Z33" s="172">
        <f t="shared" si="18"/>
        <v>1.287393138266004E-6</v>
      </c>
      <c r="AA33" s="172">
        <f t="shared" si="18"/>
        <v>1.2734995101382047E-6</v>
      </c>
      <c r="AB33" s="172">
        <f t="shared" si="18"/>
        <v>1.2605053654128611E-6</v>
      </c>
      <c r="AC33" s="172">
        <f t="shared" si="18"/>
        <v>1.2508208319019556E-6</v>
      </c>
      <c r="AD33" s="172">
        <f t="shared" si="18"/>
        <v>1.245834727658147E-6</v>
      </c>
      <c r="AE33" s="172">
        <f t="shared" si="18"/>
        <v>1.2313655504286276E-6</v>
      </c>
      <c r="AF33" s="172">
        <f t="shared" si="18"/>
        <v>1.2173832470151683E-6</v>
      </c>
      <c r="AG33" s="172">
        <f t="shared" si="18"/>
        <v>1.2097774336695982E-6</v>
      </c>
      <c r="AH33" s="172">
        <f t="shared" si="18"/>
        <v>1.1990744406212232E-6</v>
      </c>
    </row>
    <row r="34" spans="1:36">
      <c r="A34" s="9" t="s">
        <v>53</v>
      </c>
      <c r="B34" s="37"/>
      <c r="C34" s="332">
        <f t="shared" ref="C34:K34" si="19">C16/C$18</f>
        <v>2.2312460897412276E-2</v>
      </c>
      <c r="D34" s="332">
        <f t="shared" si="19"/>
        <v>1.883118049483707E-2</v>
      </c>
      <c r="E34" s="332">
        <f t="shared" si="19"/>
        <v>0.19468338800472762</v>
      </c>
      <c r="F34" s="332">
        <f t="shared" si="19"/>
        <v>0.21314652817321367</v>
      </c>
      <c r="G34" s="332">
        <f t="shared" si="19"/>
        <v>0.20788675237120091</v>
      </c>
      <c r="H34" s="164">
        <f t="shared" si="19"/>
        <v>0.18894762730911804</v>
      </c>
      <c r="I34" s="164">
        <f t="shared" si="19"/>
        <v>0.17002874944005772</v>
      </c>
      <c r="J34" s="164">
        <f t="shared" si="19"/>
        <v>0.13867022183646074</v>
      </c>
      <c r="K34" s="164">
        <f t="shared" si="19"/>
        <v>9.1020000864615883E-2</v>
      </c>
      <c r="L34" s="164">
        <f t="shared" si="7"/>
        <v>6.1618779305981683E-2</v>
      </c>
      <c r="M34" s="164">
        <f t="shared" ref="M34:AH34" si="20">M16/M$18</f>
        <v>6.031262394822863E-2</v>
      </c>
      <c r="N34" s="185">
        <f t="shared" si="20"/>
        <v>5.5741461958390699E-2</v>
      </c>
      <c r="O34" s="164">
        <f t="shared" si="20"/>
        <v>5.3007463085501715E-2</v>
      </c>
      <c r="P34" s="164">
        <f t="shared" si="20"/>
        <v>4.942162267273921E-2</v>
      </c>
      <c r="Q34" s="164">
        <f t="shared" si="20"/>
        <v>4.1580412091134007E-2</v>
      </c>
      <c r="R34" s="164">
        <f t="shared" si="20"/>
        <v>4.0783924232879153E-2</v>
      </c>
      <c r="S34" s="164">
        <f t="shared" si="20"/>
        <v>3.7559359961022998E-2</v>
      </c>
      <c r="T34" s="164">
        <f t="shared" si="20"/>
        <v>3.6734848651633983E-2</v>
      </c>
      <c r="U34" s="164">
        <f t="shared" si="20"/>
        <v>3.6409248594295777E-2</v>
      </c>
      <c r="V34" s="164">
        <f t="shared" si="20"/>
        <v>3.5515365816389574E-2</v>
      </c>
      <c r="W34" s="164">
        <f t="shared" si="20"/>
        <v>3.4819761576856643E-2</v>
      </c>
      <c r="X34" s="185">
        <f t="shared" si="20"/>
        <v>3.1573969401895538E-2</v>
      </c>
      <c r="Y34" s="172">
        <f t="shared" si="20"/>
        <v>2.9715214481918929E-2</v>
      </c>
      <c r="Z34" s="172">
        <f t="shared" si="20"/>
        <v>2.9001737915096904E-2</v>
      </c>
      <c r="AA34" s="172">
        <f t="shared" si="20"/>
        <v>2.8768146698356156E-2</v>
      </c>
      <c r="AB34" s="172">
        <f t="shared" si="20"/>
        <v>2.8603519413466484E-2</v>
      </c>
      <c r="AC34" s="172">
        <f t="shared" si="20"/>
        <v>2.8471469627793008E-2</v>
      </c>
      <c r="AD34" s="172">
        <f t="shared" si="20"/>
        <v>2.8413120861643909E-2</v>
      </c>
      <c r="AE34" s="172">
        <f t="shared" si="20"/>
        <v>2.8244269868184606E-2</v>
      </c>
      <c r="AF34" s="172">
        <f t="shared" si="20"/>
        <v>2.8043463148612773E-2</v>
      </c>
      <c r="AG34" s="172">
        <f t="shared" si="20"/>
        <v>2.8109831560962376E-2</v>
      </c>
      <c r="AH34" s="172">
        <f t="shared" si="20"/>
        <v>2.8195595693655904E-2</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79.198499999999996</v>
      </c>
      <c r="D42" s="331">
        <f>D7*Inputs!$C$48</f>
        <v>64.348500000000001</v>
      </c>
      <c r="E42" s="331">
        <f>E7*Inputs!$C$48</f>
        <v>103.02909162222048</v>
      </c>
      <c r="F42" s="331">
        <f>F7*Inputs!$C$48</f>
        <v>80.831521615212097</v>
      </c>
      <c r="G42" s="331">
        <f>G7*Inputs!$C$48</f>
        <v>103.78032088257159</v>
      </c>
      <c r="H42" s="14">
        <f>H7*Inputs!$C$48</f>
        <v>111.12982546644746</v>
      </c>
      <c r="I42" s="14">
        <f>I7*Inputs!$C$48</f>
        <v>117.95552985722922</v>
      </c>
      <c r="J42" s="14">
        <f>J7*Inputs!$C$48</f>
        <v>120.04307273204563</v>
      </c>
      <c r="K42" s="14">
        <f>K7*Inputs!$C$48</f>
        <v>132.2292529633726</v>
      </c>
      <c r="L42" s="14">
        <f>L7*Inputs!$C$48</f>
        <v>132.2292529633726</v>
      </c>
      <c r="M42" s="14">
        <f>M7*Inputs!$C$48</f>
        <v>132.2292529633726</v>
      </c>
      <c r="N42" s="190">
        <f>N7*Inputs!$C$48</f>
        <v>132.229242473102</v>
      </c>
      <c r="O42" s="14">
        <f>O7*Inputs!$C$48</f>
        <v>133.83523996492175</v>
      </c>
      <c r="P42" s="14">
        <f>P7*Inputs!$C$48</f>
        <v>133.83523996492175</v>
      </c>
      <c r="Q42" s="14">
        <f>Q7*Inputs!$C$48</f>
        <v>139.46063709995536</v>
      </c>
      <c r="R42" s="14">
        <f>R7*Inputs!$C$48</f>
        <v>139.46063709995536</v>
      </c>
      <c r="S42" s="14">
        <f>S7*Inputs!$C$48</f>
        <v>139.46063709995536</v>
      </c>
      <c r="T42" s="14">
        <f>T7*Inputs!$C$48</f>
        <v>139.46063709995536</v>
      </c>
      <c r="U42" s="14">
        <f>U7*Inputs!$C$48</f>
        <v>139.46063709995536</v>
      </c>
      <c r="V42" s="14">
        <f>V7*Inputs!$C$48</f>
        <v>140.36238076330483</v>
      </c>
      <c r="W42" s="14">
        <f>W7*Inputs!$C$48</f>
        <v>140.36238076330483</v>
      </c>
      <c r="X42" s="187">
        <f>X7*Inputs!$C$48</f>
        <v>140.9492169926142</v>
      </c>
      <c r="Y42" s="14">
        <f>Y7*Inputs!$C$48</f>
        <v>142.6857554121529</v>
      </c>
      <c r="Z42" s="14">
        <f>Z7*Inputs!$C$48</f>
        <v>144.20316256850279</v>
      </c>
      <c r="AA42" s="14">
        <f>AA7*Inputs!$C$48</f>
        <v>144.20316256850279</v>
      </c>
      <c r="AB42" s="14">
        <f>AB7*Inputs!$C$48</f>
        <v>146.27647014607439</v>
      </c>
      <c r="AC42" s="14">
        <f>AC7*Inputs!$C$48</f>
        <v>148.11907569195239</v>
      </c>
      <c r="AD42" s="14">
        <f>AD7*Inputs!$C$48</f>
        <v>148.87226663291133</v>
      </c>
      <c r="AE42" s="14">
        <f>AE7*Inputs!$C$48</f>
        <v>148.87226663291133</v>
      </c>
      <c r="AF42" s="14">
        <f>AF7*Inputs!$C$48</f>
        <v>148.87226663291133</v>
      </c>
      <c r="AG42" s="14">
        <f>AG7*Inputs!$C$48</f>
        <v>148.87226663291133</v>
      </c>
      <c r="AH42" s="14">
        <f>AH7*Inputs!$C$48</f>
        <v>148.87226663291133</v>
      </c>
    </row>
    <row r="43" spans="1:36" ht="15">
      <c r="A43" s="8" t="s">
        <v>59</v>
      </c>
      <c r="B43" s="34">
        <v>0</v>
      </c>
      <c r="C43" s="331">
        <f>C8*Inputs!$C$53</f>
        <v>2128.84</v>
      </c>
      <c r="D43" s="331">
        <f>D8*Inputs!$C$53</f>
        <v>2212.7000000000003</v>
      </c>
      <c r="E43" s="331">
        <f>E8*Inputs!$C$53</f>
        <v>2104.3260588000003</v>
      </c>
      <c r="F43" s="331">
        <f>F8*Inputs!$C$53</f>
        <v>2129.240358</v>
      </c>
      <c r="G43" s="331">
        <f>G8*Inputs!$C$53</f>
        <v>2051.9776872000002</v>
      </c>
      <c r="H43" s="14">
        <f>H8*Inputs!$C$53</f>
        <v>2055.7267752000002</v>
      </c>
      <c r="I43" s="14">
        <f>I8*Inputs!$C$53</f>
        <v>2115.1555320000002</v>
      </c>
      <c r="J43" s="14">
        <f>J8*Inputs!$C$53</f>
        <v>2136.3390720000002</v>
      </c>
      <c r="K43" s="14">
        <f>K8*Inputs!$C$53</f>
        <v>2102.7258671999998</v>
      </c>
      <c r="L43" s="14">
        <f>L8*Inputs!$C$53</f>
        <v>2035.0694448000002</v>
      </c>
      <c r="M43" s="14">
        <f>M8*Inputs!$C$53</f>
        <v>1966.9254443999998</v>
      </c>
      <c r="N43" s="190">
        <f>N8*Inputs!$C$53</f>
        <v>1926.2490995999999</v>
      </c>
      <c r="O43" s="14">
        <f>O8*Inputs!$C$53</f>
        <v>1926.2491584000004</v>
      </c>
      <c r="P43" s="14">
        <f>P8*Inputs!$C$53</f>
        <v>1926.2490995999999</v>
      </c>
      <c r="Q43" s="14">
        <f>Q8*Inputs!$C$53</f>
        <v>1926.2490995999999</v>
      </c>
      <c r="R43" s="14">
        <f>R8*Inputs!$C$53</f>
        <v>1926.2491584000004</v>
      </c>
      <c r="S43" s="14">
        <f>S8*Inputs!$C$53</f>
        <v>1926.2490995999999</v>
      </c>
      <c r="T43" s="14">
        <f>T8*Inputs!$C$53</f>
        <v>1926.2491584000004</v>
      </c>
      <c r="U43" s="14">
        <f>U8*Inputs!$C$53</f>
        <v>1926.2490995999999</v>
      </c>
      <c r="V43" s="14">
        <f>V8*Inputs!$C$53</f>
        <v>1926.2490995999999</v>
      </c>
      <c r="W43" s="14">
        <f>W8*Inputs!$C$53</f>
        <v>1926.2491584000004</v>
      </c>
      <c r="X43" s="187">
        <f>X8*Inputs!$C$53</f>
        <v>1926.2491584000004</v>
      </c>
      <c r="Y43" s="14">
        <f>Y8*Inputs!$C$53</f>
        <v>1926.2491584000004</v>
      </c>
      <c r="Z43" s="14">
        <f>Z8*Inputs!$C$53</f>
        <v>1926.2491584000004</v>
      </c>
      <c r="AA43" s="14">
        <f>AA8*Inputs!$C$53</f>
        <v>1926.2490995999999</v>
      </c>
      <c r="AB43" s="14">
        <f>AB8*Inputs!$C$53</f>
        <v>1926.2490995999999</v>
      </c>
      <c r="AC43" s="14">
        <f>AC8*Inputs!$C$53</f>
        <v>1926.2490995999999</v>
      </c>
      <c r="AD43" s="14">
        <f>AD8*Inputs!$C$53</f>
        <v>1926.2490995999999</v>
      </c>
      <c r="AE43" s="14">
        <f>AE8*Inputs!$C$53</f>
        <v>1926.2490995999999</v>
      </c>
      <c r="AF43" s="14">
        <f>AF8*Inputs!$C$53</f>
        <v>1926.2490995999999</v>
      </c>
      <c r="AG43" s="14">
        <f>AG8*Inputs!$C$53</f>
        <v>1926.2490995999999</v>
      </c>
      <c r="AH43" s="14">
        <f>AH8*Inputs!$C$53</f>
        <v>1926.2491584000004</v>
      </c>
    </row>
    <row r="44" spans="1:36" ht="15">
      <c r="A44" s="8" t="s">
        <v>121</v>
      </c>
      <c r="B44" s="34">
        <v>1</v>
      </c>
      <c r="C44" s="331">
        <f>C10*Inputs!$C$46</f>
        <v>86.1</v>
      </c>
      <c r="D44" s="331">
        <f>D10*Inputs!$C$46</f>
        <v>83.789999999999992</v>
      </c>
      <c r="E44" s="331">
        <f>E10*Inputs!$C$46</f>
        <v>94.588719625405147</v>
      </c>
      <c r="F44" s="331">
        <f>F10*Inputs!$C$46</f>
        <v>91.092337176434825</v>
      </c>
      <c r="G44" s="331">
        <f>G10*Inputs!$C$46</f>
        <v>99.109759286777731</v>
      </c>
      <c r="H44" s="14">
        <f>H10*Inputs!$C$46</f>
        <v>112.55740489277568</v>
      </c>
      <c r="I44" s="14">
        <f>I10*Inputs!$C$46</f>
        <v>132.92297404450201</v>
      </c>
      <c r="J44" s="14">
        <f>J10*Inputs!$C$46</f>
        <v>187.27354826648332</v>
      </c>
      <c r="K44" s="14">
        <f>K10*Inputs!$C$46</f>
        <v>350.27159068522167</v>
      </c>
      <c r="L44" s="14">
        <f>L10*Inputs!$C$46</f>
        <v>581.53434374518645</v>
      </c>
      <c r="M44" s="14">
        <f>M10*Inputs!$C$46</f>
        <v>584.97995306361349</v>
      </c>
      <c r="N44" s="190">
        <f>N10*Inputs!$C$46</f>
        <v>635.85334532806837</v>
      </c>
      <c r="O44" s="14">
        <f>O10*Inputs!$C$46</f>
        <v>665.96607100418544</v>
      </c>
      <c r="P44" s="14">
        <f>P10*Inputs!$C$46</f>
        <v>716.70019209830855</v>
      </c>
      <c r="Q44" s="14">
        <f>Q10*Inputs!$C$46</f>
        <v>881.31418573708083</v>
      </c>
      <c r="R44" s="14">
        <f>R10*Inputs!$C$46</f>
        <v>890.09475977495072</v>
      </c>
      <c r="S44" s="14">
        <f>S10*Inputs!$C$46</f>
        <v>984.43982245963957</v>
      </c>
      <c r="T44" s="14">
        <f>T10*Inputs!$C$46</f>
        <v>1002.2830284589828</v>
      </c>
      <c r="U44" s="14">
        <f>U10*Inputs!$C$46</f>
        <v>1004.1138358825679</v>
      </c>
      <c r="V44" s="14">
        <f>V10*Inputs!$C$46</f>
        <v>1027.3251342098308</v>
      </c>
      <c r="W44" s="14">
        <f>W10*Inputs!$C$46</f>
        <v>1044.3926809192635</v>
      </c>
      <c r="X44" s="187">
        <f>X10*Inputs!$C$46</f>
        <v>1174.8800320597006</v>
      </c>
      <c r="Y44" s="14">
        <f>Y10*Inputs!$C$46</f>
        <v>1258.3698535201258</v>
      </c>
      <c r="Z44" s="14">
        <f>Z10*Inputs!$C$46</f>
        <v>1287.6604736471002</v>
      </c>
      <c r="AA44" s="14">
        <f>AA10*Inputs!$C$46</f>
        <v>1293.0589892889273</v>
      </c>
      <c r="AB44" s="14">
        <f>AB10*Inputs!$C$46</f>
        <v>1296.599451739381</v>
      </c>
      <c r="AC44" s="14">
        <f>AC10*Inputs!$C$46</f>
        <v>1297.3868747106694</v>
      </c>
      <c r="AD44" s="14">
        <f>AD10*Inputs!$C$46</f>
        <v>1291.9297434840473</v>
      </c>
      <c r="AE44" s="14">
        <f>AE10*Inputs!$C$46</f>
        <v>1299.5316507337791</v>
      </c>
      <c r="AF44" s="14">
        <f>AF10*Inputs!$C$46</f>
        <v>1307.1454568796169</v>
      </c>
      <c r="AG44" s="14">
        <f>AG10*Inputs!$C$46</f>
        <v>1306.2412083829238</v>
      </c>
      <c r="AH44" s="14">
        <f>AH10*Inputs!$C$46</f>
        <v>1309.5593778197608</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29.7</v>
      </c>
      <c r="D46" s="331">
        <f>D12*Inputs!$C$52</f>
        <v>39.6</v>
      </c>
      <c r="E46" s="331">
        <f>E12*Inputs!$C$52</f>
        <v>26.006547539454861</v>
      </c>
      <c r="F46" s="331">
        <f>F12*Inputs!$C$52</f>
        <v>28.667459490846589</v>
      </c>
      <c r="G46" s="331">
        <f>G12*Inputs!$C$52</f>
        <v>34.950133456886689</v>
      </c>
      <c r="H46" s="14">
        <f>H12*Inputs!$C$52</f>
        <v>35.092397508499566</v>
      </c>
      <c r="I46" s="14">
        <f>I12*Inputs!$C$52</f>
        <v>34.872806573485832</v>
      </c>
      <c r="J46" s="14">
        <f>J12*Inputs!$C$52</f>
        <v>34.874847993794724</v>
      </c>
      <c r="K46" s="14">
        <f>K12*Inputs!$C$52</f>
        <v>34.876012838812478</v>
      </c>
      <c r="L46" s="14">
        <f>L12*Inputs!$C$52</f>
        <v>34.875542194360868</v>
      </c>
      <c r="M46" s="14">
        <f>M12*Inputs!$C$52</f>
        <v>34.873853757390684</v>
      </c>
      <c r="N46" s="190">
        <f>N12*Inputs!$C$52</f>
        <v>34.869241441764828</v>
      </c>
      <c r="O46" s="14">
        <f>O12*Inputs!$C$52</f>
        <v>34.866564651446247</v>
      </c>
      <c r="P46" s="14">
        <f>P12*Inputs!$C$52</f>
        <v>34.864146715576062</v>
      </c>
      <c r="Q46" s="14">
        <f>Q12*Inputs!$C$52</f>
        <v>34.861422860812318</v>
      </c>
      <c r="R46" s="14">
        <f>R12*Inputs!$C$52</f>
        <v>35.248069043927913</v>
      </c>
      <c r="S46" s="14">
        <f>S12*Inputs!$C$52</f>
        <v>35.246439437514191</v>
      </c>
      <c r="T46" s="14">
        <f>T12*Inputs!$C$52</f>
        <v>35.244150928868194</v>
      </c>
      <c r="U46" s="14">
        <f>U12*Inputs!$C$52</f>
        <v>35.24172122688671</v>
      </c>
      <c r="V46" s="14">
        <f>V12*Inputs!$C$52</f>
        <v>35.239138565458454</v>
      </c>
      <c r="W46" s="14">
        <f>W12*Inputs!$C$52</f>
        <v>35.233773218710013</v>
      </c>
      <c r="X46" s="187">
        <f>X12*Inputs!$C$52</f>
        <v>35.227454816947038</v>
      </c>
      <c r="Y46" s="14">
        <f>Y12*Inputs!$C$52</f>
        <v>35.221677656303427</v>
      </c>
      <c r="Z46" s="14">
        <f>Z12*Inputs!$C$52</f>
        <v>35.215729887046102</v>
      </c>
      <c r="AA46" s="14">
        <f>AA12*Inputs!$C$52</f>
        <v>35.209605626119426</v>
      </c>
      <c r="AB46" s="14">
        <f>AB12*Inputs!$C$52</f>
        <v>35.965348837360899</v>
      </c>
      <c r="AC46" s="14">
        <f>AC12*Inputs!$C$52</f>
        <v>35.961971963420538</v>
      </c>
      <c r="AD46" s="14">
        <f>AD12*Inputs!$C$52</f>
        <v>35.958195041696307</v>
      </c>
      <c r="AE46" s="14">
        <f>AE12*Inputs!$C$52</f>
        <v>35.954200446913191</v>
      </c>
      <c r="AF46" s="14">
        <f>AF12*Inputs!$C$52</f>
        <v>35.95048823880105</v>
      </c>
      <c r="AG46" s="14">
        <f>AG12*Inputs!$C$52</f>
        <v>35.946858393467956</v>
      </c>
      <c r="AH46" s="14">
        <f>AH12*Inputs!$C$52</f>
        <v>35.943628595918717</v>
      </c>
    </row>
    <row r="47" spans="1:36" ht="15">
      <c r="A47" s="8" t="s">
        <v>347</v>
      </c>
      <c r="B47" s="34">
        <v>1</v>
      </c>
      <c r="C47" s="331">
        <f>C13*Inputs!$C$54</f>
        <v>4.2992432000000003</v>
      </c>
      <c r="D47" s="331">
        <f>D13*Inputs!$C$54</f>
        <v>11.324176000000001</v>
      </c>
      <c r="E47" s="331">
        <f>E13*Inputs!$C$54</f>
        <v>34.784635415711456</v>
      </c>
      <c r="F47" s="331">
        <f>F13*Inputs!$C$54</f>
        <v>61.954312614684738</v>
      </c>
      <c r="G47" s="331">
        <f>G13*Inputs!$C$54</f>
        <v>102.24636754635375</v>
      </c>
      <c r="H47" s="14">
        <f>H13*Inputs!$C$54</f>
        <v>136.09623106525868</v>
      </c>
      <c r="I47" s="14">
        <f>I13*Inputs!$C$54</f>
        <v>168.61497427847175</v>
      </c>
      <c r="J47" s="14">
        <f>J13*Inputs!$C$54</f>
        <v>203.19261359336238</v>
      </c>
      <c r="K47" s="14">
        <f>K13*Inputs!$C$54</f>
        <v>253.21663264743424</v>
      </c>
      <c r="L47" s="14">
        <f>L13*Inputs!$C$54</f>
        <v>303.92705518771294</v>
      </c>
      <c r="M47" s="14">
        <f>M13*Inputs!$C$54</f>
        <v>352.43519819302423</v>
      </c>
      <c r="N47" s="190">
        <f>N13*Inputs!$C$54</f>
        <v>400.91767636492943</v>
      </c>
      <c r="O47" s="14">
        <f>O13*Inputs!$C$54</f>
        <v>450.56735316321499</v>
      </c>
      <c r="P47" s="14">
        <f>P13*Inputs!$C$54</f>
        <v>500.65941527954584</v>
      </c>
      <c r="Q47" s="14">
        <f>Q13*Inputs!$C$54</f>
        <v>552.60551297183247</v>
      </c>
      <c r="R47" s="14">
        <f>R13*Inputs!$C$54</f>
        <v>602.69128548241633</v>
      </c>
      <c r="S47" s="14">
        <f>S13*Inputs!$C$54</f>
        <v>622.12849374152927</v>
      </c>
      <c r="T47" s="14">
        <f>T13*Inputs!$C$54</f>
        <v>666.7554660241866</v>
      </c>
      <c r="U47" s="14">
        <f>U13*Inputs!$C$54</f>
        <v>710.08256416212294</v>
      </c>
      <c r="V47" s="14">
        <f>V13*Inputs!$C$54</f>
        <v>752.21214634984483</v>
      </c>
      <c r="W47" s="14">
        <f>W13*Inputs!$C$54</f>
        <v>795.31237896624373</v>
      </c>
      <c r="X47" s="187">
        <f>X13*Inputs!$C$54</f>
        <v>837.29761007275556</v>
      </c>
      <c r="Y47" s="14">
        <f>Y13*Inputs!$C$54</f>
        <v>883.32220366071624</v>
      </c>
      <c r="Z47" s="14">
        <f>Z13*Inputs!$C$54</f>
        <v>928.9230894710239</v>
      </c>
      <c r="AA47" s="14">
        <f>AA13*Inputs!$C$54</f>
        <v>975.10136753125198</v>
      </c>
      <c r="AB47" s="14">
        <f>AB13*Inputs!$C$54</f>
        <v>1020.9429662608545</v>
      </c>
      <c r="AC47" s="14">
        <f>AC13*Inputs!$C$54</f>
        <v>1065.9696108675237</v>
      </c>
      <c r="AD47" s="14">
        <f>AD13*Inputs!$C$54</f>
        <v>1111.4464516045387</v>
      </c>
      <c r="AE47" s="14">
        <f>AE13*Inputs!$C$54</f>
        <v>1156.3475534648614</v>
      </c>
      <c r="AF47" s="14">
        <f>AF13*Inputs!$C$54</f>
        <v>1200.633657934334</v>
      </c>
      <c r="AG47" s="14">
        <f>AG13*Inputs!$C$54</f>
        <v>1243.2750591641741</v>
      </c>
      <c r="AH47" s="14">
        <f>AH13*Inputs!$C$54</f>
        <v>1286.8941194109893</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2.3800000000000003</v>
      </c>
      <c r="D50" s="331">
        <f>D16*Inputs!$C$57</f>
        <v>2.21</v>
      </c>
      <c r="E50" s="331">
        <f>E16*Inputs!$C$57</f>
        <v>27.446723486988287</v>
      </c>
      <c r="F50" s="331">
        <f>F16*Inputs!$C$57</f>
        <v>32.388741536635187</v>
      </c>
      <c r="G50" s="331">
        <f>G16*Inputs!$C$57</f>
        <v>37.227310795170673</v>
      </c>
      <c r="H50" s="14">
        <f>H16*Inputs!$C$57</f>
        <v>37.316310770765575</v>
      </c>
      <c r="I50" s="14">
        <f>I16*Inputs!$C$57</f>
        <v>37.574471988709853</v>
      </c>
      <c r="J50" s="14">
        <f>J16*Inputs!$C$57</f>
        <v>37.810698411881958</v>
      </c>
      <c r="K50" s="14">
        <f>K16*Inputs!$C$57</f>
        <v>37.807916341813566</v>
      </c>
      <c r="L50" s="14">
        <f>L16*Inputs!$C$57</f>
        <v>37.803124877313387</v>
      </c>
      <c r="M50" s="14">
        <f>M16*Inputs!$C$57</f>
        <v>37.799250554716167</v>
      </c>
      <c r="N50" s="190">
        <f>N16*Inputs!$C$57</f>
        <v>37.81198109721641</v>
      </c>
      <c r="O50" s="14">
        <f>O16*Inputs!$C$57</f>
        <v>37.815932030712439</v>
      </c>
      <c r="P50" s="14">
        <f>P16*Inputs!$C$57</f>
        <v>37.820349196249843</v>
      </c>
      <c r="Q50" s="14">
        <f>Q16*Inputs!$C$57</f>
        <v>37.825641914916552</v>
      </c>
      <c r="R50" s="14">
        <f>R16*Inputs!$C$57</f>
        <v>37.849380349135117</v>
      </c>
      <c r="S50" s="14">
        <f>S16*Inputs!$C$57</f>
        <v>37.883734865046634</v>
      </c>
      <c r="T50" s="14">
        <f>T16*Inputs!$C$57</f>
        <v>37.937369060865663</v>
      </c>
      <c r="U50" s="14">
        <f>U16*Inputs!$C$57</f>
        <v>37.996591474532551</v>
      </c>
      <c r="V50" s="14">
        <f>V16*Inputs!$C$57</f>
        <v>38.055023701500239</v>
      </c>
      <c r="W50" s="14">
        <f>W16*Inputs!$C$57</f>
        <v>38.115609789166044</v>
      </c>
      <c r="X50" s="187">
        <f>X16*Inputs!$C$57</f>
        <v>38.185060852266162</v>
      </c>
      <c r="Y50" s="14">
        <f>Y16*Inputs!$C$57</f>
        <v>38.241249474339966</v>
      </c>
      <c r="Z50" s="14">
        <f>Z16*Inputs!$C$57</f>
        <v>38.29673546502751</v>
      </c>
      <c r="AA50" s="14">
        <f>AA16*Inputs!$C$57</f>
        <v>38.402723360213955</v>
      </c>
      <c r="AB50" s="14">
        <f>AB16*Inputs!$C$57</f>
        <v>38.576577567336464</v>
      </c>
      <c r="AC50" s="14">
        <f>AC16*Inputs!$C$57</f>
        <v>38.695788503658392</v>
      </c>
      <c r="AD50" s="14">
        <f>AD16*Inputs!$C$57</f>
        <v>38.771037917357404</v>
      </c>
      <c r="AE50" s="14">
        <f>AE16*Inputs!$C$57</f>
        <v>38.993505023102315</v>
      </c>
      <c r="AF50" s="14">
        <f>AF16*Inputs!$C$57</f>
        <v>39.160952370201059</v>
      </c>
      <c r="AG50" s="14">
        <f>AG16*Inputs!$C$57</f>
        <v>39.500417451733561</v>
      </c>
      <c r="AH50" s="14">
        <f>AH16*Inputs!$C$57</f>
        <v>39.974592948859701</v>
      </c>
    </row>
    <row r="51" spans="1:34" s="20" customFormat="1" ht="15">
      <c r="A51" s="8" t="s">
        <v>128</v>
      </c>
      <c r="B51" s="38"/>
      <c r="C51" s="334">
        <f t="shared" ref="C51:AH51" si="21">SUMPRODUCT($B42:$B50,C42:C50)</f>
        <v>122.4819432</v>
      </c>
      <c r="D51" s="334">
        <f t="shared" si="21"/>
        <v>136.92687599999999</v>
      </c>
      <c r="E51" s="334">
        <f t="shared" si="21"/>
        <v>182.83162609255973</v>
      </c>
      <c r="F51" s="334">
        <f t="shared" si="21"/>
        <v>214.10785084360134</v>
      </c>
      <c r="G51" s="334">
        <f t="shared" si="21"/>
        <v>273.53857111018885</v>
      </c>
      <c r="H51" s="19">
        <f t="shared" si="21"/>
        <v>321.06734426229951</v>
      </c>
      <c r="I51" s="19">
        <f t="shared" si="21"/>
        <v>373.99022691016938</v>
      </c>
      <c r="J51" s="19">
        <f t="shared" si="21"/>
        <v>463.15670829052237</v>
      </c>
      <c r="K51" s="19">
        <f t="shared" si="21"/>
        <v>676.17715253828192</v>
      </c>
      <c r="L51" s="19">
        <f t="shared" si="21"/>
        <v>958.14506602957351</v>
      </c>
      <c r="M51" s="19">
        <f t="shared" si="21"/>
        <v>1010.0932555937445</v>
      </c>
      <c r="N51" s="190">
        <f t="shared" si="21"/>
        <v>1109.457244256979</v>
      </c>
      <c r="O51" s="19">
        <f t="shared" si="21"/>
        <v>1189.2209208745592</v>
      </c>
      <c r="P51" s="19">
        <f t="shared" si="21"/>
        <v>1290.0491033146805</v>
      </c>
      <c r="Q51" s="19">
        <f t="shared" si="21"/>
        <v>1506.6117635096423</v>
      </c>
      <c r="R51" s="19">
        <f t="shared" si="21"/>
        <v>1565.8884946754301</v>
      </c>
      <c r="S51" s="19">
        <f t="shared" si="21"/>
        <v>1679.7034905287296</v>
      </c>
      <c r="T51" s="19">
        <f t="shared" si="21"/>
        <v>1742.2250144979032</v>
      </c>
      <c r="U51" s="19">
        <f t="shared" si="21"/>
        <v>1787.4397127711102</v>
      </c>
      <c r="V51" s="19">
        <f t="shared" si="21"/>
        <v>1852.8364428516345</v>
      </c>
      <c r="W51" s="19">
        <f t="shared" si="21"/>
        <v>1913.0594429183832</v>
      </c>
      <c r="X51" s="182">
        <f t="shared" si="21"/>
        <v>2085.5951578266695</v>
      </c>
      <c r="Y51" s="19">
        <f t="shared" si="21"/>
        <v>2215.1599843364852</v>
      </c>
      <c r="Z51" s="19">
        <f t="shared" si="21"/>
        <v>2290.1010284951981</v>
      </c>
      <c r="AA51" s="19">
        <f t="shared" si="21"/>
        <v>2341.7776858315128</v>
      </c>
      <c r="AB51" s="19">
        <f t="shared" si="21"/>
        <v>2392.0893444299327</v>
      </c>
      <c r="AC51" s="19">
        <f t="shared" si="21"/>
        <v>2438.0192460702724</v>
      </c>
      <c r="AD51" s="19">
        <f t="shared" si="21"/>
        <v>2478.1104280726399</v>
      </c>
      <c r="AE51" s="19">
        <f t="shared" si="21"/>
        <v>2530.8319096936561</v>
      </c>
      <c r="AF51" s="19">
        <f t="shared" si="21"/>
        <v>2582.8955554479526</v>
      </c>
      <c r="AG51" s="19">
        <f t="shared" si="21"/>
        <v>2624.9685434172993</v>
      </c>
      <c r="AH51" s="19">
        <f t="shared" si="21"/>
        <v>2672.3767188005281</v>
      </c>
    </row>
    <row r="52" spans="1:34" s="20" customFormat="1" ht="15">
      <c r="A52" s="27" t="s">
        <v>329</v>
      </c>
      <c r="B52" s="39"/>
      <c r="C52" s="334">
        <f>SUM(C40:C50)</f>
        <v>2330.5204432</v>
      </c>
      <c r="D52" s="334">
        <f t="shared" ref="D52:I52" si="22">SUM(D42:D50)</f>
        <v>2413.9753760000003</v>
      </c>
      <c r="E52" s="334">
        <f t="shared" si="22"/>
        <v>2390.1867765147813</v>
      </c>
      <c r="F52" s="334">
        <f t="shared" si="22"/>
        <v>2424.179730458814</v>
      </c>
      <c r="G52" s="334">
        <f t="shared" si="22"/>
        <v>2429.2965791927609</v>
      </c>
      <c r="H52" s="19">
        <f t="shared" si="22"/>
        <v>2487.9239449287475</v>
      </c>
      <c r="I52" s="19">
        <f t="shared" si="22"/>
        <v>2607.1012887673992</v>
      </c>
      <c r="J52" s="19">
        <f t="shared" ref="J52:AH52" si="23">SUM(J42:J50)</f>
        <v>2719.5388530225691</v>
      </c>
      <c r="K52" s="19">
        <f t="shared" si="23"/>
        <v>2911.1322727016554</v>
      </c>
      <c r="L52" s="19">
        <f t="shared" si="23"/>
        <v>3125.4437637929468</v>
      </c>
      <c r="M52" s="19">
        <f t="shared" si="23"/>
        <v>3109.2479529571174</v>
      </c>
      <c r="N52" s="190">
        <f t="shared" si="23"/>
        <v>3167.9355863300812</v>
      </c>
      <c r="O52" s="19">
        <f t="shared" si="23"/>
        <v>3249.3053192394814</v>
      </c>
      <c r="P52" s="19">
        <f t="shared" si="23"/>
        <v>3350.1334428796026</v>
      </c>
      <c r="Q52" s="19">
        <f t="shared" si="23"/>
        <v>3572.3215002095976</v>
      </c>
      <c r="R52" s="19">
        <f t="shared" si="23"/>
        <v>3631.598290175386</v>
      </c>
      <c r="S52" s="19">
        <f t="shared" si="23"/>
        <v>3745.4132272286856</v>
      </c>
      <c r="T52" s="19">
        <f t="shared" si="23"/>
        <v>3807.9348099978597</v>
      </c>
      <c r="U52" s="19">
        <f t="shared" si="23"/>
        <v>3853.1494494710651</v>
      </c>
      <c r="V52" s="19">
        <f t="shared" si="23"/>
        <v>3919.4479232149392</v>
      </c>
      <c r="W52" s="19">
        <f t="shared" si="23"/>
        <v>3979.6709820816891</v>
      </c>
      <c r="X52" s="182">
        <f t="shared" si="23"/>
        <v>4152.7935332192847</v>
      </c>
      <c r="Y52" s="19">
        <f t="shared" si="23"/>
        <v>4284.094898148639</v>
      </c>
      <c r="Z52" s="19">
        <f t="shared" si="23"/>
        <v>4360.5533494637002</v>
      </c>
      <c r="AA52" s="19">
        <f t="shared" si="23"/>
        <v>4412.2299480000156</v>
      </c>
      <c r="AB52" s="19">
        <f t="shared" si="23"/>
        <v>4464.614914176007</v>
      </c>
      <c r="AC52" s="19">
        <f t="shared" si="23"/>
        <v>4512.3874213622248</v>
      </c>
      <c r="AD52" s="19">
        <f t="shared" si="23"/>
        <v>4553.2317943055514</v>
      </c>
      <c r="AE52" s="19">
        <f t="shared" si="23"/>
        <v>4605.9532759265676</v>
      </c>
      <c r="AF52" s="19">
        <f t="shared" si="23"/>
        <v>4658.0169216808645</v>
      </c>
      <c r="AG52" s="19">
        <f t="shared" si="23"/>
        <v>4700.0899096502108</v>
      </c>
      <c r="AH52" s="19">
        <f t="shared" si="23"/>
        <v>4747.4981438334407</v>
      </c>
    </row>
    <row r="53" spans="1:34" s="20" customFormat="1" ht="15">
      <c r="A53" s="27" t="s">
        <v>330</v>
      </c>
      <c r="B53" s="39"/>
      <c r="C53" s="334">
        <f>C20*Inputs!$C$60</f>
        <v>12508.32</v>
      </c>
      <c r="D53" s="334">
        <f>D20*Inputs!$C$60</f>
        <v>12961.08</v>
      </c>
      <c r="E53" s="334">
        <f>E20*Inputs!$C$60</f>
        <v>13390.980432254191</v>
      </c>
      <c r="F53" s="334">
        <f>F20*Inputs!$C$60</f>
        <v>11328.755196570411</v>
      </c>
      <c r="G53" s="334">
        <f>G20*Inputs!$C$60</f>
        <v>13046.185718535806</v>
      </c>
      <c r="H53" s="19">
        <f>H20*Inputs!$C$60</f>
        <v>13038.619868966383</v>
      </c>
      <c r="I53" s="19">
        <f>I20*Inputs!$C$60</f>
        <v>12746.369371795423</v>
      </c>
      <c r="J53" s="19">
        <f>J20*Inputs!$C$60</f>
        <v>12627.219557349437</v>
      </c>
      <c r="K53" s="19">
        <f>K20*Inputs!$C$60</f>
        <v>12835.630110829397</v>
      </c>
      <c r="L53" s="19">
        <f>L20*Inputs!$C$60</f>
        <v>12989.17258163153</v>
      </c>
      <c r="M53" s="19">
        <f>M20*Inputs!$C$60</f>
        <v>13103.125775542881</v>
      </c>
      <c r="N53" s="190">
        <f>N20*Inputs!$C$60</f>
        <v>13159.230678813075</v>
      </c>
      <c r="O53" s="19">
        <f>O20*Inputs!$C$60</f>
        <v>13254.968242093239</v>
      </c>
      <c r="P53" s="19">
        <f>P20*Inputs!$C$60</f>
        <v>13300.053374009396</v>
      </c>
      <c r="Q53" s="19">
        <f>Q20*Inputs!$C$60</f>
        <v>13291.889026765957</v>
      </c>
      <c r="R53" s="19">
        <f>R20*Inputs!$C$60</f>
        <v>13349.729455651388</v>
      </c>
      <c r="S53" s="19">
        <f>S20*Inputs!$C$60</f>
        <v>13377.607212761901</v>
      </c>
      <c r="T53" s="19">
        <f>T20*Inputs!$C$60</f>
        <v>13372.938362792291</v>
      </c>
      <c r="U53" s="19">
        <f>U20*Inputs!$C$60</f>
        <v>13381.401284598072</v>
      </c>
      <c r="V53" s="19">
        <f>V20*Inputs!$C$60</f>
        <v>13378.305072698975</v>
      </c>
      <c r="W53" s="19">
        <f>W20*Inputs!$C$60</f>
        <v>13373.675416737839</v>
      </c>
      <c r="X53" s="182">
        <f>X20*Inputs!$C$60</f>
        <v>13312.897302232088</v>
      </c>
      <c r="Y53" s="19">
        <f>Y20*Inputs!$C$60</f>
        <v>13269.407991958071</v>
      </c>
      <c r="Z53" s="19">
        <f>Z20*Inputs!$C$60</f>
        <v>13246.544915991477</v>
      </c>
      <c r="AA53" s="19">
        <f>AA20*Inputs!$C$60</f>
        <v>13234.782380876608</v>
      </c>
      <c r="AB53" s="19">
        <f>AB20*Inputs!$C$60</f>
        <v>13228.198562151949</v>
      </c>
      <c r="AC53" s="19">
        <f>AC20*Inputs!$C$60</f>
        <v>13219.71942906155</v>
      </c>
      <c r="AD53" s="19">
        <f>AD20*Inputs!$C$60</f>
        <v>13213.059862033551</v>
      </c>
      <c r="AE53" s="19">
        <f>AE20*Inputs!$C$60</f>
        <v>13200.019791613267</v>
      </c>
      <c r="AF53" s="19">
        <f>AF20*Inputs!$C$60</f>
        <v>13187.80678363383</v>
      </c>
      <c r="AG53" s="19">
        <f>AG20*Inputs!$C$60</f>
        <v>13179.932690116375</v>
      </c>
      <c r="AH53" s="19">
        <f>AH20*Inputs!$C$60</f>
        <v>13171.106377302329</v>
      </c>
    </row>
    <row r="54" spans="1:34" s="20" customFormat="1" ht="15">
      <c r="A54" s="27" t="s">
        <v>222</v>
      </c>
      <c r="B54" s="39"/>
      <c r="C54" s="334">
        <f>C21*Inputs!$C$61</f>
        <v>511.5</v>
      </c>
      <c r="D54" s="334">
        <f>D21*Inputs!$C$61</f>
        <v>784.08</v>
      </c>
      <c r="E54" s="334">
        <f>E21*Inputs!$C$61</f>
        <v>777.43729007999991</v>
      </c>
      <c r="F54" s="334">
        <f>F21*Inputs!$C$61</f>
        <v>1107.1359288000001</v>
      </c>
      <c r="G54" s="334">
        <f>G21*Inputs!$C$61</f>
        <v>899.2202788799998</v>
      </c>
      <c r="H54" s="19">
        <f>H21*Inputs!$C$61</f>
        <v>864.59188463999999</v>
      </c>
      <c r="I54" s="19">
        <f>I21*Inputs!$C$61</f>
        <v>956.00889647999998</v>
      </c>
      <c r="J54" s="19">
        <f>J21*Inputs!$C$61</f>
        <v>1097.36702064</v>
      </c>
      <c r="K54" s="19">
        <f>K21*Inputs!$C$61</f>
        <v>1127.7370130399997</v>
      </c>
      <c r="L54" s="19">
        <f>L21*Inputs!$C$61</f>
        <v>1154.8839455999998</v>
      </c>
      <c r="M54" s="19">
        <f>M21*Inputs!$C$61</f>
        <v>1173.0429849599998</v>
      </c>
      <c r="N54" s="190">
        <f>N21*Inputs!$C$61</f>
        <v>1182.9590625599999</v>
      </c>
      <c r="O54" s="19">
        <f>O21*Inputs!$C$61</f>
        <v>1160.54103528</v>
      </c>
      <c r="P54" s="19">
        <f>P21*Inputs!$C$61</f>
        <v>1176.7350592800001</v>
      </c>
      <c r="Q54" s="19">
        <f>Q21*Inputs!$C$61</f>
        <v>1223.4973924799999</v>
      </c>
      <c r="R54" s="19">
        <f>R21*Inputs!$C$61</f>
        <v>1217.8527530399999</v>
      </c>
      <c r="S54" s="19">
        <f>S21*Inputs!$C$61</f>
        <v>1218.42189216</v>
      </c>
      <c r="T54" s="19">
        <f>T21*Inputs!$C$61</f>
        <v>1285.5704716799999</v>
      </c>
      <c r="U54" s="19">
        <f>U21*Inputs!$C$61</f>
        <v>1308.2954227199998</v>
      </c>
      <c r="V54" s="19">
        <f>V21*Inputs!$C$61</f>
        <v>1300.1089147199998</v>
      </c>
      <c r="W54" s="19">
        <f>W21*Inputs!$C$61</f>
        <v>1317.6991555199997</v>
      </c>
      <c r="X54" s="182">
        <f>X21*Inputs!$C$61</f>
        <v>1306.3710448799998</v>
      </c>
      <c r="Y54" s="19">
        <f>Y21*Inputs!$C$61</f>
        <v>1380.7364551200001</v>
      </c>
      <c r="Z54" s="19">
        <f>Z21*Inputs!$C$61</f>
        <v>1448.0672104800001</v>
      </c>
      <c r="AA54" s="19">
        <f>AA21*Inputs!$C$61</f>
        <v>1522.50760728</v>
      </c>
      <c r="AB54" s="19">
        <f>AB21*Inputs!$C$61</f>
        <v>1579.3332033599997</v>
      </c>
      <c r="AC54" s="19">
        <f>AC21*Inputs!$C$61</f>
        <v>1622.8549656</v>
      </c>
      <c r="AD54" s="19">
        <f>AD21*Inputs!$C$61</f>
        <v>1672.8173351999999</v>
      </c>
      <c r="AE54" s="19">
        <f>AE21*Inputs!$C$61</f>
        <v>1711.06037784</v>
      </c>
      <c r="AF54" s="19">
        <f>AF21*Inputs!$C$61</f>
        <v>1737.5376189599997</v>
      </c>
      <c r="AG54" s="19">
        <f>AG21*Inputs!$C$61</f>
        <v>1739.6740547999998</v>
      </c>
      <c r="AH54" s="19">
        <f>AH21*Inputs!$C$61</f>
        <v>1754.18924472</v>
      </c>
    </row>
    <row r="55" spans="1:34" s="20" customFormat="1" ht="15">
      <c r="A55" s="27" t="s">
        <v>58</v>
      </c>
      <c r="B55" s="39"/>
      <c r="C55" s="334">
        <f>SUM(C52:C54)</f>
        <v>15350.340443199999</v>
      </c>
      <c r="D55" s="334">
        <f t="shared" ref="D55:AH55" si="24">SUM(D52:D54)</f>
        <v>16159.135376</v>
      </c>
      <c r="E55" s="334">
        <f t="shared" si="24"/>
        <v>16558.604498848974</v>
      </c>
      <c r="F55" s="334">
        <f t="shared" si="24"/>
        <v>14860.070855829226</v>
      </c>
      <c r="G55" s="334">
        <f t="shared" si="24"/>
        <v>16374.702576608566</v>
      </c>
      <c r="H55" s="19">
        <f t="shared" si="24"/>
        <v>16391.13569853513</v>
      </c>
      <c r="I55" s="19">
        <f t="shared" si="24"/>
        <v>16309.479557042821</v>
      </c>
      <c r="J55" s="19">
        <f t="shared" si="24"/>
        <v>16444.125431012006</v>
      </c>
      <c r="K55" s="19">
        <f t="shared" si="24"/>
        <v>16874.499396571053</v>
      </c>
      <c r="L55" s="19">
        <f t="shared" si="24"/>
        <v>17269.500291024477</v>
      </c>
      <c r="M55" s="19">
        <f t="shared" si="24"/>
        <v>17385.416713459999</v>
      </c>
      <c r="N55" s="190">
        <f t="shared" si="24"/>
        <v>17510.125327703157</v>
      </c>
      <c r="O55" s="19">
        <f t="shared" si="24"/>
        <v>17664.814596612719</v>
      </c>
      <c r="P55" s="19">
        <f t="shared" si="24"/>
        <v>17826.921876168999</v>
      </c>
      <c r="Q55" s="19">
        <f t="shared" si="24"/>
        <v>18087.707919455555</v>
      </c>
      <c r="R55" s="19">
        <f t="shared" si="24"/>
        <v>18199.180498866772</v>
      </c>
      <c r="S55" s="19">
        <f t="shared" si="24"/>
        <v>18341.442332150586</v>
      </c>
      <c r="T55" s="19">
        <f t="shared" si="24"/>
        <v>18466.44364447015</v>
      </c>
      <c r="U55" s="19">
        <f t="shared" si="24"/>
        <v>18542.846156789135</v>
      </c>
      <c r="V55" s="19">
        <f t="shared" si="24"/>
        <v>18597.861910633914</v>
      </c>
      <c r="W55" s="19">
        <f t="shared" si="24"/>
        <v>18671.045554339529</v>
      </c>
      <c r="X55" s="182">
        <f t="shared" si="24"/>
        <v>18772.061880331374</v>
      </c>
      <c r="Y55" s="19">
        <f t="shared" si="24"/>
        <v>18934.23934522671</v>
      </c>
      <c r="Z55" s="19">
        <f t="shared" si="24"/>
        <v>19055.165475935177</v>
      </c>
      <c r="AA55" s="19">
        <f t="shared" si="24"/>
        <v>19169.519936156623</v>
      </c>
      <c r="AB55" s="19">
        <f t="shared" si="24"/>
        <v>19272.146679687954</v>
      </c>
      <c r="AC55" s="19">
        <f t="shared" si="24"/>
        <v>19354.961816023773</v>
      </c>
      <c r="AD55" s="19">
        <f t="shared" si="24"/>
        <v>19439.108991539106</v>
      </c>
      <c r="AE55" s="19">
        <f t="shared" si="24"/>
        <v>19517.033445379835</v>
      </c>
      <c r="AF55" s="19">
        <f t="shared" si="24"/>
        <v>19583.361324274694</v>
      </c>
      <c r="AG55" s="19">
        <f t="shared" si="24"/>
        <v>19619.696654566585</v>
      </c>
      <c r="AH55" s="19">
        <f t="shared" si="24"/>
        <v>19672.793765855771</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71.278649999999999</v>
      </c>
      <c r="D60" s="331">
        <f>D42*Inputs!$H48</f>
        <v>57.913650000000004</v>
      </c>
      <c r="E60" s="331">
        <f>E42*Inputs!$H48</f>
        <v>92.726182459998427</v>
      </c>
      <c r="F60" s="331">
        <f>F42*Inputs!$H48</f>
        <v>72.748369453690884</v>
      </c>
      <c r="G60" s="331">
        <f>G42*Inputs!$H48</f>
        <v>93.40228879431443</v>
      </c>
      <c r="H60" s="14">
        <f>H42*Inputs!$H48</f>
        <v>100.01684291980271</v>
      </c>
      <c r="I60" s="14">
        <f>I42*Inputs!$H48</f>
        <v>106.1599768715063</v>
      </c>
      <c r="J60" s="14">
        <f>J42*Inputs!$H48</f>
        <v>108.03876545884107</v>
      </c>
      <c r="K60" s="14">
        <f>K42*Inputs!$H48</f>
        <v>119.00632766703535</v>
      </c>
      <c r="L60" s="14">
        <f>L42*Inputs!$H48</f>
        <v>119.00632766703535</v>
      </c>
      <c r="M60" s="14">
        <f>M42*Inputs!$H48</f>
        <v>119.00632766703535</v>
      </c>
      <c r="N60" s="190">
        <f>N42*Inputs!$H48</f>
        <v>119.0063182257918</v>
      </c>
      <c r="O60" s="14">
        <f>O42*Inputs!$H48</f>
        <v>120.45171596842958</v>
      </c>
      <c r="P60" s="14">
        <f>P42*Inputs!$H48</f>
        <v>120.45171596842958</v>
      </c>
      <c r="Q60" s="14">
        <f>Q42*Inputs!$H48</f>
        <v>125.51457338995984</v>
      </c>
      <c r="R60" s="14">
        <f>R42*Inputs!$H48</f>
        <v>125.51457338995984</v>
      </c>
      <c r="S60" s="14">
        <f>S42*Inputs!$H48</f>
        <v>125.51457338995984</v>
      </c>
      <c r="T60" s="14">
        <f>T42*Inputs!$H48</f>
        <v>125.51457338995984</v>
      </c>
      <c r="U60" s="14">
        <f>U42*Inputs!$H48</f>
        <v>125.51457338995984</v>
      </c>
      <c r="V60" s="14">
        <f>V42*Inputs!$H48</f>
        <v>126.32614268697435</v>
      </c>
      <c r="W60" s="14">
        <f>W42*Inputs!$H48</f>
        <v>126.32614268697435</v>
      </c>
      <c r="X60" s="187">
        <f>X42*Inputs!$H48</f>
        <v>126.85429529335278</v>
      </c>
      <c r="Y60" s="14">
        <f>Y42*Inputs!$H48</f>
        <v>128.41717987093762</v>
      </c>
      <c r="Z60" s="14">
        <f>Z42*Inputs!$H48</f>
        <v>129.78284631165252</v>
      </c>
      <c r="AA60" s="14">
        <f>AA42*Inputs!$H48</f>
        <v>129.78284631165252</v>
      </c>
      <c r="AB60" s="14">
        <f>AB42*Inputs!$H48</f>
        <v>131.64882313146694</v>
      </c>
      <c r="AC60" s="14">
        <f>AC42*Inputs!$H48</f>
        <v>133.30716812275716</v>
      </c>
      <c r="AD60" s="14">
        <f>AD42*Inputs!$H48</f>
        <v>133.9850399696202</v>
      </c>
      <c r="AE60" s="14">
        <f>AE42*Inputs!$H48</f>
        <v>133.9850399696202</v>
      </c>
      <c r="AF60" s="14">
        <f>AF42*Inputs!$H48</f>
        <v>133.9850399696202</v>
      </c>
      <c r="AG60" s="14">
        <f>AG42*Inputs!$H48</f>
        <v>133.9850399696202</v>
      </c>
      <c r="AH60" s="14">
        <f>AH42*Inputs!$H48</f>
        <v>133.9850399696202</v>
      </c>
    </row>
    <row r="61" spans="1:34" ht="15">
      <c r="A61" s="8" t="s">
        <v>59</v>
      </c>
      <c r="B61" s="34">
        <v>0</v>
      </c>
      <c r="C61" s="331">
        <f>C43*Inputs!$H53</f>
        <v>1915.9560000000001</v>
      </c>
      <c r="D61" s="331">
        <f>D43*Inputs!$H53</f>
        <v>1991.4300000000003</v>
      </c>
      <c r="E61" s="331">
        <f>E43*Inputs!$H53</f>
        <v>1893.8934529200003</v>
      </c>
      <c r="F61" s="331">
        <f>F43*Inputs!$H53</f>
        <v>1916.3163222000001</v>
      </c>
      <c r="G61" s="331">
        <f>G43*Inputs!$H53</f>
        <v>1846.7799184800003</v>
      </c>
      <c r="H61" s="14">
        <f>H43*Inputs!$H53</f>
        <v>1850.1540976800002</v>
      </c>
      <c r="I61" s="14">
        <f>I43*Inputs!$H53</f>
        <v>1903.6399788000003</v>
      </c>
      <c r="J61" s="14">
        <f>J43*Inputs!$H53</f>
        <v>1922.7051648000001</v>
      </c>
      <c r="K61" s="14">
        <f>K43*Inputs!$H53</f>
        <v>1892.4532804799999</v>
      </c>
      <c r="L61" s="14">
        <f>L43*Inputs!$H53</f>
        <v>1831.5625003200003</v>
      </c>
      <c r="M61" s="14">
        <f>M43*Inputs!$H53</f>
        <v>1770.2328999599999</v>
      </c>
      <c r="N61" s="190">
        <f>N43*Inputs!$H53</f>
        <v>1733.6241896399999</v>
      </c>
      <c r="O61" s="14">
        <f>O43*Inputs!$H53</f>
        <v>1733.6242425600003</v>
      </c>
      <c r="P61" s="14">
        <f>P43*Inputs!$H53</f>
        <v>1733.6241896399999</v>
      </c>
      <c r="Q61" s="14">
        <f>Q43*Inputs!$H53</f>
        <v>1733.6241896399999</v>
      </c>
      <c r="R61" s="14">
        <f>R43*Inputs!$H53</f>
        <v>1733.6242425600003</v>
      </c>
      <c r="S61" s="14">
        <f>S43*Inputs!$H53</f>
        <v>1733.6241896399999</v>
      </c>
      <c r="T61" s="14">
        <f>T43*Inputs!$H53</f>
        <v>1733.6242425600003</v>
      </c>
      <c r="U61" s="14">
        <f>U43*Inputs!$H53</f>
        <v>1733.6241896399999</v>
      </c>
      <c r="V61" s="14">
        <f>V43*Inputs!$H53</f>
        <v>1733.6241896399999</v>
      </c>
      <c r="W61" s="14">
        <f>W43*Inputs!$H53</f>
        <v>1733.6242425600003</v>
      </c>
      <c r="X61" s="187">
        <f>X43*Inputs!$H53</f>
        <v>1733.6242425600003</v>
      </c>
      <c r="Y61" s="14">
        <f>Y43*Inputs!$H53</f>
        <v>1733.6242425600003</v>
      </c>
      <c r="Z61" s="14">
        <f>Z43*Inputs!$H53</f>
        <v>1733.6242425600003</v>
      </c>
      <c r="AA61" s="14">
        <f>AA43*Inputs!$H53</f>
        <v>1733.6241896399999</v>
      </c>
      <c r="AB61" s="14">
        <f>AB43*Inputs!$H53</f>
        <v>1733.6241896399999</v>
      </c>
      <c r="AC61" s="14">
        <f>AC43*Inputs!$H53</f>
        <v>1733.6241896399999</v>
      </c>
      <c r="AD61" s="14">
        <f>AD43*Inputs!$H53</f>
        <v>1733.6241896399999</v>
      </c>
      <c r="AE61" s="14">
        <f>AE43*Inputs!$H53</f>
        <v>1733.6241896399999</v>
      </c>
      <c r="AF61" s="14">
        <f>AF43*Inputs!$H53</f>
        <v>1733.6241896399999</v>
      </c>
      <c r="AG61" s="14">
        <f>AG43*Inputs!$H53</f>
        <v>1733.6241896399999</v>
      </c>
      <c r="AH61" s="14">
        <f>AH43*Inputs!$H53</f>
        <v>1733.6242425600003</v>
      </c>
    </row>
    <row r="62" spans="1:34" ht="15">
      <c r="A62" s="8" t="s">
        <v>121</v>
      </c>
      <c r="B62" s="34">
        <v>1</v>
      </c>
      <c r="C62" s="331">
        <f>C44*Inputs!$H46</f>
        <v>77.489999999999995</v>
      </c>
      <c r="D62" s="331">
        <f>D44*Inputs!$H46</f>
        <v>75.411000000000001</v>
      </c>
      <c r="E62" s="331">
        <f>E44*Inputs!$H46</f>
        <v>85.129847662864634</v>
      </c>
      <c r="F62" s="331">
        <f>F44*Inputs!$H46</f>
        <v>81.983103458791348</v>
      </c>
      <c r="G62" s="331">
        <f>G44*Inputs!$H46</f>
        <v>89.198783358099959</v>
      </c>
      <c r="H62" s="14">
        <f>H44*Inputs!$H46</f>
        <v>101.30166440349811</v>
      </c>
      <c r="I62" s="14">
        <f>I44*Inputs!$H46</f>
        <v>119.63067664005182</v>
      </c>
      <c r="J62" s="14">
        <f>J44*Inputs!$H46</f>
        <v>168.54619343983498</v>
      </c>
      <c r="K62" s="14">
        <f>K44*Inputs!$H46</f>
        <v>315.2444316166995</v>
      </c>
      <c r="L62" s="14">
        <f>L44*Inputs!$H46</f>
        <v>523.38090937066784</v>
      </c>
      <c r="M62" s="14">
        <f>M44*Inputs!$H46</f>
        <v>526.48195775725219</v>
      </c>
      <c r="N62" s="190">
        <f>N44*Inputs!$H46</f>
        <v>572.2680107952616</v>
      </c>
      <c r="O62" s="14">
        <f>O44*Inputs!$H46</f>
        <v>599.36946390376693</v>
      </c>
      <c r="P62" s="14">
        <f>P44*Inputs!$H46</f>
        <v>645.03017288847775</v>
      </c>
      <c r="Q62" s="14">
        <f>Q44*Inputs!$H46</f>
        <v>793.18276716337277</v>
      </c>
      <c r="R62" s="14">
        <f>R44*Inputs!$H46</f>
        <v>801.08528379745565</v>
      </c>
      <c r="S62" s="14">
        <f>S44*Inputs!$H46</f>
        <v>885.99584021367559</v>
      </c>
      <c r="T62" s="14">
        <f>T44*Inputs!$H46</f>
        <v>902.05472561308454</v>
      </c>
      <c r="U62" s="14">
        <f>U44*Inputs!$H46</f>
        <v>903.70245229431112</v>
      </c>
      <c r="V62" s="14">
        <f>V44*Inputs!$H46</f>
        <v>924.59262078884774</v>
      </c>
      <c r="W62" s="14">
        <f>W44*Inputs!$H46</f>
        <v>939.95341282733716</v>
      </c>
      <c r="X62" s="187">
        <f>X44*Inputs!$H46</f>
        <v>1057.3920288537306</v>
      </c>
      <c r="Y62" s="14">
        <f>Y44*Inputs!$H46</f>
        <v>1132.5328681681133</v>
      </c>
      <c r="Z62" s="14">
        <f>Z44*Inputs!$H46</f>
        <v>1158.8944262823902</v>
      </c>
      <c r="AA62" s="14">
        <f>AA44*Inputs!$H46</f>
        <v>1163.7530903600345</v>
      </c>
      <c r="AB62" s="14">
        <f>AB44*Inputs!$H46</f>
        <v>1166.939506565443</v>
      </c>
      <c r="AC62" s="14">
        <f>AC44*Inputs!$H46</f>
        <v>1167.6481872396025</v>
      </c>
      <c r="AD62" s="14">
        <f>AD44*Inputs!$H46</f>
        <v>1162.7367691356426</v>
      </c>
      <c r="AE62" s="14">
        <f>AE44*Inputs!$H46</f>
        <v>1169.5784856604012</v>
      </c>
      <c r="AF62" s="14">
        <f>AF44*Inputs!$H46</f>
        <v>1176.4309111916552</v>
      </c>
      <c r="AG62" s="14">
        <f>AG44*Inputs!$H46</f>
        <v>1175.6170875446314</v>
      </c>
      <c r="AH62" s="14">
        <f>AH44*Inputs!$H46</f>
        <v>1178.6034400377848</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26.73</v>
      </c>
      <c r="D64" s="331">
        <f>D46*Inputs!$H52</f>
        <v>35.64</v>
      </c>
      <c r="E64" s="331">
        <f>E46*Inputs!$H52</f>
        <v>23.405892785509376</v>
      </c>
      <c r="F64" s="331">
        <f>F46*Inputs!$H52</f>
        <v>25.80071354176193</v>
      </c>
      <c r="G64" s="331">
        <f>G46*Inputs!$H52</f>
        <v>31.455120111198021</v>
      </c>
      <c r="H64" s="14">
        <f>H46*Inputs!$H52</f>
        <v>31.583157757649609</v>
      </c>
      <c r="I64" s="14">
        <f>I46*Inputs!$H52</f>
        <v>31.385525916137251</v>
      </c>
      <c r="J64" s="14">
        <f>J46*Inputs!$H52</f>
        <v>31.387363194415251</v>
      </c>
      <c r="K64" s="14">
        <f>K46*Inputs!$H52</f>
        <v>31.388411554931231</v>
      </c>
      <c r="L64" s="14">
        <f>L46*Inputs!$H52</f>
        <v>31.387987974924783</v>
      </c>
      <c r="M64" s="14">
        <f>M46*Inputs!$H52</f>
        <v>31.386468381651618</v>
      </c>
      <c r="N64" s="190">
        <f>N46*Inputs!$H52</f>
        <v>31.382317297588347</v>
      </c>
      <c r="O64" s="14">
        <f>O46*Inputs!$H52</f>
        <v>31.379908186301623</v>
      </c>
      <c r="P64" s="14">
        <f>P46*Inputs!$H52</f>
        <v>31.377732044018458</v>
      </c>
      <c r="Q64" s="14">
        <f>Q46*Inputs!$H52</f>
        <v>31.375280574731086</v>
      </c>
      <c r="R64" s="14">
        <f>R46*Inputs!$H52</f>
        <v>31.723262139535123</v>
      </c>
      <c r="S64" s="14">
        <f>S46*Inputs!$H52</f>
        <v>31.721795493762773</v>
      </c>
      <c r="T64" s="14">
        <f>T46*Inputs!$H52</f>
        <v>31.719735835981375</v>
      </c>
      <c r="U64" s="14">
        <f>U46*Inputs!$H52</f>
        <v>31.717549104198039</v>
      </c>
      <c r="V64" s="14">
        <f>V46*Inputs!$H52</f>
        <v>31.715224708912608</v>
      </c>
      <c r="W64" s="14">
        <f>W46*Inputs!$H52</f>
        <v>31.710395896839014</v>
      </c>
      <c r="X64" s="187">
        <f>X46*Inputs!$H52</f>
        <v>31.704709335252335</v>
      </c>
      <c r="Y64" s="14">
        <f>Y46*Inputs!$H52</f>
        <v>31.699509890673085</v>
      </c>
      <c r="Z64" s="14">
        <f>Z46*Inputs!$H52</f>
        <v>31.694156898341493</v>
      </c>
      <c r="AA64" s="14">
        <f>AA46*Inputs!$H52</f>
        <v>31.688645063507483</v>
      </c>
      <c r="AB64" s="14">
        <f>AB46*Inputs!$H52</f>
        <v>32.368813953624809</v>
      </c>
      <c r="AC64" s="14">
        <f>AC46*Inputs!$H52</f>
        <v>32.365774767078484</v>
      </c>
      <c r="AD64" s="14">
        <f>AD46*Inputs!$H52</f>
        <v>32.362375537526674</v>
      </c>
      <c r="AE64" s="14">
        <f>AE46*Inputs!$H52</f>
        <v>32.358780402221875</v>
      </c>
      <c r="AF64" s="14">
        <f>AF46*Inputs!$H52</f>
        <v>32.355439414920944</v>
      </c>
      <c r="AG64" s="14">
        <f>AG46*Inputs!$H52</f>
        <v>32.352172554121161</v>
      </c>
      <c r="AH64" s="14">
        <f>AH46*Inputs!$H52</f>
        <v>32.349265736326849</v>
      </c>
    </row>
    <row r="65" spans="1:34" ht="15">
      <c r="A65" s="8" t="s">
        <v>347</v>
      </c>
      <c r="B65" s="34">
        <v>1</v>
      </c>
      <c r="C65" s="331">
        <f>C47*Inputs!$H54</f>
        <v>3.8693188800000002</v>
      </c>
      <c r="D65" s="331">
        <f>D47*Inputs!$H54</f>
        <v>10.191758400000001</v>
      </c>
      <c r="E65" s="331">
        <f>E47*Inputs!$H54</f>
        <v>31.306171874140311</v>
      </c>
      <c r="F65" s="331">
        <f>F47*Inputs!$H54</f>
        <v>55.758881353216267</v>
      </c>
      <c r="G65" s="331">
        <f>G47*Inputs!$H54</f>
        <v>92.021730791718383</v>
      </c>
      <c r="H65" s="14">
        <f>H47*Inputs!$H54</f>
        <v>122.48660795873282</v>
      </c>
      <c r="I65" s="14">
        <f>I47*Inputs!$H54</f>
        <v>151.75347685062457</v>
      </c>
      <c r="J65" s="14">
        <f>J47*Inputs!$H54</f>
        <v>182.87335223402616</v>
      </c>
      <c r="K65" s="14">
        <f>K47*Inputs!$H54</f>
        <v>227.89496938269082</v>
      </c>
      <c r="L65" s="14">
        <f>L47*Inputs!$H54</f>
        <v>273.53434966894167</v>
      </c>
      <c r="M65" s="14">
        <f>M47*Inputs!$H54</f>
        <v>317.1916783737218</v>
      </c>
      <c r="N65" s="190">
        <f>N47*Inputs!$H54</f>
        <v>360.8259087284365</v>
      </c>
      <c r="O65" s="14">
        <f>O47*Inputs!$H54</f>
        <v>405.51061784689352</v>
      </c>
      <c r="P65" s="14">
        <f>P47*Inputs!$H54</f>
        <v>450.59347375159126</v>
      </c>
      <c r="Q65" s="14">
        <f>Q47*Inputs!$H54</f>
        <v>497.34496167464926</v>
      </c>
      <c r="R65" s="14">
        <f>R47*Inputs!$H54</f>
        <v>542.42215693417472</v>
      </c>
      <c r="S65" s="14">
        <f>S47*Inputs!$H54</f>
        <v>559.91564436737633</v>
      </c>
      <c r="T65" s="14">
        <f>T47*Inputs!$H54</f>
        <v>600.07991942176795</v>
      </c>
      <c r="U65" s="14">
        <f>U47*Inputs!$H54</f>
        <v>639.07430774591069</v>
      </c>
      <c r="V65" s="14">
        <f>V47*Inputs!$H54</f>
        <v>676.99093171486038</v>
      </c>
      <c r="W65" s="14">
        <f>W47*Inputs!$H54</f>
        <v>715.78114106961937</v>
      </c>
      <c r="X65" s="187">
        <f>X47*Inputs!$H54</f>
        <v>753.56784906548</v>
      </c>
      <c r="Y65" s="14">
        <f>Y47*Inputs!$H54</f>
        <v>794.98998329464462</v>
      </c>
      <c r="Z65" s="14">
        <f>Z47*Inputs!$H54</f>
        <v>836.03078052392152</v>
      </c>
      <c r="AA65" s="14">
        <f>AA47*Inputs!$H54</f>
        <v>877.59123077812683</v>
      </c>
      <c r="AB65" s="14">
        <f>AB47*Inputs!$H54</f>
        <v>918.84866963476907</v>
      </c>
      <c r="AC65" s="14">
        <f>AC47*Inputs!$H54</f>
        <v>959.37264978077133</v>
      </c>
      <c r="AD65" s="14">
        <f>AD47*Inputs!$H54</f>
        <v>1000.3018064440848</v>
      </c>
      <c r="AE65" s="14">
        <f>AE47*Inputs!$H54</f>
        <v>1040.7127981183753</v>
      </c>
      <c r="AF65" s="14">
        <f>AF47*Inputs!$H54</f>
        <v>1080.5702921409006</v>
      </c>
      <c r="AG65" s="14">
        <f>AG47*Inputs!$H54</f>
        <v>1118.9475532477568</v>
      </c>
      <c r="AH65" s="14">
        <f>AH47*Inputs!$H54</f>
        <v>1158.2047074698905</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2.1420000000000003</v>
      </c>
      <c r="D68" s="331">
        <f>D50*Inputs!$H57</f>
        <v>1.9890000000000001</v>
      </c>
      <c r="E68" s="331">
        <f>E50*Inputs!$H57</f>
        <v>24.702051138289459</v>
      </c>
      <c r="F68" s="331">
        <f>F50*Inputs!$H57</f>
        <v>29.149867382971671</v>
      </c>
      <c r="G68" s="331">
        <f>G50*Inputs!$H57</f>
        <v>33.504579715653605</v>
      </c>
      <c r="H68" s="14">
        <f>H50*Inputs!$H57</f>
        <v>33.584679693689019</v>
      </c>
      <c r="I68" s="14">
        <f>I50*Inputs!$H57</f>
        <v>33.817024789838868</v>
      </c>
      <c r="J68" s="14">
        <f>J50*Inputs!$H57</f>
        <v>34.029628570693767</v>
      </c>
      <c r="K68" s="14">
        <f>K50*Inputs!$H57</f>
        <v>34.027124707632211</v>
      </c>
      <c r="L68" s="14">
        <f>L50*Inputs!$H57</f>
        <v>34.02281238958205</v>
      </c>
      <c r="M68" s="14">
        <f>M50*Inputs!$H57</f>
        <v>34.019325499244552</v>
      </c>
      <c r="N68" s="190">
        <f>N50*Inputs!$H57</f>
        <v>34.030782987494767</v>
      </c>
      <c r="O68" s="14">
        <f>O50*Inputs!$H57</f>
        <v>34.034338827641193</v>
      </c>
      <c r="P68" s="14">
        <f>P50*Inputs!$H57</f>
        <v>34.03831427662486</v>
      </c>
      <c r="Q68" s="14">
        <f>Q50*Inputs!$H57</f>
        <v>34.043077723424901</v>
      </c>
      <c r="R68" s="14">
        <f>R50*Inputs!$H57</f>
        <v>34.064442314221608</v>
      </c>
      <c r="S68" s="14">
        <f>S50*Inputs!$H57</f>
        <v>34.095361378541973</v>
      </c>
      <c r="T68" s="14">
        <f>T50*Inputs!$H57</f>
        <v>34.143632154779098</v>
      </c>
      <c r="U68" s="14">
        <f>U50*Inputs!$H57</f>
        <v>34.196932327079296</v>
      </c>
      <c r="V68" s="14">
        <f>V50*Inputs!$H57</f>
        <v>34.249521331350216</v>
      </c>
      <c r="W68" s="14">
        <f>W50*Inputs!$H57</f>
        <v>34.304048810249441</v>
      </c>
      <c r="X68" s="187">
        <f>X50*Inputs!$H57</f>
        <v>34.366554767039545</v>
      </c>
      <c r="Y68" s="14">
        <f>Y50*Inputs!$H57</f>
        <v>34.417124526905972</v>
      </c>
      <c r="Z68" s="14">
        <f>Z50*Inputs!$H57</f>
        <v>34.467061918524763</v>
      </c>
      <c r="AA68" s="14">
        <f>AA50*Inputs!$H57</f>
        <v>34.562451024192562</v>
      </c>
      <c r="AB68" s="14">
        <f>AB50*Inputs!$H57</f>
        <v>34.71891981060282</v>
      </c>
      <c r="AC68" s="14">
        <f>AC50*Inputs!$H57</f>
        <v>34.826209653292551</v>
      </c>
      <c r="AD68" s="14">
        <f>AD50*Inputs!$H57</f>
        <v>34.893934125621662</v>
      </c>
      <c r="AE68" s="14">
        <f>AE50*Inputs!$H57</f>
        <v>35.094154520792088</v>
      </c>
      <c r="AF68" s="14">
        <f>AF50*Inputs!$H57</f>
        <v>35.244857133180957</v>
      </c>
      <c r="AG68" s="14">
        <f>AG50*Inputs!$H57</f>
        <v>35.550375706560203</v>
      </c>
      <c r="AH68" s="14">
        <f>AH50*Inputs!$H57</f>
        <v>35.977133653973731</v>
      </c>
    </row>
    <row r="69" spans="1:34" s="20" customFormat="1" ht="15">
      <c r="A69" s="8" t="s">
        <v>128</v>
      </c>
      <c r="B69" s="38"/>
      <c r="C69" s="334">
        <f t="shared" ref="C69:AH69" si="25">SUMPRODUCT($B60:$B68,C60:C68)</f>
        <v>110.23374887999999</v>
      </c>
      <c r="D69" s="334">
        <f t="shared" si="25"/>
        <v>123.23418840000001</v>
      </c>
      <c r="E69" s="334">
        <f t="shared" si="25"/>
        <v>164.54846348330378</v>
      </c>
      <c r="F69" s="334">
        <f t="shared" si="25"/>
        <v>192.69706575924121</v>
      </c>
      <c r="G69" s="334">
        <f t="shared" si="25"/>
        <v>246.18471399917001</v>
      </c>
      <c r="H69" s="19">
        <f t="shared" si="25"/>
        <v>288.96060983606952</v>
      </c>
      <c r="I69" s="19">
        <f t="shared" si="25"/>
        <v>336.59120421915253</v>
      </c>
      <c r="J69" s="19">
        <f t="shared" si="25"/>
        <v>416.84103746147019</v>
      </c>
      <c r="K69" s="19">
        <f t="shared" si="25"/>
        <v>608.55943728445379</v>
      </c>
      <c r="L69" s="19">
        <f t="shared" si="25"/>
        <v>862.33055942661645</v>
      </c>
      <c r="M69" s="19">
        <f t="shared" si="25"/>
        <v>909.08393003437027</v>
      </c>
      <c r="N69" s="190">
        <f t="shared" si="25"/>
        <v>998.51151983128113</v>
      </c>
      <c r="O69" s="19">
        <f t="shared" si="25"/>
        <v>1070.2988287871033</v>
      </c>
      <c r="P69" s="19">
        <f t="shared" si="25"/>
        <v>1161.0441929832123</v>
      </c>
      <c r="Q69" s="19">
        <f t="shared" si="25"/>
        <v>1355.950587158678</v>
      </c>
      <c r="R69" s="19">
        <f t="shared" si="25"/>
        <v>1409.2996452078871</v>
      </c>
      <c r="S69" s="19">
        <f t="shared" si="25"/>
        <v>1511.7331414758567</v>
      </c>
      <c r="T69" s="19">
        <f t="shared" si="25"/>
        <v>1568.0025130481131</v>
      </c>
      <c r="U69" s="19">
        <f t="shared" si="25"/>
        <v>1608.6957414939991</v>
      </c>
      <c r="V69" s="19">
        <f t="shared" si="25"/>
        <v>1667.552798566471</v>
      </c>
      <c r="W69" s="19">
        <f t="shared" si="25"/>
        <v>1721.753498626545</v>
      </c>
      <c r="X69" s="182">
        <f t="shared" si="25"/>
        <v>1877.0356420440025</v>
      </c>
      <c r="Y69" s="19">
        <f t="shared" si="25"/>
        <v>1993.6439859028369</v>
      </c>
      <c r="Z69" s="19">
        <f t="shared" si="25"/>
        <v>2061.090925645678</v>
      </c>
      <c r="AA69" s="19">
        <f t="shared" si="25"/>
        <v>2107.5999172483612</v>
      </c>
      <c r="AB69" s="19">
        <f t="shared" si="25"/>
        <v>2152.8804099869399</v>
      </c>
      <c r="AC69" s="19">
        <f t="shared" si="25"/>
        <v>2194.2173214632448</v>
      </c>
      <c r="AD69" s="19">
        <f t="shared" si="25"/>
        <v>2230.2993852653763</v>
      </c>
      <c r="AE69" s="19">
        <f t="shared" si="25"/>
        <v>2277.74871872429</v>
      </c>
      <c r="AF69" s="19">
        <f t="shared" si="25"/>
        <v>2324.6059999031581</v>
      </c>
      <c r="AG69" s="19">
        <f t="shared" si="25"/>
        <v>2362.4716890755694</v>
      </c>
      <c r="AH69" s="19">
        <f t="shared" si="25"/>
        <v>2405.1390469204757</v>
      </c>
    </row>
    <row r="70" spans="1:34" s="20" customFormat="1" ht="15">
      <c r="A70" s="27" t="s">
        <v>329</v>
      </c>
      <c r="B70" s="39"/>
      <c r="C70" s="334">
        <f>SUM(C58:C68)</f>
        <v>2097.4683988799998</v>
      </c>
      <c r="D70" s="334">
        <f t="shared" ref="D70:AH70" si="26">SUM(D58:D68)</f>
        <v>2172.5778384</v>
      </c>
      <c r="E70" s="334">
        <f t="shared" si="26"/>
        <v>2151.168098863302</v>
      </c>
      <c r="F70" s="334">
        <f t="shared" si="26"/>
        <v>2181.7617574129317</v>
      </c>
      <c r="G70" s="334">
        <f t="shared" si="26"/>
        <v>2186.3669212734844</v>
      </c>
      <c r="H70" s="19">
        <f t="shared" si="26"/>
        <v>2239.1315504358722</v>
      </c>
      <c r="I70" s="19">
        <f t="shared" si="26"/>
        <v>2346.3911598906589</v>
      </c>
      <c r="J70" s="19">
        <f t="shared" si="26"/>
        <v>2447.5849677203114</v>
      </c>
      <c r="K70" s="19">
        <f t="shared" si="26"/>
        <v>2620.0190454314888</v>
      </c>
      <c r="L70" s="19">
        <f t="shared" si="26"/>
        <v>2812.8993874136518</v>
      </c>
      <c r="M70" s="19">
        <f t="shared" si="26"/>
        <v>2798.3231576614053</v>
      </c>
      <c r="N70" s="182">
        <f t="shared" si="26"/>
        <v>2851.142027697073</v>
      </c>
      <c r="O70" s="19">
        <f t="shared" si="26"/>
        <v>2924.3747873155335</v>
      </c>
      <c r="P70" s="19">
        <f t="shared" si="26"/>
        <v>3015.1200985916421</v>
      </c>
      <c r="Q70" s="19">
        <f t="shared" si="26"/>
        <v>3215.089350188638</v>
      </c>
      <c r="R70" s="19">
        <f t="shared" si="26"/>
        <v>3268.4384611578475</v>
      </c>
      <c r="S70" s="19">
        <f t="shared" si="26"/>
        <v>3370.8719045058165</v>
      </c>
      <c r="T70" s="19">
        <f t="shared" si="26"/>
        <v>3427.1413289980728</v>
      </c>
      <c r="U70" s="19">
        <f t="shared" si="26"/>
        <v>3467.8345045239585</v>
      </c>
      <c r="V70" s="19">
        <f t="shared" si="26"/>
        <v>3527.5031308934449</v>
      </c>
      <c r="W70" s="19">
        <f t="shared" si="26"/>
        <v>3581.7038838735198</v>
      </c>
      <c r="X70" s="182">
        <f t="shared" si="26"/>
        <v>3737.514179897355</v>
      </c>
      <c r="Y70" s="19">
        <f t="shared" si="26"/>
        <v>3855.6854083337744</v>
      </c>
      <c r="Z70" s="19">
        <f t="shared" si="26"/>
        <v>3924.4980145173308</v>
      </c>
      <c r="AA70" s="19">
        <f t="shared" si="26"/>
        <v>3971.0069532000139</v>
      </c>
      <c r="AB70" s="19">
        <f t="shared" si="26"/>
        <v>4018.153422758407</v>
      </c>
      <c r="AC70" s="19">
        <f t="shared" si="26"/>
        <v>4061.1486792260021</v>
      </c>
      <c r="AD70" s="19">
        <f t="shared" si="26"/>
        <v>4097.9086148749957</v>
      </c>
      <c r="AE70" s="19">
        <f t="shared" si="26"/>
        <v>4145.3579483339099</v>
      </c>
      <c r="AF70" s="19">
        <f t="shared" si="26"/>
        <v>4192.2152295127762</v>
      </c>
      <c r="AG70" s="19">
        <f t="shared" si="26"/>
        <v>4230.0809186851893</v>
      </c>
      <c r="AH70" s="19">
        <f t="shared" si="26"/>
        <v>4272.7483294500953</v>
      </c>
    </row>
    <row r="71" spans="1:34" s="20" customFormat="1" ht="15">
      <c r="A71" s="27" t="s">
        <v>142</v>
      </c>
      <c r="B71" s="39"/>
      <c r="C71" s="334">
        <f>C53*Inputs!$H$60</f>
        <v>11257.487999999999</v>
      </c>
      <c r="D71" s="334">
        <f>D53*Inputs!$H$60</f>
        <v>11664.972</v>
      </c>
      <c r="E71" s="334">
        <f>E53*Inputs!$H$60</f>
        <v>12051.882389028773</v>
      </c>
      <c r="F71" s="334">
        <f>F53*Inputs!$H$60</f>
        <v>10195.879676913371</v>
      </c>
      <c r="G71" s="334">
        <f>G53*Inputs!$H$60</f>
        <v>11741.567146682226</v>
      </c>
      <c r="H71" s="19">
        <f>H53*Inputs!$H$60</f>
        <v>11734.757882069745</v>
      </c>
      <c r="I71" s="19">
        <f>I53*Inputs!$H$60</f>
        <v>11471.73243461588</v>
      </c>
      <c r="J71" s="19">
        <f>J53*Inputs!$H$60</f>
        <v>11364.497601614494</v>
      </c>
      <c r="K71" s="19">
        <f>K53*Inputs!$H$60</f>
        <v>11552.067099746459</v>
      </c>
      <c r="L71" s="19">
        <f>L53*Inputs!$H$60</f>
        <v>11690.255323468378</v>
      </c>
      <c r="M71" s="19">
        <f>M53*Inputs!$H$60</f>
        <v>11792.813197988593</v>
      </c>
      <c r="N71" s="190">
        <f>N53*Inputs!$H$60</f>
        <v>11843.307610931768</v>
      </c>
      <c r="O71" s="19">
        <f>O53*Inputs!$H$60</f>
        <v>11929.471417883915</v>
      </c>
      <c r="P71" s="19">
        <f>P53*Inputs!$H$60</f>
        <v>11970.048036608458</v>
      </c>
      <c r="Q71" s="19">
        <f>Q53*Inputs!$H$60</f>
        <v>11962.700124089362</v>
      </c>
      <c r="R71" s="19">
        <f>R53*Inputs!$H$60</f>
        <v>12014.75651008625</v>
      </c>
      <c r="S71" s="19">
        <f>S53*Inputs!$H$60</f>
        <v>12039.84649148571</v>
      </c>
      <c r="T71" s="19">
        <f>T53*Inputs!$H$60</f>
        <v>12035.644526513062</v>
      </c>
      <c r="U71" s="19">
        <f>U53*Inputs!$H$60</f>
        <v>12043.261156138266</v>
      </c>
      <c r="V71" s="19">
        <f>V53*Inputs!$H$60</f>
        <v>12040.474565429078</v>
      </c>
      <c r="W71" s="19">
        <f>W53*Inputs!$H$60</f>
        <v>12036.307875064054</v>
      </c>
      <c r="X71" s="182">
        <f>X53*Inputs!$H$60</f>
        <v>11981.607572008879</v>
      </c>
      <c r="Y71" s="19">
        <f>Y53*Inputs!$H$60</f>
        <v>11942.467192762264</v>
      </c>
      <c r="Z71" s="19">
        <f>Z53*Inputs!$H$60</f>
        <v>11921.89042439233</v>
      </c>
      <c r="AA71" s="19">
        <f>AA53*Inputs!$H$60</f>
        <v>11911.304142788948</v>
      </c>
      <c r="AB71" s="19">
        <f>AB53*Inputs!$H$60</f>
        <v>11905.378705936755</v>
      </c>
      <c r="AC71" s="19">
        <f>AC53*Inputs!$H$60</f>
        <v>11897.747486155395</v>
      </c>
      <c r="AD71" s="19">
        <f>AD53*Inputs!$H$60</f>
        <v>11891.753875830196</v>
      </c>
      <c r="AE71" s="19">
        <f>AE53*Inputs!$H$60</f>
        <v>11880.017812451941</v>
      </c>
      <c r="AF71" s="19">
        <f>AF53*Inputs!$H$60</f>
        <v>11869.026105270448</v>
      </c>
      <c r="AG71" s="19">
        <f>AG53*Inputs!$H$60</f>
        <v>11861.939421104738</v>
      </c>
      <c r="AH71" s="19">
        <f>AH53*Inputs!$H$60</f>
        <v>11853.995739572096</v>
      </c>
    </row>
    <row r="72" spans="1:34" s="20" customFormat="1" ht="15">
      <c r="A72" s="27" t="s">
        <v>222</v>
      </c>
      <c r="B72" s="39"/>
      <c r="C72" s="334">
        <f>C54*Inputs!$H$61</f>
        <v>460.35</v>
      </c>
      <c r="D72" s="334">
        <f>D54*Inputs!$H$61</f>
        <v>705.67200000000003</v>
      </c>
      <c r="E72" s="334">
        <f>E54*Inputs!$H$61</f>
        <v>699.69356107199997</v>
      </c>
      <c r="F72" s="334">
        <f>F54*Inputs!$H$61</f>
        <v>996.42233592000014</v>
      </c>
      <c r="G72" s="334">
        <f>G54*Inputs!$H$61</f>
        <v>809.29825099199979</v>
      </c>
      <c r="H72" s="19">
        <f>H54*Inputs!$H$61</f>
        <v>778.13269617599997</v>
      </c>
      <c r="I72" s="19">
        <f>I54*Inputs!$H$61</f>
        <v>860.40800683199996</v>
      </c>
      <c r="J72" s="19">
        <f>J54*Inputs!$H$61</f>
        <v>987.63031857600004</v>
      </c>
      <c r="K72" s="19">
        <f>K54*Inputs!$H$61</f>
        <v>1014.9633117359998</v>
      </c>
      <c r="L72" s="19">
        <f>L54*Inputs!$H$61</f>
        <v>1039.3955510399999</v>
      </c>
      <c r="M72" s="19">
        <f>M54*Inputs!$H$61</f>
        <v>1055.7386864639998</v>
      </c>
      <c r="N72" s="190">
        <f>N54*Inputs!$H$61</f>
        <v>1064.663156304</v>
      </c>
      <c r="O72" s="19">
        <f>O54*Inputs!$H$61</f>
        <v>1044.4869317519999</v>
      </c>
      <c r="P72" s="19">
        <f>P54*Inputs!$H$61</f>
        <v>1059.0615533520001</v>
      </c>
      <c r="Q72" s="19">
        <f>Q54*Inputs!$H$61</f>
        <v>1101.147653232</v>
      </c>
      <c r="R72" s="19">
        <f>R54*Inputs!$H$61</f>
        <v>1096.067477736</v>
      </c>
      <c r="S72" s="19">
        <f>S54*Inputs!$H$61</f>
        <v>1096.579702944</v>
      </c>
      <c r="T72" s="19">
        <f>T54*Inputs!$H$61</f>
        <v>1157.0134245119998</v>
      </c>
      <c r="U72" s="19">
        <f>U54*Inputs!$H$61</f>
        <v>1177.4658804479998</v>
      </c>
      <c r="V72" s="19">
        <f>V54*Inputs!$H$61</f>
        <v>1170.0980232479999</v>
      </c>
      <c r="W72" s="19">
        <f>W54*Inputs!$H$61</f>
        <v>1185.9292399679998</v>
      </c>
      <c r="X72" s="182">
        <f>X54*Inputs!$H$61</f>
        <v>1175.7339403919998</v>
      </c>
      <c r="Y72" s="19">
        <f>Y54*Inputs!$H$61</f>
        <v>1242.6628096080001</v>
      </c>
      <c r="Z72" s="19">
        <f>Z54*Inputs!$H$61</f>
        <v>1303.2604894320002</v>
      </c>
      <c r="AA72" s="19">
        <f>AA54*Inputs!$H$61</f>
        <v>1370.2568465520001</v>
      </c>
      <c r="AB72" s="19">
        <f>AB54*Inputs!$H$61</f>
        <v>1421.3998830239998</v>
      </c>
      <c r="AC72" s="19">
        <f>AC54*Inputs!$H$61</f>
        <v>1460.5694690400001</v>
      </c>
      <c r="AD72" s="19">
        <f>AD54*Inputs!$H$61</f>
        <v>1505.5356016799999</v>
      </c>
      <c r="AE72" s="19">
        <f>AE54*Inputs!$H$61</f>
        <v>1539.9543400560001</v>
      </c>
      <c r="AF72" s="19">
        <f>AF54*Inputs!$H$61</f>
        <v>1563.7838570639997</v>
      </c>
      <c r="AG72" s="19">
        <f>AG54*Inputs!$H$61</f>
        <v>1565.7066493199998</v>
      </c>
      <c r="AH72" s="19">
        <f>AH54*Inputs!$H$61</f>
        <v>1578.770320248</v>
      </c>
    </row>
    <row r="73" spans="1:34" ht="15">
      <c r="A73" s="27" t="s">
        <v>58</v>
      </c>
      <c r="C73" s="331">
        <f>SUM(C70:C72)</f>
        <v>13815.30639888</v>
      </c>
      <c r="D73" s="331">
        <f t="shared" ref="D73:AH73" si="27">SUM(D70:D72)</f>
        <v>14543.221838400001</v>
      </c>
      <c r="E73" s="331">
        <f t="shared" si="27"/>
        <v>14902.744048964074</v>
      </c>
      <c r="F73" s="331">
        <f t="shared" si="27"/>
        <v>13374.063770246303</v>
      </c>
      <c r="G73" s="331">
        <f t="shared" si="27"/>
        <v>14737.23231894771</v>
      </c>
      <c r="H73" s="14">
        <f t="shared" si="27"/>
        <v>14752.022128681618</v>
      </c>
      <c r="I73" s="14">
        <f t="shared" si="27"/>
        <v>14678.531601338538</v>
      </c>
      <c r="J73" s="14">
        <f t="shared" si="27"/>
        <v>14799.712887910806</v>
      </c>
      <c r="K73" s="14">
        <f t="shared" si="27"/>
        <v>15187.049456913946</v>
      </c>
      <c r="L73" s="14">
        <f t="shared" si="27"/>
        <v>15542.55026192203</v>
      </c>
      <c r="M73" s="14">
        <f t="shared" si="27"/>
        <v>15646.875042113998</v>
      </c>
      <c r="N73" s="190">
        <f t="shared" si="27"/>
        <v>15759.11279493284</v>
      </c>
      <c r="O73" s="14">
        <f t="shared" si="27"/>
        <v>15898.333136951449</v>
      </c>
      <c r="P73" s="14">
        <f t="shared" si="27"/>
        <v>16044.229688552099</v>
      </c>
      <c r="Q73" s="14">
        <f t="shared" si="27"/>
        <v>16278.93712751</v>
      </c>
      <c r="R73" s="14">
        <f t="shared" si="27"/>
        <v>16379.262448980098</v>
      </c>
      <c r="S73" s="14">
        <f t="shared" si="27"/>
        <v>16507.298098935527</v>
      </c>
      <c r="T73" s="14">
        <f t="shared" si="27"/>
        <v>16619.799280023133</v>
      </c>
      <c r="U73" s="14">
        <f t="shared" si="27"/>
        <v>16688.561541110223</v>
      </c>
      <c r="V73" s="14">
        <f t="shared" si="27"/>
        <v>16738.075719570523</v>
      </c>
      <c r="W73" s="14">
        <f t="shared" si="27"/>
        <v>16803.940998905571</v>
      </c>
      <c r="X73" s="187">
        <f t="shared" si="27"/>
        <v>16894.855692298235</v>
      </c>
      <c r="Y73" s="14">
        <f t="shared" si="27"/>
        <v>17040.815410704039</v>
      </c>
      <c r="Z73" s="14">
        <f t="shared" si="27"/>
        <v>17149.648928341659</v>
      </c>
      <c r="AA73" s="14">
        <f t="shared" si="27"/>
        <v>17252.567942540962</v>
      </c>
      <c r="AB73" s="14">
        <f t="shared" si="27"/>
        <v>17344.93201171916</v>
      </c>
      <c r="AC73" s="14">
        <f t="shared" si="27"/>
        <v>17419.465634421398</v>
      </c>
      <c r="AD73" s="14">
        <f t="shared" si="27"/>
        <v>17495.198092385192</v>
      </c>
      <c r="AE73" s="14">
        <f t="shared" si="27"/>
        <v>17565.330100841849</v>
      </c>
      <c r="AF73" s="14">
        <f t="shared" si="27"/>
        <v>17625.025191847224</v>
      </c>
      <c r="AG73" s="14">
        <f t="shared" si="27"/>
        <v>17657.726989109928</v>
      </c>
      <c r="AH73" s="14">
        <f t="shared" si="27"/>
        <v>17705.514389270193</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activeCell="A11"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7"/>
      <c r="B1" s="537"/>
      <c r="C1" s="537"/>
      <c r="D1" s="537"/>
      <c r="E1" s="537"/>
      <c r="F1" s="537"/>
      <c r="G1" s="537"/>
      <c r="H1" s="537"/>
      <c r="I1" s="537"/>
      <c r="J1" s="537"/>
      <c r="K1" s="537"/>
      <c r="L1" s="537"/>
      <c r="M1" s="537"/>
      <c r="N1" s="537"/>
      <c r="O1" s="537"/>
      <c r="P1" s="537"/>
    </row>
    <row r="2" spans="1:16">
      <c r="A2" s="537"/>
      <c r="B2" s="537"/>
      <c r="C2" s="537"/>
      <c r="D2" s="537"/>
      <c r="E2" s="537"/>
      <c r="F2" s="537"/>
      <c r="G2" s="537"/>
      <c r="H2" s="537"/>
      <c r="I2" s="537"/>
      <c r="J2" s="537"/>
      <c r="K2" s="537"/>
      <c r="L2" s="537"/>
      <c r="M2" s="537"/>
      <c r="N2" s="537"/>
      <c r="O2" s="537"/>
      <c r="P2" s="537"/>
    </row>
    <row r="3" spans="1:16">
      <c r="A3" s="537"/>
      <c r="B3" s="537"/>
      <c r="C3" s="537"/>
      <c r="D3" s="537"/>
      <c r="E3" s="537"/>
      <c r="F3" s="537"/>
      <c r="G3" s="537"/>
      <c r="H3" s="537"/>
      <c r="I3" s="537"/>
      <c r="J3" s="537"/>
      <c r="K3" s="537"/>
      <c r="L3" s="537"/>
      <c r="M3" s="537"/>
      <c r="N3" s="537"/>
      <c r="O3" s="537"/>
      <c r="P3" s="537"/>
    </row>
    <row r="4" spans="1:16">
      <c r="A4" s="537"/>
      <c r="B4" s="537"/>
      <c r="C4" s="537"/>
      <c r="D4" s="537"/>
      <c r="E4" s="537"/>
      <c r="F4" s="537"/>
      <c r="G4" s="537"/>
      <c r="H4" s="537"/>
      <c r="I4" s="537"/>
      <c r="J4" s="537"/>
      <c r="K4" s="537"/>
      <c r="L4" s="537"/>
      <c r="M4" s="537"/>
      <c r="N4" s="537"/>
      <c r="O4" s="537"/>
      <c r="P4" s="537"/>
    </row>
    <row r="5" spans="1:16">
      <c r="A5" s="537"/>
      <c r="B5" s="537"/>
      <c r="C5" s="537"/>
      <c r="D5" s="537"/>
      <c r="E5" s="537"/>
      <c r="F5" s="537"/>
      <c r="G5" s="537"/>
      <c r="H5" s="537"/>
      <c r="I5" s="537"/>
      <c r="J5" s="537"/>
      <c r="K5" s="537"/>
      <c r="L5" s="537"/>
      <c r="M5" s="537"/>
      <c r="N5" s="537"/>
      <c r="O5" s="537"/>
      <c r="P5" s="537"/>
    </row>
    <row r="6" spans="1:16">
      <c r="A6" s="537"/>
      <c r="B6" s="537"/>
      <c r="C6" s="537"/>
      <c r="D6" s="537"/>
      <c r="E6" s="537"/>
      <c r="F6" s="537"/>
      <c r="G6" s="537"/>
      <c r="H6" s="537"/>
      <c r="I6" s="537"/>
      <c r="J6" s="537"/>
      <c r="K6" s="537"/>
      <c r="L6" s="537"/>
      <c r="M6" s="537"/>
      <c r="N6" s="537"/>
      <c r="O6" s="537"/>
      <c r="P6" s="537"/>
    </row>
    <row r="7" spans="1:16">
      <c r="A7" s="537"/>
      <c r="B7" s="537"/>
      <c r="C7" s="537"/>
      <c r="D7" s="537"/>
      <c r="E7" s="537"/>
      <c r="F7" s="537"/>
      <c r="G7" s="537"/>
      <c r="H7" s="537"/>
      <c r="I7" s="537"/>
      <c r="J7" s="537"/>
      <c r="K7" s="537"/>
      <c r="L7" s="537"/>
      <c r="M7" s="537"/>
      <c r="N7" s="537"/>
      <c r="O7" s="537"/>
      <c r="P7" s="537"/>
    </row>
    <row r="8" spans="1:16">
      <c r="A8" s="537"/>
      <c r="B8" s="537"/>
      <c r="C8" s="537"/>
      <c r="D8" s="537"/>
      <c r="E8" s="537"/>
      <c r="F8" s="537"/>
      <c r="G8" s="537"/>
      <c r="H8" s="537"/>
      <c r="I8" s="537"/>
      <c r="J8" s="537"/>
      <c r="K8" s="537"/>
      <c r="L8" s="537"/>
      <c r="M8" s="537"/>
      <c r="N8" s="537"/>
      <c r="O8" s="537"/>
      <c r="P8" s="537"/>
    </row>
    <row r="9" spans="1:16" ht="2.25" customHeight="1">
      <c r="A9" s="537"/>
      <c r="B9" s="537"/>
      <c r="C9" s="537"/>
      <c r="D9" s="537"/>
      <c r="E9" s="537"/>
      <c r="F9" s="537"/>
      <c r="G9" s="537"/>
      <c r="H9" s="537"/>
      <c r="I9" s="537"/>
      <c r="J9" s="537"/>
      <c r="K9" s="537"/>
      <c r="L9" s="537"/>
      <c r="M9" s="537"/>
      <c r="N9" s="537"/>
      <c r="O9" s="537"/>
      <c r="P9" s="537"/>
    </row>
    <row r="10" spans="1:16" hidden="1">
      <c r="A10" s="537"/>
      <c r="B10" s="537"/>
      <c r="C10" s="537"/>
      <c r="D10" s="537"/>
      <c r="E10" s="537"/>
      <c r="F10" s="537"/>
      <c r="G10" s="537"/>
      <c r="H10" s="537"/>
      <c r="I10" s="537"/>
      <c r="J10" s="537"/>
      <c r="K10" s="537"/>
      <c r="L10" s="537"/>
      <c r="M10" s="537"/>
      <c r="N10" s="537"/>
      <c r="O10" s="537"/>
      <c r="P10" s="537"/>
    </row>
    <row r="11" spans="1:16">
      <c r="A11" s="538" t="s">
        <v>212</v>
      </c>
      <c r="B11" s="540">
        <v>2000</v>
      </c>
      <c r="C11" s="542" t="s">
        <v>219</v>
      </c>
      <c r="D11" s="542" t="s">
        <v>555</v>
      </c>
      <c r="E11" s="545" t="s">
        <v>213</v>
      </c>
      <c r="F11" s="546"/>
      <c r="G11" s="540"/>
      <c r="H11" s="549" t="s">
        <v>556</v>
      </c>
      <c r="I11" s="550"/>
      <c r="J11" s="550"/>
      <c r="K11" s="550"/>
      <c r="L11" s="550"/>
      <c r="M11" s="550"/>
      <c r="N11" s="550"/>
      <c r="O11" s="551"/>
    </row>
    <row r="12" spans="1:16">
      <c r="A12" s="539"/>
      <c r="B12" s="541"/>
      <c r="C12" s="543"/>
      <c r="D12" s="543"/>
      <c r="E12" s="547"/>
      <c r="F12" s="548"/>
      <c r="G12" s="541"/>
      <c r="H12" s="548" t="s">
        <v>214</v>
      </c>
      <c r="I12" s="541"/>
      <c r="J12" s="547" t="s">
        <v>215</v>
      </c>
      <c r="K12" s="541"/>
      <c r="L12" s="547" t="s">
        <v>216</v>
      </c>
      <c r="M12" s="548"/>
      <c r="N12" s="548"/>
      <c r="O12" s="541"/>
    </row>
    <row r="13" spans="1:16" ht="67" thickBot="1">
      <c r="A13" s="211" t="s">
        <v>217</v>
      </c>
      <c r="B13" s="211" t="s">
        <v>218</v>
      </c>
      <c r="C13" s="544"/>
      <c r="D13" s="544"/>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60">
        <f>AVERAGE(N14:N15)</f>
        <v>0.20532702121944668</v>
      </c>
    </row>
    <row r="15" spans="1:16" ht="13" thickBot="1">
      <c r="A15" s="223" t="s">
        <v>563</v>
      </c>
      <c r="B15" s="223" t="s">
        <v>564</v>
      </c>
      <c r="C15" s="224">
        <v>0.85</v>
      </c>
      <c r="D15" s="225">
        <v>40</v>
      </c>
      <c r="E15" s="226">
        <v>8.5</v>
      </c>
      <c r="F15" s="432">
        <v>0.24</v>
      </c>
      <c r="G15" s="531">
        <v>0.13</v>
      </c>
      <c r="H15" s="414">
        <f t="shared" si="0"/>
        <v>0.21249999999999999</v>
      </c>
      <c r="I15" s="531">
        <f t="shared" si="1"/>
        <v>1.2079800000000001</v>
      </c>
      <c r="J15" s="427">
        <f t="shared" si="2"/>
        <v>0.25</v>
      </c>
      <c r="K15" s="531">
        <f t="shared" si="3"/>
        <v>1.4211529411764707</v>
      </c>
      <c r="L15" s="427">
        <f t="shared" si="4"/>
        <v>2.8538812785388126E-2</v>
      </c>
      <c r="M15" s="531">
        <f t="shared" si="4"/>
        <v>0.16223207091055603</v>
      </c>
      <c r="N15" s="419">
        <f t="shared" si="5"/>
        <v>0.19077088369594414</v>
      </c>
      <c r="O15" s="561"/>
    </row>
    <row r="16" spans="1:16">
      <c r="A16" s="227" t="s">
        <v>565</v>
      </c>
      <c r="B16" s="227" t="s">
        <v>566</v>
      </c>
      <c r="C16" s="228">
        <v>0.9</v>
      </c>
      <c r="D16" s="229">
        <v>40</v>
      </c>
      <c r="E16" s="230">
        <f>36000/5600</f>
        <v>6.4285714285714288</v>
      </c>
      <c r="F16" s="464">
        <f>10000/5600</f>
        <v>1.7857142857142858</v>
      </c>
      <c r="G16" s="230">
        <v>0</v>
      </c>
      <c r="H16" s="412">
        <f t="shared" si="0"/>
        <v>0.16071428571428573</v>
      </c>
      <c r="I16" s="532">
        <f t="shared" si="1"/>
        <v>1.7857142857142858</v>
      </c>
      <c r="J16" s="428">
        <f t="shared" si="2"/>
        <v>0.17857142857142858</v>
      </c>
      <c r="K16" s="532">
        <f t="shared" si="3"/>
        <v>1.9841269841269842</v>
      </c>
      <c r="L16" s="428">
        <f t="shared" si="4"/>
        <v>2.0384866275277233E-2</v>
      </c>
      <c r="M16" s="532">
        <f t="shared" si="4"/>
        <v>0.22649851416974706</v>
      </c>
      <c r="N16" s="421">
        <f t="shared" si="5"/>
        <v>0.24688338044502428</v>
      </c>
      <c r="O16" s="562">
        <f>AVERAGE(N16:N18)</f>
        <v>0.24750247638375492</v>
      </c>
    </row>
    <row r="17" spans="1:15">
      <c r="A17" s="217" t="s">
        <v>567</v>
      </c>
      <c r="B17" s="217" t="s">
        <v>312</v>
      </c>
      <c r="C17" s="218">
        <v>0.9</v>
      </c>
      <c r="D17" s="219">
        <v>40</v>
      </c>
      <c r="E17" s="216">
        <v>17.5</v>
      </c>
      <c r="F17" s="530">
        <v>1.7</v>
      </c>
      <c r="G17" s="216">
        <v>0</v>
      </c>
      <c r="H17" s="529">
        <f>E17/D17</f>
        <v>0.4375</v>
      </c>
      <c r="I17" s="533">
        <f>F17+G17*8760/1000*C17</f>
        <v>1.7</v>
      </c>
      <c r="J17" s="429">
        <f>H17/C17</f>
        <v>0.4861111111111111</v>
      </c>
      <c r="K17" s="533">
        <f>I17/C17</f>
        <v>1.8888888888888888</v>
      </c>
      <c r="L17" s="429">
        <f t="shared" si="4"/>
        <v>5.5492135971588023E-2</v>
      </c>
      <c r="M17" s="533">
        <f t="shared" si="4"/>
        <v>0.21562658548959918</v>
      </c>
      <c r="N17" s="420">
        <f>SUM(L17:M17)</f>
        <v>0.27111872146118721</v>
      </c>
      <c r="O17" s="563"/>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1"/>
    </row>
    <row r="19" spans="1:15">
      <c r="A19" s="227" t="s">
        <v>569</v>
      </c>
      <c r="B19" s="227" t="s">
        <v>312</v>
      </c>
      <c r="C19" s="228">
        <v>0.85</v>
      </c>
      <c r="D19" s="229">
        <v>40</v>
      </c>
      <c r="E19" s="230">
        <v>21.3</v>
      </c>
      <c r="F19" s="464">
        <v>7.8</v>
      </c>
      <c r="G19" s="230">
        <v>0</v>
      </c>
      <c r="H19" s="412">
        <f>E19/D19</f>
        <v>0.53249999999999997</v>
      </c>
      <c r="I19" s="532">
        <f>F19+G19*8760/1000*C19</f>
        <v>7.8</v>
      </c>
      <c r="J19" s="428">
        <f>H19/C19</f>
        <v>0.62647058823529411</v>
      </c>
      <c r="K19" s="532">
        <f>I19/C19</f>
        <v>9.1764705882352935</v>
      </c>
      <c r="L19" s="428">
        <f t="shared" si="4"/>
        <v>7.1514907332796127E-2</v>
      </c>
      <c r="M19" s="532">
        <f t="shared" si="4"/>
        <v>1.0475423045930701</v>
      </c>
      <c r="N19" s="421">
        <f>SUM(L19:M19)</f>
        <v>1.1190572119258662</v>
      </c>
      <c r="O19" s="562">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1"/>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4">
        <f>F22+G22*8760/1000*C22</f>
        <v>1</v>
      </c>
      <c r="J22" s="431">
        <f>H22/C22</f>
        <v>7.3999999999999995</v>
      </c>
      <c r="K22" s="534">
        <f>I22/C22</f>
        <v>5</v>
      </c>
      <c r="L22" s="431">
        <f>J22/8760*1000</f>
        <v>0.84474885844748848</v>
      </c>
      <c r="M22" s="534">
        <f>K22/8760*1000</f>
        <v>0.57077625570776247</v>
      </c>
      <c r="N22" s="426">
        <f>SUM(L22:M22)</f>
        <v>1.415525114155251</v>
      </c>
      <c r="O22" s="567">
        <f>N39</f>
        <v>0.79313246811604099</v>
      </c>
    </row>
    <row r="23" spans="1:15">
      <c r="A23" s="455" t="s">
        <v>310</v>
      </c>
      <c r="B23" s="455" t="s">
        <v>221</v>
      </c>
      <c r="C23" s="456">
        <v>0.2</v>
      </c>
      <c r="D23" s="457">
        <v>25</v>
      </c>
      <c r="E23" s="458">
        <v>32.340000000000003</v>
      </c>
      <c r="F23" s="467">
        <v>0.37</v>
      </c>
      <c r="G23" s="458">
        <v>0</v>
      </c>
      <c r="H23" s="459">
        <f t="shared" si="0"/>
        <v>1.2936000000000001</v>
      </c>
      <c r="I23" s="528">
        <f t="shared" si="1"/>
        <v>0.37</v>
      </c>
      <c r="J23" s="460">
        <f t="shared" si="2"/>
        <v>6.468</v>
      </c>
      <c r="K23" s="528">
        <f t="shared" si="3"/>
        <v>1.8499999999999999</v>
      </c>
      <c r="L23" s="460">
        <f t="shared" si="4"/>
        <v>0.73835616438356166</v>
      </c>
      <c r="M23" s="528">
        <f t="shared" si="4"/>
        <v>0.21118721461187212</v>
      </c>
      <c r="N23" s="461">
        <f t="shared" si="5"/>
        <v>0.94954337899543373</v>
      </c>
      <c r="O23" s="568"/>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9"/>
    </row>
    <row r="25" spans="1:15">
      <c r="A25" s="227" t="s">
        <v>433</v>
      </c>
      <c r="B25" s="227" t="s">
        <v>437</v>
      </c>
      <c r="C25" s="240">
        <v>0.4</v>
      </c>
      <c r="D25" s="229">
        <v>25</v>
      </c>
      <c r="E25" s="230">
        <f>10310/1000</f>
        <v>10.31</v>
      </c>
      <c r="F25" s="464">
        <v>1</v>
      </c>
      <c r="G25" s="230">
        <v>0</v>
      </c>
      <c r="H25" s="424">
        <f t="shared" si="0"/>
        <v>0.41240000000000004</v>
      </c>
      <c r="I25" s="534">
        <f t="shared" si="1"/>
        <v>1</v>
      </c>
      <c r="J25" s="431">
        <f t="shared" si="2"/>
        <v>1.0310000000000001</v>
      </c>
      <c r="K25" s="534">
        <f t="shared" si="3"/>
        <v>2.5</v>
      </c>
      <c r="L25" s="431">
        <f t="shared" si="4"/>
        <v>0.11769406392694066</v>
      </c>
      <c r="M25" s="534">
        <f t="shared" si="4"/>
        <v>0.28538812785388123</v>
      </c>
      <c r="N25" s="426">
        <f t="shared" si="5"/>
        <v>0.40308219178082189</v>
      </c>
      <c r="O25" s="562">
        <f>AVERAGE(N25:N26,N27)</f>
        <v>0.23028919330289191</v>
      </c>
    </row>
    <row r="26" spans="1:15">
      <c r="A26" s="214" t="s">
        <v>434</v>
      </c>
      <c r="B26" s="214" t="s">
        <v>436</v>
      </c>
      <c r="C26" s="220">
        <v>0.4</v>
      </c>
      <c r="D26" s="215">
        <v>25</v>
      </c>
      <c r="E26" s="216">
        <v>4.5</v>
      </c>
      <c r="F26" s="530">
        <v>0.38</v>
      </c>
      <c r="G26" s="533">
        <v>0</v>
      </c>
      <c r="H26" s="415">
        <f t="shared" si="0"/>
        <v>0.18</v>
      </c>
      <c r="I26" s="533">
        <f t="shared" si="1"/>
        <v>0.38</v>
      </c>
      <c r="J26" s="429">
        <f t="shared" si="2"/>
        <v>0.44999999999999996</v>
      </c>
      <c r="K26" s="533">
        <f t="shared" si="3"/>
        <v>0.95</v>
      </c>
      <c r="L26" s="429">
        <f t="shared" si="4"/>
        <v>5.1369863013698627E-2</v>
      </c>
      <c r="M26" s="533">
        <f t="shared" si="4"/>
        <v>0.10844748858447488</v>
      </c>
      <c r="N26" s="420">
        <f t="shared" si="5"/>
        <v>0.15981735159817351</v>
      </c>
      <c r="O26" s="563"/>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1"/>
    </row>
    <row r="28" spans="1:15">
      <c r="A28" s="241" t="s">
        <v>573</v>
      </c>
      <c r="B28" s="241" t="s">
        <v>361</v>
      </c>
      <c r="C28" s="240">
        <v>0.35</v>
      </c>
      <c r="D28" s="229">
        <v>25</v>
      </c>
      <c r="E28" s="230">
        <v>10.1</v>
      </c>
      <c r="F28" s="464">
        <v>0.4</v>
      </c>
      <c r="G28" s="532">
        <v>0</v>
      </c>
      <c r="H28" s="425">
        <f t="shared" si="0"/>
        <v>0.40399999999999997</v>
      </c>
      <c r="I28" s="532">
        <f t="shared" si="1"/>
        <v>0.4</v>
      </c>
      <c r="J28" s="428">
        <f t="shared" si="2"/>
        <v>1.1542857142857144</v>
      </c>
      <c r="K28" s="532">
        <f t="shared" si="3"/>
        <v>1.142857142857143</v>
      </c>
      <c r="L28" s="428">
        <f t="shared" si="4"/>
        <v>0.13176777560339206</v>
      </c>
      <c r="M28" s="532">
        <f t="shared" si="4"/>
        <v>0.13046314416177432</v>
      </c>
      <c r="N28" s="421">
        <f t="shared" si="5"/>
        <v>0.26223091976516638</v>
      </c>
      <c r="O28" s="562">
        <f>AVERAGE(N28,N29,N30:N32)</f>
        <v>0.16974559686888452</v>
      </c>
    </row>
    <row r="29" spans="1:15">
      <c r="A29" s="214" t="s">
        <v>220</v>
      </c>
      <c r="B29" s="214" t="s">
        <v>221</v>
      </c>
      <c r="C29" s="220">
        <v>0.35</v>
      </c>
      <c r="D29" s="219">
        <v>25</v>
      </c>
      <c r="E29" s="216">
        <v>3.8</v>
      </c>
      <c r="F29" s="530">
        <v>0.14399999999999999</v>
      </c>
      <c r="G29" s="533">
        <v>0</v>
      </c>
      <c r="H29" s="415">
        <f t="shared" si="0"/>
        <v>0.152</v>
      </c>
      <c r="I29" s="533">
        <f t="shared" si="1"/>
        <v>0.14399999999999999</v>
      </c>
      <c r="J29" s="429">
        <f t="shared" si="2"/>
        <v>0.43428571428571427</v>
      </c>
      <c r="K29" s="533">
        <f t="shared" si="3"/>
        <v>0.41142857142857142</v>
      </c>
      <c r="L29" s="429">
        <f t="shared" si="4"/>
        <v>4.9575994781474238E-2</v>
      </c>
      <c r="M29" s="533">
        <f t="shared" si="4"/>
        <v>4.6966731898238752E-2</v>
      </c>
      <c r="N29" s="420">
        <f t="shared" si="5"/>
        <v>9.654272667971299E-2</v>
      </c>
      <c r="O29" s="563"/>
    </row>
    <row r="30" spans="1:15">
      <c r="A30" s="214" t="s">
        <v>360</v>
      </c>
      <c r="B30" s="214" t="s">
        <v>574</v>
      </c>
      <c r="C30" s="220">
        <v>0.35</v>
      </c>
      <c r="D30" s="215">
        <v>25</v>
      </c>
      <c r="E30" s="533">
        <v>10.96</v>
      </c>
      <c r="F30" s="429">
        <v>0.17499999999999999</v>
      </c>
      <c r="G30" s="533">
        <v>0</v>
      </c>
      <c r="H30" s="415">
        <f t="shared" si="0"/>
        <v>0.43840000000000001</v>
      </c>
      <c r="I30" s="533">
        <f t="shared" si="1"/>
        <v>0.17499999999999999</v>
      </c>
      <c r="J30" s="429">
        <f t="shared" si="2"/>
        <v>1.2525714285714287</v>
      </c>
      <c r="K30" s="533">
        <f t="shared" si="3"/>
        <v>0.5</v>
      </c>
      <c r="L30" s="429">
        <f t="shared" si="4"/>
        <v>0.14298760600130464</v>
      </c>
      <c r="M30" s="533">
        <f t="shared" si="4"/>
        <v>5.7077625570776253E-2</v>
      </c>
      <c r="N30" s="420">
        <f t="shared" si="5"/>
        <v>0.20006523157208089</v>
      </c>
      <c r="O30" s="563"/>
    </row>
    <row r="31" spans="1:15">
      <c r="A31" s="214" t="s">
        <v>575</v>
      </c>
      <c r="B31" s="214" t="s">
        <v>312</v>
      </c>
      <c r="C31" s="220">
        <v>0.35</v>
      </c>
      <c r="D31" s="215">
        <v>25</v>
      </c>
      <c r="E31" s="533">
        <v>7.4</v>
      </c>
      <c r="F31" s="429">
        <v>0.2</v>
      </c>
      <c r="G31" s="533">
        <v>0</v>
      </c>
      <c r="H31" s="415">
        <f t="shared" si="0"/>
        <v>0.29600000000000004</v>
      </c>
      <c r="I31" s="533">
        <f t="shared" si="1"/>
        <v>0.2</v>
      </c>
      <c r="J31" s="429">
        <f t="shared" si="2"/>
        <v>0.84571428571428586</v>
      </c>
      <c r="K31" s="533">
        <f t="shared" si="3"/>
        <v>0.57142857142857151</v>
      </c>
      <c r="L31" s="429">
        <f t="shared" si="4"/>
        <v>9.6542726679713003E-2</v>
      </c>
      <c r="M31" s="533">
        <f t="shared" si="4"/>
        <v>6.523157208088716E-2</v>
      </c>
      <c r="N31" s="420">
        <f t="shared" si="5"/>
        <v>0.16177429876060018</v>
      </c>
      <c r="O31" s="563"/>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1"/>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52" t="s">
        <v>0</v>
      </c>
      <c r="F37" s="553"/>
      <c r="G37" s="553"/>
      <c r="H37" s="553"/>
      <c r="I37" s="553"/>
      <c r="J37" s="553"/>
      <c r="K37" s="553"/>
      <c r="L37" s="553"/>
      <c r="M37" s="554"/>
      <c r="N37" s="418">
        <v>0.17</v>
      </c>
      <c r="O37" s="555">
        <f>AVERAGE(N37,N38)</f>
        <v>0.38</v>
      </c>
    </row>
    <row r="38" spans="1:15">
      <c r="A38" s="214" t="s">
        <v>427</v>
      </c>
      <c r="B38" s="214" t="s">
        <v>429</v>
      </c>
      <c r="C38" s="221">
        <v>1</v>
      </c>
      <c r="D38" s="215">
        <v>20</v>
      </c>
      <c r="E38" s="557" t="s">
        <v>0</v>
      </c>
      <c r="F38" s="558"/>
      <c r="G38" s="558"/>
      <c r="H38" s="558"/>
      <c r="I38" s="558"/>
      <c r="J38" s="558"/>
      <c r="K38" s="558"/>
      <c r="L38" s="558"/>
      <c r="M38" s="559"/>
      <c r="N38" s="420">
        <v>0.59</v>
      </c>
      <c r="O38" s="556"/>
    </row>
    <row r="39" spans="1:15">
      <c r="A39" s="81" t="s">
        <v>759</v>
      </c>
      <c r="B39" s="81" t="s">
        <v>760</v>
      </c>
      <c r="C39" s="570">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1"/>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4"/>
      <c r="C1" s="564"/>
      <c r="D1" s="564"/>
      <c r="E1" s="564"/>
      <c r="F1" s="564"/>
      <c r="G1" s="564"/>
      <c r="H1" s="564"/>
      <c r="I1" s="564"/>
      <c r="J1" s="564"/>
      <c r="K1" s="564"/>
      <c r="L1" s="564"/>
    </row>
    <row r="2" spans="1:12">
      <c r="B2" s="564"/>
      <c r="C2" s="564"/>
      <c r="D2" s="564"/>
      <c r="E2" s="564"/>
      <c r="F2" s="564"/>
      <c r="G2" s="564"/>
      <c r="H2" s="564"/>
      <c r="I2" s="564"/>
      <c r="J2" s="564"/>
      <c r="K2" s="564"/>
      <c r="L2" s="564"/>
    </row>
    <row r="3" spans="1:12">
      <c r="B3" s="564"/>
      <c r="C3" s="564"/>
      <c r="D3" s="564"/>
      <c r="E3" s="564"/>
      <c r="F3" s="564"/>
      <c r="G3" s="564"/>
      <c r="H3" s="564"/>
      <c r="I3" s="564"/>
      <c r="J3" s="564"/>
      <c r="K3" s="564"/>
      <c r="L3" s="564"/>
    </row>
    <row r="4" spans="1:12">
      <c r="B4" s="564"/>
      <c r="C4" s="564"/>
      <c r="D4" s="564"/>
      <c r="E4" s="564"/>
      <c r="F4" s="564"/>
      <c r="G4" s="564"/>
      <c r="H4" s="564"/>
      <c r="I4" s="564"/>
      <c r="J4" s="564"/>
      <c r="K4" s="564"/>
      <c r="L4" s="564"/>
    </row>
    <row r="5" spans="1:12">
      <c r="B5" s="564"/>
      <c r="C5" s="564"/>
      <c r="D5" s="564"/>
      <c r="E5" s="564"/>
      <c r="F5" s="564"/>
      <c r="G5" s="564"/>
      <c r="H5" s="564"/>
      <c r="I5" s="564"/>
      <c r="J5" s="564"/>
      <c r="K5" s="564"/>
      <c r="L5" s="564"/>
    </row>
    <row r="6" spans="1:12">
      <c r="B6" s="564"/>
      <c r="C6" s="564"/>
      <c r="D6" s="564"/>
      <c r="E6" s="564"/>
      <c r="F6" s="564"/>
      <c r="G6" s="564"/>
      <c r="H6" s="564"/>
      <c r="I6" s="564"/>
      <c r="J6" s="564"/>
      <c r="K6" s="564"/>
      <c r="L6" s="564"/>
    </row>
    <row r="7" spans="1:12">
      <c r="B7" s="564"/>
      <c r="C7" s="564"/>
      <c r="D7" s="564"/>
      <c r="E7" s="564"/>
      <c r="F7" s="564"/>
      <c r="G7" s="564"/>
      <c r="H7" s="564"/>
      <c r="I7" s="564"/>
      <c r="J7" s="564"/>
      <c r="K7" s="564"/>
      <c r="L7" s="564"/>
    </row>
    <row r="8" spans="1:12">
      <c r="B8" s="564"/>
      <c r="C8" s="564"/>
      <c r="D8" s="564"/>
      <c r="E8" s="564"/>
      <c r="F8" s="564"/>
      <c r="G8" s="564"/>
      <c r="H8" s="564"/>
      <c r="I8" s="564"/>
      <c r="J8" s="564"/>
      <c r="K8" s="564"/>
      <c r="L8" s="564"/>
    </row>
    <row r="9" spans="1:12" ht="48" customHeight="1">
      <c r="B9" s="564"/>
      <c r="C9" s="564"/>
      <c r="D9" s="564"/>
      <c r="E9" s="564"/>
      <c r="F9" s="564"/>
      <c r="G9" s="564"/>
      <c r="H9" s="564"/>
      <c r="I9" s="564"/>
      <c r="J9" s="564"/>
      <c r="K9" s="564"/>
      <c r="L9" s="564"/>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4"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755</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466.70600899999999</v>
      </c>
      <c r="H36" s="499">
        <v>394.832787</v>
      </c>
      <c r="I36" s="499">
        <v>454.68913199999997</v>
      </c>
      <c r="J36" s="499">
        <v>454.42544500000002</v>
      </c>
      <c r="K36" s="499">
        <v>444.23985299999998</v>
      </c>
      <c r="L36" s="499">
        <v>440.08721199999997</v>
      </c>
      <c r="M36" s="499">
        <v>447.35079200000001</v>
      </c>
      <c r="N36" s="499">
        <v>452.70209499999999</v>
      </c>
      <c r="O36" s="499">
        <v>456.67362200000002</v>
      </c>
      <c r="P36" s="499">
        <v>458.62900500000001</v>
      </c>
      <c r="Q36" s="499">
        <v>461.96567600000003</v>
      </c>
      <c r="R36" s="499">
        <v>463.53699499999999</v>
      </c>
      <c r="S36" s="499">
        <v>463.25244900000001</v>
      </c>
      <c r="T36" s="499">
        <v>465.26831899999996</v>
      </c>
      <c r="U36" s="499">
        <v>466.23992199999998</v>
      </c>
      <c r="V36" s="499">
        <v>466.077202</v>
      </c>
      <c r="W36" s="499">
        <v>466.37215400000002</v>
      </c>
      <c r="X36" s="499">
        <v>466.26424399999996</v>
      </c>
      <c r="Y36" s="499">
        <v>466.10289</v>
      </c>
      <c r="Z36" s="499">
        <v>463.98463500000003</v>
      </c>
      <c r="AA36" s="499">
        <v>462.46893399999999</v>
      </c>
      <c r="AB36" s="499">
        <v>461.67210399999999</v>
      </c>
      <c r="AC36" s="499">
        <v>461.26215300000001</v>
      </c>
      <c r="AD36" s="499">
        <v>461.032692</v>
      </c>
      <c r="AE36" s="499">
        <v>460.73717499999998</v>
      </c>
      <c r="AF36" s="499">
        <v>460.50507400000004</v>
      </c>
      <c r="AG36" s="499">
        <v>460.05059799999998</v>
      </c>
      <c r="AH36" s="499">
        <v>459.62494700000002</v>
      </c>
      <c r="AI36" s="499">
        <v>459.35051700000002</v>
      </c>
      <c r="AJ36" s="499">
        <v>459.04289999999997</v>
      </c>
      <c r="AK36" s="503">
        <v>0.03</v>
      </c>
      <c r="AL36" s="515" t="s">
        <v>68</v>
      </c>
      <c r="AM36" s="518">
        <v>0.26084126495094129</v>
      </c>
    </row>
    <row r="37" spans="1:44" s="251" customFormat="1">
      <c r="A37" s="501" t="s">
        <v>720</v>
      </c>
      <c r="G37" s="499">
        <v>3.8765020000000003</v>
      </c>
      <c r="H37" s="499">
        <v>2.9012790000000002</v>
      </c>
      <c r="I37" s="499">
        <v>2.014859</v>
      </c>
      <c r="J37" s="499">
        <v>2.0150620000000004</v>
      </c>
      <c r="K37" s="499">
        <v>1.988092</v>
      </c>
      <c r="L37" s="499">
        <v>1.919505</v>
      </c>
      <c r="M37" s="499">
        <v>1.9605079999999999</v>
      </c>
      <c r="N37" s="499">
        <v>1.9991500000000002</v>
      </c>
      <c r="O37" s="499">
        <v>2.0217320000000001</v>
      </c>
      <c r="P37" s="499">
        <v>2.0314860000000001</v>
      </c>
      <c r="Q37" s="499">
        <v>2.0498069999999999</v>
      </c>
      <c r="R37" s="499">
        <v>2.0618590000000001</v>
      </c>
      <c r="S37" s="499">
        <v>2.065544</v>
      </c>
      <c r="T37" s="499">
        <v>2.0542639999999999</v>
      </c>
      <c r="U37" s="499">
        <v>2.0473330000000001</v>
      </c>
      <c r="V37" s="499">
        <v>2.0375070000000002</v>
      </c>
      <c r="W37" s="499">
        <v>2.0314540000000001</v>
      </c>
      <c r="X37" s="499">
        <v>2.0260889999999998</v>
      </c>
      <c r="Y37" s="499">
        <v>2.0263150000000003</v>
      </c>
      <c r="Z37" s="499">
        <v>2.0362960000000001</v>
      </c>
      <c r="AA37" s="499">
        <v>2.0238670000000001</v>
      </c>
      <c r="AB37" s="499">
        <v>2.0177739999999997</v>
      </c>
      <c r="AC37" s="499">
        <v>2.0179869999999998</v>
      </c>
      <c r="AD37" s="499">
        <v>2.0208620000000002</v>
      </c>
      <c r="AE37" s="499">
        <v>2.019288</v>
      </c>
      <c r="AF37" s="499">
        <v>2.0179169999999997</v>
      </c>
      <c r="AG37" s="499">
        <v>2.0172620000000001</v>
      </c>
      <c r="AH37" s="499">
        <v>2.0158770000000001</v>
      </c>
      <c r="AI37" s="499">
        <v>2.0174270000000001</v>
      </c>
      <c r="AJ37" s="499">
        <v>2.0156619999999998</v>
      </c>
      <c r="AK37" s="503">
        <v>-3.7999999999999999E-2</v>
      </c>
      <c r="AL37" s="516" t="s">
        <v>69</v>
      </c>
      <c r="AM37" s="518">
        <v>0.36786315670699216</v>
      </c>
    </row>
    <row r="38" spans="1:44" s="251" customFormat="1">
      <c r="A38" s="501" t="s">
        <v>721</v>
      </c>
      <c r="G38" s="499">
        <v>98.161273999999992</v>
      </c>
      <c r="H38" s="499">
        <v>139.78989000000001</v>
      </c>
      <c r="I38" s="499">
        <v>113.537914</v>
      </c>
      <c r="J38" s="499">
        <v>109.16564200000001</v>
      </c>
      <c r="K38" s="499">
        <v>120.70819400000001</v>
      </c>
      <c r="L38" s="499">
        <v>138.556442</v>
      </c>
      <c r="M38" s="499">
        <v>142.39103699999998</v>
      </c>
      <c r="N38" s="499">
        <v>145.81868</v>
      </c>
      <c r="O38" s="499">
        <v>148.11148800000001</v>
      </c>
      <c r="P38" s="499">
        <v>149.363518</v>
      </c>
      <c r="Q38" s="499">
        <v>146.53295900000001</v>
      </c>
      <c r="R38" s="499">
        <v>148.57765900000001</v>
      </c>
      <c r="S38" s="499">
        <v>154.48199399999999</v>
      </c>
      <c r="T38" s="499">
        <v>153.76928700000002</v>
      </c>
      <c r="U38" s="499">
        <v>153.841148</v>
      </c>
      <c r="V38" s="499">
        <v>162.31950399999999</v>
      </c>
      <c r="W38" s="499">
        <v>165.188816</v>
      </c>
      <c r="X38" s="499">
        <v>164.15516600000001</v>
      </c>
      <c r="Y38" s="499">
        <v>166.37615599999998</v>
      </c>
      <c r="Z38" s="499">
        <v>164.94583900000001</v>
      </c>
      <c r="AA38" s="499">
        <v>174.33541099999999</v>
      </c>
      <c r="AB38" s="499">
        <v>182.836769</v>
      </c>
      <c r="AC38" s="499">
        <v>192.23580899999999</v>
      </c>
      <c r="AD38" s="499">
        <v>199.41075799999999</v>
      </c>
      <c r="AE38" s="499">
        <v>204.90593000000001</v>
      </c>
      <c r="AF38" s="499">
        <v>211.21431000000001</v>
      </c>
      <c r="AG38" s="499">
        <v>216.04297700000001</v>
      </c>
      <c r="AH38" s="499">
        <v>219.38606299999998</v>
      </c>
      <c r="AI38" s="499">
        <v>219.65581499999999</v>
      </c>
      <c r="AJ38" s="499">
        <v>221.488541</v>
      </c>
      <c r="AK38" s="503">
        <v>-4.0000000000000001E-3</v>
      </c>
      <c r="AL38" s="516" t="s">
        <v>76</v>
      </c>
      <c r="AM38" s="518">
        <v>7.1999999999999995E-2</v>
      </c>
    </row>
    <row r="39" spans="1:44" s="251" customFormat="1">
      <c r="A39" s="501" t="s">
        <v>722</v>
      </c>
      <c r="G39" s="499">
        <v>250.515007</v>
      </c>
      <c r="H39" s="499">
        <v>253.48099500000001</v>
      </c>
      <c r="I39" s="499">
        <v>244.28305799999998</v>
      </c>
      <c r="J39" s="499">
        <v>244.729378</v>
      </c>
      <c r="K39" s="499">
        <v>251.80423000000002</v>
      </c>
      <c r="L39" s="499">
        <v>254.32607999999999</v>
      </c>
      <c r="M39" s="499">
        <v>250.32450799999998</v>
      </c>
      <c r="N39" s="499">
        <v>242.270172</v>
      </c>
      <c r="O39" s="499">
        <v>234.157791</v>
      </c>
      <c r="P39" s="499">
        <v>229.315369</v>
      </c>
      <c r="Q39" s="499">
        <v>229.31537600000001</v>
      </c>
      <c r="R39" s="499">
        <v>229.315369</v>
      </c>
      <c r="S39" s="499">
        <v>229.315369</v>
      </c>
      <c r="T39" s="499">
        <v>229.31537600000001</v>
      </c>
      <c r="U39" s="499">
        <v>229.315369</v>
      </c>
      <c r="V39" s="499">
        <v>229.31537600000001</v>
      </c>
      <c r="W39" s="499">
        <v>229.315369</v>
      </c>
      <c r="X39" s="499">
        <v>229.315369</v>
      </c>
      <c r="Y39" s="499">
        <v>229.31537600000001</v>
      </c>
      <c r="Z39" s="499">
        <v>229.31537600000001</v>
      </c>
      <c r="AA39" s="499">
        <v>229.31537600000001</v>
      </c>
      <c r="AB39" s="499">
        <v>229.31537600000001</v>
      </c>
      <c r="AC39" s="499">
        <v>229.315369</v>
      </c>
      <c r="AD39" s="499">
        <v>229.315369</v>
      </c>
      <c r="AE39" s="499">
        <v>229.315369</v>
      </c>
      <c r="AF39" s="499">
        <v>229.315369</v>
      </c>
      <c r="AG39" s="499">
        <v>229.315369</v>
      </c>
      <c r="AH39" s="499">
        <v>229.315369</v>
      </c>
      <c r="AI39" s="499">
        <v>229.315369</v>
      </c>
      <c r="AJ39" s="499">
        <v>229.31537600000001</v>
      </c>
      <c r="AK39" s="503">
        <v>-5.0000000000000001E-3</v>
      </c>
      <c r="AL39" s="516" t="s">
        <v>741</v>
      </c>
      <c r="AM39" s="518">
        <v>5.6185552025034356E-2</v>
      </c>
    </row>
    <row r="40" spans="1:44" s="251" customFormat="1">
      <c r="A40" s="501" t="s">
        <v>723</v>
      </c>
      <c r="G40" s="499">
        <v>1.1216539999999999</v>
      </c>
      <c r="H40" s="499">
        <v>1.1742729999999999</v>
      </c>
      <c r="I40" s="499">
        <v>1.2392019999999999</v>
      </c>
      <c r="J40" s="499">
        <v>1.2401960000000001</v>
      </c>
      <c r="K40" s="499">
        <v>1.242693</v>
      </c>
      <c r="L40" s="499">
        <v>1.247854</v>
      </c>
      <c r="M40" s="499">
        <v>1.2495350000000001</v>
      </c>
      <c r="N40" s="499">
        <v>1.252043</v>
      </c>
      <c r="O40" s="499">
        <v>1.2540789999999999</v>
      </c>
      <c r="P40" s="499">
        <v>1.2553160000000001</v>
      </c>
      <c r="Q40" s="499">
        <v>1.255671</v>
      </c>
      <c r="R40" s="499">
        <v>1.256305</v>
      </c>
      <c r="S40" s="499">
        <v>1.256305</v>
      </c>
      <c r="T40" s="499">
        <v>1.256305</v>
      </c>
      <c r="U40" s="499">
        <v>1.256839</v>
      </c>
      <c r="V40" s="499">
        <v>1.257479</v>
      </c>
      <c r="W40" s="499">
        <v>1.2576700000000001</v>
      </c>
      <c r="X40" s="499">
        <v>1.257825</v>
      </c>
      <c r="Y40" s="499">
        <v>1.258419</v>
      </c>
      <c r="Z40" s="499">
        <v>1.2586060000000001</v>
      </c>
      <c r="AA40" s="499">
        <v>1.2587470000000001</v>
      </c>
      <c r="AB40" s="499">
        <v>1.2594460000000001</v>
      </c>
      <c r="AC40" s="499">
        <v>1.2596080000000001</v>
      </c>
      <c r="AD40" s="499">
        <v>1.260238</v>
      </c>
      <c r="AE40" s="499">
        <v>1.2604759999999999</v>
      </c>
      <c r="AF40" s="499">
        <v>1.26065</v>
      </c>
      <c r="AG40" s="499">
        <v>1.2613179999999999</v>
      </c>
      <c r="AH40" s="499">
        <v>1.261584</v>
      </c>
      <c r="AI40" s="499">
        <v>1.2617670000000001</v>
      </c>
      <c r="AJ40" s="499">
        <v>1.2624420000000001</v>
      </c>
      <c r="AK40" s="503">
        <v>1E-3</v>
      </c>
      <c r="AL40" s="517" t="s">
        <v>225</v>
      </c>
      <c r="AM40" s="518">
        <v>0.06</v>
      </c>
    </row>
    <row r="41" spans="1:44" s="251" customFormat="1">
      <c r="A41" s="501" t="s">
        <v>724</v>
      </c>
      <c r="G41" s="499">
        <v>26.159147999999998</v>
      </c>
      <c r="H41" s="499">
        <v>26.527506000000002</v>
      </c>
      <c r="I41" s="499">
        <v>32.151673000000002</v>
      </c>
      <c r="J41" s="499">
        <v>33.079904999999997</v>
      </c>
      <c r="K41" s="499">
        <v>33.930774999999997</v>
      </c>
      <c r="L41" s="499">
        <v>34.862210000000005</v>
      </c>
      <c r="M41" s="499">
        <v>38.372319000000005</v>
      </c>
      <c r="N41" s="499">
        <v>41.74973</v>
      </c>
      <c r="O41" s="499">
        <v>41.744782999999998</v>
      </c>
      <c r="P41" s="499">
        <v>42.435341000000001</v>
      </c>
      <c r="Q41" s="499">
        <v>42.959477</v>
      </c>
      <c r="R41" s="499">
        <v>43.643675999999999</v>
      </c>
      <c r="S41" s="499">
        <v>46.549590999999999</v>
      </c>
      <c r="T41" s="499">
        <v>46.692823000000004</v>
      </c>
      <c r="U41" s="499">
        <v>48.034289000000001</v>
      </c>
      <c r="V41" s="499">
        <v>48.235068999999996</v>
      </c>
      <c r="W41" s="499">
        <v>48.209007</v>
      </c>
      <c r="X41" s="499">
        <v>48.586047999999998</v>
      </c>
      <c r="Y41" s="499">
        <v>48.785858000000005</v>
      </c>
      <c r="Z41" s="499">
        <v>50.721764999999998</v>
      </c>
      <c r="AA41" s="499">
        <v>52.061912</v>
      </c>
      <c r="AB41" s="499">
        <v>52.588653999999998</v>
      </c>
      <c r="AC41" s="499">
        <v>52.633077999999998</v>
      </c>
      <c r="AD41" s="499">
        <v>52.997431000000006</v>
      </c>
      <c r="AE41" s="499">
        <v>53.151576999999996</v>
      </c>
      <c r="AF41" s="499">
        <v>53.086759999999998</v>
      </c>
      <c r="AG41" s="499">
        <v>53.204861999999999</v>
      </c>
      <c r="AH41" s="499">
        <v>53.295262000000001</v>
      </c>
      <c r="AI41" s="499">
        <v>53.332768000000002</v>
      </c>
      <c r="AJ41" s="499">
        <v>53.496878000000002</v>
      </c>
      <c r="AK41" s="503">
        <v>2.1000000000000001E-2</v>
      </c>
      <c r="AL41" s="517" t="s">
        <v>378</v>
      </c>
      <c r="AM41" s="518">
        <v>7.7348005827707803E-2</v>
      </c>
    </row>
    <row r="42" spans="1:44" s="251" customFormat="1">
      <c r="A42" s="501" t="s">
        <v>725</v>
      </c>
      <c r="G42" s="499">
        <v>0</v>
      </c>
      <c r="H42" s="499">
        <v>0</v>
      </c>
      <c r="I42" s="499">
        <v>0</v>
      </c>
      <c r="J42" s="499">
        <v>0</v>
      </c>
      <c r="K42" s="499">
        <v>8.0227999999999994E-2</v>
      </c>
      <c r="L42" s="499">
        <v>9.2133000000000007E-2</v>
      </c>
      <c r="M42" s="499">
        <v>0.10668800000000001</v>
      </c>
      <c r="N42" s="499">
        <v>0.11908299999999999</v>
      </c>
      <c r="O42" s="499">
        <v>0.12914</v>
      </c>
      <c r="P42" s="499">
        <v>0.14005899999999999</v>
      </c>
      <c r="Q42" s="499">
        <v>0.15401400000000001</v>
      </c>
      <c r="R42" s="499">
        <v>0.170649</v>
      </c>
      <c r="S42" s="499">
        <v>0.18828700000000001</v>
      </c>
      <c r="T42" s="499">
        <v>0.20347299999999999</v>
      </c>
      <c r="U42" s="499">
        <v>0.217555</v>
      </c>
      <c r="V42" s="499">
        <v>0.233436</v>
      </c>
      <c r="W42" s="499">
        <v>0.24860399999999999</v>
      </c>
      <c r="X42" s="499">
        <v>0.26478000000000002</v>
      </c>
      <c r="Y42" s="499">
        <v>0.27862900000000002</v>
      </c>
      <c r="Z42" s="499">
        <v>0.29204999999999998</v>
      </c>
      <c r="AA42" s="499">
        <v>0.30543900000000002</v>
      </c>
      <c r="AB42" s="499">
        <v>0.32067699999999999</v>
      </c>
      <c r="AC42" s="499">
        <v>0.338337</v>
      </c>
      <c r="AD42" s="499">
        <v>0.35491099999999998</v>
      </c>
      <c r="AE42" s="499">
        <v>0.37067499999999998</v>
      </c>
      <c r="AF42" s="499">
        <v>0.38635999999999998</v>
      </c>
      <c r="AG42" s="499">
        <v>0.40147500000000003</v>
      </c>
      <c r="AH42" s="499">
        <v>0.41661700000000002</v>
      </c>
      <c r="AI42" s="499">
        <v>0.43158299999999999</v>
      </c>
      <c r="AJ42" s="499">
        <v>0.44530999999999998</v>
      </c>
      <c r="AK42" s="499" t="s">
        <v>41</v>
      </c>
      <c r="AL42" s="517" t="s">
        <v>742</v>
      </c>
      <c r="AM42" s="518">
        <v>0</v>
      </c>
    </row>
    <row r="43" spans="1:44" s="251" customFormat="1">
      <c r="A43" s="502" t="s">
        <v>726</v>
      </c>
      <c r="G43" s="500">
        <v>846.53961200000003</v>
      </c>
      <c r="H43" s="500">
        <v>818.706726</v>
      </c>
      <c r="I43" s="500">
        <v>847.91586299999994</v>
      </c>
      <c r="J43" s="500">
        <v>844.65560900000003</v>
      </c>
      <c r="K43" s="500">
        <v>853.99410999999998</v>
      </c>
      <c r="L43" s="500">
        <v>871.09140100000002</v>
      </c>
      <c r="M43" s="500">
        <v>881.75540100000001</v>
      </c>
      <c r="N43" s="500">
        <v>885.91094999999996</v>
      </c>
      <c r="O43" s="500">
        <v>884.09268100000008</v>
      </c>
      <c r="P43" s="500">
        <v>883.170075</v>
      </c>
      <c r="Q43" s="500">
        <v>884.23303299999998</v>
      </c>
      <c r="R43" s="500">
        <v>888.56247000000008</v>
      </c>
      <c r="S43" s="500">
        <v>897.10949700000003</v>
      </c>
      <c r="T43" s="500">
        <v>898.559845</v>
      </c>
      <c r="U43" s="500">
        <v>900.95248400000003</v>
      </c>
      <c r="V43" s="500">
        <v>909.47561699999994</v>
      </c>
      <c r="W43" s="500">
        <v>912.62301600000001</v>
      </c>
      <c r="X43" s="500">
        <v>911.869507</v>
      </c>
      <c r="Y43" s="500">
        <v>914.14361600000007</v>
      </c>
      <c r="Z43" s="500">
        <v>912.55459599999995</v>
      </c>
      <c r="AA43" s="500">
        <v>921.76971500000002</v>
      </c>
      <c r="AB43" s="500">
        <v>930.01083399999993</v>
      </c>
      <c r="AC43" s="500">
        <v>939.06237800000008</v>
      </c>
      <c r="AD43" s="500">
        <v>946.39227300000005</v>
      </c>
      <c r="AE43" s="500">
        <v>951.76043700000002</v>
      </c>
      <c r="AF43" s="500">
        <v>957.78640700000005</v>
      </c>
      <c r="AG43" s="500">
        <v>962.29388399999993</v>
      </c>
      <c r="AH43" s="500">
        <v>965.31582600000002</v>
      </c>
      <c r="AI43" s="500">
        <v>965.36529599999994</v>
      </c>
      <c r="AJ43" s="500">
        <v>967.06710799999996</v>
      </c>
      <c r="AK43" s="504">
        <v>1E-3</v>
      </c>
      <c r="AL43" s="517" t="s">
        <v>743</v>
      </c>
      <c r="AM43" s="518">
        <v>3.9572747530888432E-3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0.21206074244109327</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754</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757</v>
      </c>
      <c r="AN48" s="255">
        <v>2006</v>
      </c>
      <c r="AO48" s="255">
        <v>2007</v>
      </c>
      <c r="AP48" s="255">
        <v>2008</v>
      </c>
      <c r="AQ48" s="255">
        <v>2009</v>
      </c>
      <c r="AR48" s="255">
        <v>2010</v>
      </c>
    </row>
    <row r="49" spans="1:44" s="255" customFormat="1">
      <c r="A49" s="254" t="s">
        <v>68</v>
      </c>
      <c r="B49" s="505">
        <f>AN51</f>
        <v>133.4</v>
      </c>
      <c r="C49" s="505">
        <f t="shared" ref="C49:F49" si="0">AO51</f>
        <v>133.131</v>
      </c>
      <c r="D49" s="505">
        <f t="shared" si="0"/>
        <v>130.69399999999999</v>
      </c>
      <c r="E49" s="505">
        <f t="shared" si="0"/>
        <v>113.712</v>
      </c>
      <c r="F49" s="505">
        <f t="shared" si="0"/>
        <v>117.828</v>
      </c>
      <c r="G49" s="484">
        <f t="shared" ref="G49:AJ49" si="1">G36*$AM36</f>
        <v>121.73618574776539</v>
      </c>
      <c r="H49" s="484">
        <f t="shared" si="1"/>
        <v>102.98868360518557</v>
      </c>
      <c r="I49" s="484">
        <f t="shared" si="1"/>
        <v>118.6016883503255</v>
      </c>
      <c r="J49" s="484">
        <f t="shared" si="1"/>
        <v>118.53290789969441</v>
      </c>
      <c r="K49" s="484">
        <f t="shared" si="1"/>
        <v>115.8760851981402</v>
      </c>
      <c r="L49" s="484">
        <f t="shared" si="1"/>
        <v>114.79290506681306</v>
      </c>
      <c r="M49" s="484">
        <f t="shared" si="1"/>
        <v>116.68754646208544</v>
      </c>
      <c r="N49" s="484">
        <f t="shared" si="1"/>
        <v>118.0833871057412</v>
      </c>
      <c r="O49" s="484">
        <f t="shared" si="1"/>
        <v>119.11932523220801</v>
      </c>
      <c r="P49" s="484">
        <f t="shared" si="1"/>
        <v>119.62936980739158</v>
      </c>
      <c r="Q49" s="484">
        <f t="shared" si="1"/>
        <v>120.49971129175671</v>
      </c>
      <c r="R49" s="484">
        <f t="shared" si="1"/>
        <v>120.90957612735815</v>
      </c>
      <c r="S49" s="484">
        <f t="shared" si="1"/>
        <v>120.83535478878142</v>
      </c>
      <c r="T49" s="484">
        <f t="shared" si="1"/>
        <v>121.36117686955807</v>
      </c>
      <c r="U49" s="484">
        <f t="shared" si="1"/>
        <v>121.61461102510819</v>
      </c>
      <c r="V49" s="484">
        <f t="shared" si="1"/>
        <v>121.57216693447538</v>
      </c>
      <c r="W49" s="484">
        <f t="shared" si="1"/>
        <v>121.6491025872552</v>
      </c>
      <c r="X49" s="484">
        <f t="shared" si="1"/>
        <v>121.62095520635432</v>
      </c>
      <c r="Y49" s="484">
        <f t="shared" si="1"/>
        <v>121.57886742488944</v>
      </c>
      <c r="Z49" s="484">
        <f t="shared" si="1"/>
        <v>121.0263391112008</v>
      </c>
      <c r="AA49" s="484">
        <f t="shared" si="1"/>
        <v>120.63098174507337</v>
      </c>
      <c r="AB49" s="484">
        <f t="shared" si="1"/>
        <v>120.42313559992252</v>
      </c>
      <c r="AC49" s="484">
        <f t="shared" si="1"/>
        <v>120.31620346251462</v>
      </c>
      <c r="AD49" s="484">
        <f t="shared" si="1"/>
        <v>120.25635056501771</v>
      </c>
      <c r="AE49" s="484">
        <f t="shared" si="1"/>
        <v>120.17926753692319</v>
      </c>
      <c r="AF49" s="484">
        <f t="shared" si="1"/>
        <v>120.11872601848684</v>
      </c>
      <c r="AG49" s="484">
        <f t="shared" si="1"/>
        <v>120.00017992375697</v>
      </c>
      <c r="AH49" s="484">
        <f t="shared" si="1"/>
        <v>119.88915257848936</v>
      </c>
      <c r="AI49" s="484">
        <f t="shared" si="1"/>
        <v>119.81756991014886</v>
      </c>
      <c r="AJ49" s="484">
        <f t="shared" si="1"/>
        <v>119.73733070274844</v>
      </c>
      <c r="AK49"/>
    </row>
    <row r="50" spans="1:44" s="255" customFormat="1">
      <c r="A50" s="254" t="s">
        <v>69</v>
      </c>
      <c r="B50" s="505">
        <f t="shared" ref="B50:B51" si="2">AN52</f>
        <v>1.355</v>
      </c>
      <c r="C50" s="505">
        <f t="shared" ref="C50:C51" si="3">AO52</f>
        <v>1.1479999999999999</v>
      </c>
      <c r="D50" s="505">
        <f t="shared" ref="D50:D51" si="4">AP52</f>
        <v>1.4379999999999999</v>
      </c>
      <c r="E50" s="505">
        <f t="shared" ref="E50:E51" si="5">AQ52</f>
        <v>1.3120000000000001</v>
      </c>
      <c r="F50" s="505">
        <f t="shared" ref="F50:F51" si="6">AR52</f>
        <v>1.4419999999999999</v>
      </c>
      <c r="G50" s="484">
        <f t="shared" ref="G50:AJ50" si="7">G37*$AM37</f>
        <v>1.4260222627009687</v>
      </c>
      <c r="H50" s="484">
        <f t="shared" si="7"/>
        <v>1.0672736514277055</v>
      </c>
      <c r="I50" s="484">
        <f t="shared" si="7"/>
        <v>0.7411923920594935</v>
      </c>
      <c r="J50" s="484">
        <f t="shared" si="7"/>
        <v>0.7412670682803052</v>
      </c>
      <c r="K50" s="484">
        <f t="shared" si="7"/>
        <v>0.73134579894391749</v>
      </c>
      <c r="L50" s="484">
        <f t="shared" si="7"/>
        <v>0.70611516861485502</v>
      </c>
      <c r="M50" s="484">
        <f t="shared" si="7"/>
        <v>0.72119866162931179</v>
      </c>
      <c r="N50" s="484">
        <f t="shared" si="7"/>
        <v>0.73541362973078339</v>
      </c>
      <c r="O50" s="484">
        <f t="shared" si="7"/>
        <v>0.74372071553554064</v>
      </c>
      <c r="P50" s="484">
        <f t="shared" si="7"/>
        <v>0.74730885276606074</v>
      </c>
      <c r="Q50" s="484">
        <f t="shared" si="7"/>
        <v>0.75404847366008942</v>
      </c>
      <c r="R50" s="484">
        <f t="shared" si="7"/>
        <v>0.75848196042472216</v>
      </c>
      <c r="S50" s="484">
        <f t="shared" si="7"/>
        <v>0.75983753615718741</v>
      </c>
      <c r="T50" s="484">
        <f t="shared" si="7"/>
        <v>0.75568803974953247</v>
      </c>
      <c r="U50" s="484">
        <f t="shared" si="7"/>
        <v>0.75313838021039636</v>
      </c>
      <c r="V50" s="484">
        <f t="shared" si="7"/>
        <v>0.74952375683259354</v>
      </c>
      <c r="W50" s="484">
        <f t="shared" si="7"/>
        <v>0.74729708114504612</v>
      </c>
      <c r="X50" s="484">
        <f t="shared" si="7"/>
        <v>0.74532349530931297</v>
      </c>
      <c r="Y50" s="484">
        <f t="shared" si="7"/>
        <v>0.74540663238272897</v>
      </c>
      <c r="Z50" s="484">
        <f t="shared" si="7"/>
        <v>0.74907827454982134</v>
      </c>
      <c r="AA50" s="484">
        <f t="shared" si="7"/>
        <v>0.74450610337511014</v>
      </c>
      <c r="AB50" s="484">
        <f t="shared" si="7"/>
        <v>0.74226471316129428</v>
      </c>
      <c r="AC50" s="484">
        <f t="shared" si="7"/>
        <v>0.74234306801367289</v>
      </c>
      <c r="AD50" s="484">
        <f t="shared" si="7"/>
        <v>0.74340067458920567</v>
      </c>
      <c r="AE50" s="484">
        <f t="shared" si="7"/>
        <v>0.74282165798054878</v>
      </c>
      <c r="AF50" s="484">
        <f t="shared" si="7"/>
        <v>0.74231731759270336</v>
      </c>
      <c r="AG50" s="484">
        <f t="shared" si="7"/>
        <v>0.74207636722506043</v>
      </c>
      <c r="AH50" s="484">
        <f t="shared" si="7"/>
        <v>0.74156687675302124</v>
      </c>
      <c r="AI50" s="484">
        <f t="shared" si="7"/>
        <v>0.74213706464591711</v>
      </c>
      <c r="AJ50" s="484">
        <f t="shared" si="7"/>
        <v>0.7414877861743292</v>
      </c>
      <c r="AK50"/>
      <c r="AM50" s="255" t="s">
        <v>748</v>
      </c>
      <c r="AN50" s="255">
        <v>137.494</v>
      </c>
      <c r="AO50" s="255">
        <v>138.54300000000001</v>
      </c>
      <c r="AP50" s="255">
        <v>134.87799999999999</v>
      </c>
      <c r="AQ50" s="255">
        <v>119.712</v>
      </c>
      <c r="AR50" s="255">
        <v>126.652</v>
      </c>
    </row>
    <row r="51" spans="1:44" s="255" customFormat="1">
      <c r="A51" s="254" t="s">
        <v>76</v>
      </c>
      <c r="B51" s="505">
        <f t="shared" si="2"/>
        <v>2.379</v>
      </c>
      <c r="C51" s="505">
        <f t="shared" si="3"/>
        <v>3.9750000000000001</v>
      </c>
      <c r="D51" s="505">
        <f t="shared" si="4"/>
        <v>2.484</v>
      </c>
      <c r="E51" s="505">
        <f t="shared" si="5"/>
        <v>4.6500000000000004</v>
      </c>
      <c r="F51" s="505">
        <f t="shared" si="6"/>
        <v>7.1280000000000001</v>
      </c>
      <c r="G51" s="484">
        <f t="shared" ref="G51:AJ51" si="8">G38*$AM38</f>
        <v>7.0676117279999993</v>
      </c>
      <c r="H51" s="484">
        <f t="shared" si="8"/>
        <v>10.064872080000001</v>
      </c>
      <c r="I51" s="484">
        <f t="shared" si="8"/>
        <v>8.1747298079999986</v>
      </c>
      <c r="J51" s="484">
        <f t="shared" si="8"/>
        <v>7.8599262239999996</v>
      </c>
      <c r="K51" s="484">
        <f t="shared" si="8"/>
        <v>8.6909899680000002</v>
      </c>
      <c r="L51" s="484">
        <f t="shared" si="8"/>
        <v>9.9760638239999988</v>
      </c>
      <c r="M51" s="484">
        <f t="shared" si="8"/>
        <v>10.252154663999997</v>
      </c>
      <c r="N51" s="484">
        <f t="shared" si="8"/>
        <v>10.498944959999999</v>
      </c>
      <c r="O51" s="484">
        <f t="shared" si="8"/>
        <v>10.664027136</v>
      </c>
      <c r="P51" s="484">
        <f t="shared" si="8"/>
        <v>10.754173295999999</v>
      </c>
      <c r="Q51" s="484">
        <f t="shared" si="8"/>
        <v>10.550373047999999</v>
      </c>
      <c r="R51" s="484">
        <f t="shared" si="8"/>
        <v>10.697591448000001</v>
      </c>
      <c r="S51" s="484">
        <f t="shared" si="8"/>
        <v>11.122703567999999</v>
      </c>
      <c r="T51" s="484">
        <f t="shared" si="8"/>
        <v>11.071388664000001</v>
      </c>
      <c r="U51" s="484">
        <f t="shared" si="8"/>
        <v>11.076562656</v>
      </c>
      <c r="V51" s="484">
        <f t="shared" si="8"/>
        <v>11.687004287999999</v>
      </c>
      <c r="W51" s="484">
        <f t="shared" si="8"/>
        <v>11.893594751999998</v>
      </c>
      <c r="X51" s="484">
        <f t="shared" si="8"/>
        <v>11.819171952</v>
      </c>
      <c r="Y51" s="484">
        <f t="shared" si="8"/>
        <v>11.979083231999997</v>
      </c>
      <c r="Z51" s="484">
        <f t="shared" si="8"/>
        <v>11.876100407999999</v>
      </c>
      <c r="AA51" s="484">
        <f t="shared" si="8"/>
        <v>12.552149591999999</v>
      </c>
      <c r="AB51" s="484">
        <f t="shared" si="8"/>
        <v>13.164247368</v>
      </c>
      <c r="AC51" s="484">
        <f t="shared" si="8"/>
        <v>13.840978247999999</v>
      </c>
      <c r="AD51" s="484">
        <f t="shared" si="8"/>
        <v>14.357574575999998</v>
      </c>
      <c r="AE51" s="484">
        <f t="shared" si="8"/>
        <v>14.753226959999999</v>
      </c>
      <c r="AF51" s="484">
        <f t="shared" si="8"/>
        <v>15.20743032</v>
      </c>
      <c r="AG51" s="484">
        <f t="shared" si="8"/>
        <v>15.555094343999999</v>
      </c>
      <c r="AH51" s="484">
        <f t="shared" si="8"/>
        <v>15.795796535999997</v>
      </c>
      <c r="AI51" s="484">
        <f t="shared" si="8"/>
        <v>15.815218679999997</v>
      </c>
      <c r="AJ51" s="484">
        <f t="shared" si="8"/>
        <v>15.947174951999999</v>
      </c>
      <c r="AK51"/>
      <c r="AM51" s="255" t="s">
        <v>68</v>
      </c>
      <c r="AN51" s="255">
        <v>133.4</v>
      </c>
      <c r="AO51" s="255">
        <v>133.131</v>
      </c>
      <c r="AP51" s="255">
        <v>130.69399999999999</v>
      </c>
      <c r="AQ51" s="255">
        <v>113.712</v>
      </c>
      <c r="AR51" s="255">
        <v>117.828</v>
      </c>
    </row>
    <row r="52" spans="1:44" s="255" customFormat="1">
      <c r="A52" s="254" t="s">
        <v>71</v>
      </c>
      <c r="B52" s="506">
        <f>AN55</f>
        <v>16.847000000000001</v>
      </c>
      <c r="C52" s="506">
        <f t="shared" ref="C52:F52" si="9">AO55</f>
        <v>15.763999999999999</v>
      </c>
      <c r="D52" s="506">
        <f t="shared" si="9"/>
        <v>17.513999999999999</v>
      </c>
      <c r="E52" s="506">
        <f t="shared" si="9"/>
        <v>15.206</v>
      </c>
      <c r="F52" s="506">
        <f t="shared" si="9"/>
        <v>15.805</v>
      </c>
      <c r="G52" s="484">
        <f>G39*$AM40</f>
        <v>15.03090042</v>
      </c>
      <c r="H52" s="484">
        <f t="shared" ref="H52:AJ52" si="10">H39*$AM40</f>
        <v>15.2088597</v>
      </c>
      <c r="I52" s="484">
        <f t="shared" si="10"/>
        <v>14.656983479999999</v>
      </c>
      <c r="J52" s="484">
        <f t="shared" si="10"/>
        <v>14.683762679999999</v>
      </c>
      <c r="K52" s="484">
        <f t="shared" si="10"/>
        <v>15.1082538</v>
      </c>
      <c r="L52" s="484">
        <f t="shared" si="10"/>
        <v>15.2595648</v>
      </c>
      <c r="M52" s="484">
        <f t="shared" si="10"/>
        <v>15.019470479999999</v>
      </c>
      <c r="N52" s="484">
        <f t="shared" si="10"/>
        <v>14.53621032</v>
      </c>
      <c r="O52" s="484">
        <f t="shared" si="10"/>
        <v>14.049467459999999</v>
      </c>
      <c r="P52" s="484">
        <f t="shared" si="10"/>
        <v>13.758922139999999</v>
      </c>
      <c r="Q52" s="484">
        <f t="shared" si="10"/>
        <v>13.75892256</v>
      </c>
      <c r="R52" s="484">
        <f t="shared" si="10"/>
        <v>13.758922139999999</v>
      </c>
      <c r="S52" s="484">
        <f t="shared" si="10"/>
        <v>13.758922139999999</v>
      </c>
      <c r="T52" s="484">
        <f t="shared" si="10"/>
        <v>13.75892256</v>
      </c>
      <c r="U52" s="484">
        <f t="shared" si="10"/>
        <v>13.758922139999999</v>
      </c>
      <c r="V52" s="484">
        <f t="shared" si="10"/>
        <v>13.75892256</v>
      </c>
      <c r="W52" s="484">
        <f t="shared" si="10"/>
        <v>13.758922139999999</v>
      </c>
      <c r="X52" s="484">
        <f t="shared" si="10"/>
        <v>13.758922139999999</v>
      </c>
      <c r="Y52" s="484">
        <f t="shared" si="10"/>
        <v>13.75892256</v>
      </c>
      <c r="Z52" s="484">
        <f t="shared" si="10"/>
        <v>13.75892256</v>
      </c>
      <c r="AA52" s="484">
        <f t="shared" si="10"/>
        <v>13.75892256</v>
      </c>
      <c r="AB52" s="484">
        <f t="shared" si="10"/>
        <v>13.75892256</v>
      </c>
      <c r="AC52" s="484">
        <f t="shared" si="10"/>
        <v>13.758922139999999</v>
      </c>
      <c r="AD52" s="484">
        <f t="shared" si="10"/>
        <v>13.758922139999999</v>
      </c>
      <c r="AE52" s="484">
        <f t="shared" si="10"/>
        <v>13.758922139999999</v>
      </c>
      <c r="AF52" s="484">
        <f t="shared" si="10"/>
        <v>13.758922139999999</v>
      </c>
      <c r="AG52" s="484">
        <f t="shared" si="10"/>
        <v>13.758922139999999</v>
      </c>
      <c r="AH52" s="484">
        <f t="shared" si="10"/>
        <v>13.758922139999999</v>
      </c>
      <c r="AI52" s="484">
        <f t="shared" si="10"/>
        <v>13.758922139999999</v>
      </c>
      <c r="AJ52" s="484">
        <f t="shared" si="10"/>
        <v>13.75892256</v>
      </c>
      <c r="AK52"/>
      <c r="AM52" s="255" t="s">
        <v>69</v>
      </c>
      <c r="AN52" s="255">
        <v>1.355</v>
      </c>
      <c r="AO52" s="255">
        <v>1.1479999999999999</v>
      </c>
      <c r="AP52" s="255">
        <v>1.4379999999999999</v>
      </c>
      <c r="AQ52" s="255">
        <v>1.3120000000000001</v>
      </c>
      <c r="AR52" s="255">
        <v>1.4419999999999999</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2.379</v>
      </c>
      <c r="AO53" s="255">
        <v>3.9750000000000001</v>
      </c>
      <c r="AP53" s="255">
        <v>2.484</v>
      </c>
      <c r="AQ53" s="255">
        <v>4.6500000000000004</v>
      </c>
      <c r="AR53" s="255">
        <v>7.1280000000000001</v>
      </c>
    </row>
    <row r="54" spans="1:44" s="255" customFormat="1">
      <c r="A54" s="254" t="s">
        <v>627</v>
      </c>
      <c r="B54" s="506">
        <f>AN56</f>
        <v>1.091</v>
      </c>
      <c r="C54" s="506">
        <f t="shared" ref="C54:F54" si="11">AO56</f>
        <v>0.84599999999999997</v>
      </c>
      <c r="D54" s="506">
        <f t="shared" si="11"/>
        <v>1.01</v>
      </c>
      <c r="E54" s="506">
        <f t="shared" si="11"/>
        <v>1.161</v>
      </c>
      <c r="F54" s="506">
        <f t="shared" si="11"/>
        <v>1.129</v>
      </c>
      <c r="G54" s="484">
        <f>EIA_RE_aeo2014!G79</f>
        <v>1.4721213835472029</v>
      </c>
      <c r="H54" s="484">
        <f>EIA_RE_aeo2014!H79</f>
        <v>1.3542982506862542</v>
      </c>
      <c r="I54" s="484">
        <f>EIA_RE_aeo2014!I79</f>
        <v>1.615815111543393</v>
      </c>
      <c r="J54" s="484">
        <f>EIA_RE_aeo2014!J79</f>
        <v>1.7303201726957991</v>
      </c>
      <c r="K54" s="484">
        <f>EIA_RE_aeo2014!K79</f>
        <v>1.8728584251897646</v>
      </c>
      <c r="L54" s="484">
        <f>EIA_RE_aeo2014!L79</f>
        <v>2.1469908125523078</v>
      </c>
      <c r="M54" s="484">
        <f>EIA_RE_aeo2014!M79</f>
        <v>3.004404568984834</v>
      </c>
      <c r="N54" s="484">
        <f>EIA_RE_aeo2014!N79</f>
        <v>4.105624451317313</v>
      </c>
      <c r="O54" s="484">
        <f>EIA_RE_aeo2014!O79</f>
        <v>4.1219980683590016</v>
      </c>
      <c r="P54" s="484">
        <f>EIA_RE_aeo2014!P79</f>
        <v>4.3642963840755007</v>
      </c>
      <c r="Q54" s="484">
        <f>EIA_RE_aeo2014!Q79</f>
        <v>4.5184023613284792</v>
      </c>
      <c r="R54" s="484">
        <f>EIA_RE_aeo2014!R79</f>
        <v>4.76000327791186</v>
      </c>
      <c r="S54" s="484">
        <f>EIA_RE_aeo2014!S79</f>
        <v>5.5813950602708386</v>
      </c>
      <c r="T54" s="484">
        <f>EIA_RE_aeo2014!T79</f>
        <v>5.6259245966631433</v>
      </c>
      <c r="U54" s="484">
        <f>EIA_RE_aeo2014!U79</f>
        <v>6.0753780212685236</v>
      </c>
      <c r="V54" s="484">
        <f>EIA_RE_aeo2014!V79</f>
        <v>6.1606459074296609</v>
      </c>
      <c r="W54" s="484">
        <f>EIA_RE_aeo2014!W79</f>
        <v>6.1696962071441677</v>
      </c>
      <c r="X54" s="484">
        <f>EIA_RE_aeo2014!X79</f>
        <v>6.2865643248403904</v>
      </c>
      <c r="Y54" s="484">
        <f>EIA_RE_aeo2014!Y79</f>
        <v>6.3681589765627225</v>
      </c>
      <c r="Z54" s="484">
        <f>EIA_RE_aeo2014!Z79</f>
        <v>6.9938059698423141</v>
      </c>
      <c r="AA54" s="484">
        <f>EIA_RE_aeo2014!AA79</f>
        <v>7.4032454779242407</v>
      </c>
      <c r="AB54" s="484">
        <f>EIA_RE_aeo2014!AB79</f>
        <v>7.5531274054804882</v>
      </c>
      <c r="AC54" s="484">
        <f>EIA_RE_aeo2014!AC79</f>
        <v>7.5794172526233226</v>
      </c>
      <c r="AD54" s="484">
        <f>EIA_RE_aeo2014!AD79</f>
        <v>7.6161596080241756</v>
      </c>
      <c r="AE54" s="484">
        <f>EIA_RE_aeo2014!AE79</f>
        <v>7.6328720065022653</v>
      </c>
      <c r="AF54" s="484">
        <f>EIA_RE_aeo2014!AF79</f>
        <v>7.6123244043994323</v>
      </c>
      <c r="AG54" s="484">
        <f>EIA_RE_aeo2014!AG79</f>
        <v>7.6498059621333949</v>
      </c>
      <c r="AH54" s="484">
        <f>EIA_RE_aeo2014!AH79</f>
        <v>7.687022418216098</v>
      </c>
      <c r="AI54" s="484">
        <f>EIA_RE_aeo2014!AI79</f>
        <v>7.6846891274456413</v>
      </c>
      <c r="AJ54" s="484">
        <f>EIA_RE_aeo2014!AJ79</f>
        <v>7.7032576699342137</v>
      </c>
      <c r="AK54"/>
      <c r="AM54" s="255" t="s">
        <v>749</v>
      </c>
      <c r="AN54" s="255">
        <v>0.36</v>
      </c>
      <c r="AO54" s="255">
        <v>0.28899999999999998</v>
      </c>
      <c r="AP54" s="255">
        <v>0.26100000000000001</v>
      </c>
      <c r="AQ54" s="255">
        <v>3.6999999999999998E-2</v>
      </c>
      <c r="AR54" s="255">
        <v>0.254</v>
      </c>
    </row>
    <row r="55" spans="1:44" s="255" customFormat="1">
      <c r="A55" s="254" t="s">
        <v>628</v>
      </c>
      <c r="B55" s="506">
        <f>AN58</f>
        <v>3.0000000000000001E-3</v>
      </c>
      <c r="C55" s="506">
        <f t="shared" ref="C55:F55" si="12">AO58</f>
        <v>3.0000000000000001E-3</v>
      </c>
      <c r="D55" s="506">
        <f t="shared" si="12"/>
        <v>1.0999999999999999E-2</v>
      </c>
      <c r="E55" s="506">
        <f t="shared" si="12"/>
        <v>1.0999999999999999E-2</v>
      </c>
      <c r="F55" s="506">
        <f t="shared" si="12"/>
        <v>1.2E-2</v>
      </c>
      <c r="G55" s="484">
        <f>G40*$AM43</f>
        <v>4.4386930559011132E-3</v>
      </c>
      <c r="H55" s="484">
        <f t="shared" ref="H55:AJ55" si="13">H40*$AM43</f>
        <v>4.6469208961338951E-3</v>
      </c>
      <c r="I55" s="484">
        <f t="shared" si="13"/>
        <v>4.9038627885772002E-3</v>
      </c>
      <c r="J55" s="484">
        <f t="shared" si="13"/>
        <v>4.9077963196817714E-3</v>
      </c>
      <c r="K55" s="484">
        <f t="shared" si="13"/>
        <v>4.917677634740234E-3</v>
      </c>
      <c r="L55" s="484">
        <f t="shared" si="13"/>
        <v>4.9381011297409258E-3</v>
      </c>
      <c r="M55" s="484">
        <f t="shared" si="13"/>
        <v>4.9447533086008676E-3</v>
      </c>
      <c r="N55" s="484">
        <f t="shared" si="13"/>
        <v>4.9546781536816149E-3</v>
      </c>
      <c r="O55" s="484">
        <f t="shared" si="13"/>
        <v>4.962735165078903E-3</v>
      </c>
      <c r="P55" s="484">
        <f t="shared" si="13"/>
        <v>4.9676303139484746E-3</v>
      </c>
      <c r="Q55" s="484">
        <f t="shared" si="13"/>
        <v>4.969035146485821E-3</v>
      </c>
      <c r="R55" s="484">
        <f t="shared" si="13"/>
        <v>4.9715440586792789E-3</v>
      </c>
      <c r="S55" s="484">
        <f t="shared" si="13"/>
        <v>4.9715440586792789E-3</v>
      </c>
      <c r="T55" s="484">
        <f t="shared" si="13"/>
        <v>4.9715440586792789E-3</v>
      </c>
      <c r="U55" s="484">
        <f t="shared" si="13"/>
        <v>4.9736572433974292E-3</v>
      </c>
      <c r="V55" s="484">
        <f t="shared" si="13"/>
        <v>4.9761898992394058E-3</v>
      </c>
      <c r="W55" s="484">
        <f t="shared" si="13"/>
        <v>4.9769457387172453E-3</v>
      </c>
      <c r="X55" s="484">
        <f t="shared" si="13"/>
        <v>4.9775591163039737E-3</v>
      </c>
      <c r="Y55" s="484">
        <f t="shared" si="13"/>
        <v>4.9799097375073089E-3</v>
      </c>
      <c r="Z55" s="484">
        <f t="shared" si="13"/>
        <v>4.9806497478861369E-3</v>
      </c>
      <c r="AA55" s="484">
        <f t="shared" si="13"/>
        <v>4.9812077236263226E-3</v>
      </c>
      <c r="AB55" s="484">
        <f t="shared" si="13"/>
        <v>4.9839738586787315E-3</v>
      </c>
      <c r="AC55" s="484">
        <f t="shared" si="13"/>
        <v>4.9846149371887321E-3</v>
      </c>
      <c r="AD55" s="484">
        <f t="shared" si="13"/>
        <v>4.9871080202831776E-3</v>
      </c>
      <c r="AE55" s="484">
        <f t="shared" si="13"/>
        <v>4.9880498516744129E-3</v>
      </c>
      <c r="AF55" s="484">
        <f t="shared" si="13"/>
        <v>4.9887384174814508E-3</v>
      </c>
      <c r="AG55" s="484">
        <f t="shared" si="13"/>
        <v>4.9913818770165137E-3</v>
      </c>
      <c r="AH55" s="484">
        <f t="shared" si="13"/>
        <v>4.9924345121008353E-3</v>
      </c>
      <c r="AI55" s="484">
        <f t="shared" si="13"/>
        <v>4.9931586933806508E-3</v>
      </c>
      <c r="AJ55" s="484">
        <f t="shared" si="13"/>
        <v>4.9958298538389859E-3</v>
      </c>
      <c r="AK55"/>
      <c r="AM55" s="255" t="s">
        <v>225</v>
      </c>
      <c r="AN55" s="255">
        <v>16.847000000000001</v>
      </c>
      <c r="AO55" s="255">
        <v>15.763999999999999</v>
      </c>
      <c r="AP55" s="255">
        <v>17.513999999999999</v>
      </c>
      <c r="AQ55" s="255">
        <v>15.206</v>
      </c>
      <c r="AR55" s="255">
        <v>15.805</v>
      </c>
    </row>
    <row r="56" spans="1:44" s="255" customFormat="1">
      <c r="A56" s="254" t="s">
        <v>82</v>
      </c>
      <c r="B56" s="506">
        <f>AN59</f>
        <v>155.434</v>
      </c>
      <c r="C56" s="506">
        <f t="shared" ref="C56" si="14">AO59</f>
        <v>155.15600000000001</v>
      </c>
      <c r="D56" s="506">
        <f t="shared" ref="D56" si="15">AP59</f>
        <v>153.41200000000001</v>
      </c>
      <c r="E56" s="506">
        <f t="shared" ref="E56" si="16">AQ59</f>
        <v>136.09</v>
      </c>
      <c r="F56" s="506">
        <f t="shared" ref="F56" si="17">AR59</f>
        <v>143.59800000000001</v>
      </c>
      <c r="G56" s="535">
        <f>G58</f>
        <v>146.73728023506945</v>
      </c>
      <c r="H56" s="535">
        <f t="shared" ref="H56:AJ56" si="18">H58</f>
        <v>130.68863420819565</v>
      </c>
      <c r="I56" s="535">
        <f t="shared" si="18"/>
        <v>143.79531300471695</v>
      </c>
      <c r="J56" s="535">
        <f t="shared" si="18"/>
        <v>143.55309184099019</v>
      </c>
      <c r="K56" s="535">
        <f t="shared" si="18"/>
        <v>142.28445086790865</v>
      </c>
      <c r="L56" s="535">
        <f t="shared" si="18"/>
        <v>142.88657777310996</v>
      </c>
      <c r="M56" s="535">
        <f t="shared" si="18"/>
        <v>145.68971959000817</v>
      </c>
      <c r="N56" s="535">
        <f t="shared" si="18"/>
        <v>147.964535144943</v>
      </c>
      <c r="O56" s="535">
        <f t="shared" si="18"/>
        <v>148.7035013472676</v>
      </c>
      <c r="P56" s="535">
        <f t="shared" si="18"/>
        <v>149.2590381105471</v>
      </c>
      <c r="Q56" s="535">
        <f t="shared" si="18"/>
        <v>150.08642676989174</v>
      </c>
      <c r="R56" s="535">
        <f t="shared" si="18"/>
        <v>150.88954649775343</v>
      </c>
      <c r="S56" s="535">
        <f t="shared" si="18"/>
        <v>152.06318463726814</v>
      </c>
      <c r="T56" s="535">
        <f t="shared" si="18"/>
        <v>152.57807227402944</v>
      </c>
      <c r="U56" s="535">
        <f t="shared" si="18"/>
        <v>153.28358587983053</v>
      </c>
      <c r="V56" s="535">
        <f t="shared" si="18"/>
        <v>153.93323963663687</v>
      </c>
      <c r="W56" s="535">
        <f t="shared" si="18"/>
        <v>154.22358971328316</v>
      </c>
      <c r="X56" s="535">
        <f t="shared" si="18"/>
        <v>154.23591467762031</v>
      </c>
      <c r="Y56" s="535">
        <f t="shared" si="18"/>
        <v>154.43541873557237</v>
      </c>
      <c r="Z56" s="535">
        <f t="shared" si="18"/>
        <v>154.40922697334082</v>
      </c>
      <c r="AA56" s="535">
        <f t="shared" si="18"/>
        <v>155.09478668609634</v>
      </c>
      <c r="AB56" s="535">
        <f t="shared" si="18"/>
        <v>155.64668162042298</v>
      </c>
      <c r="AC56" s="535">
        <f t="shared" si="18"/>
        <v>156.24284878608884</v>
      </c>
      <c r="AD56" s="535">
        <f t="shared" si="18"/>
        <v>156.73739467165137</v>
      </c>
      <c r="AE56" s="535">
        <f t="shared" si="18"/>
        <v>157.07209835125767</v>
      </c>
      <c r="AF56" s="535">
        <f t="shared" si="18"/>
        <v>157.4447089388965</v>
      </c>
      <c r="AG56" s="535">
        <f t="shared" si="18"/>
        <v>157.71107011899247</v>
      </c>
      <c r="AH56" s="535">
        <f t="shared" si="18"/>
        <v>157.87745298397058</v>
      </c>
      <c r="AI56" s="535">
        <f t="shared" si="18"/>
        <v>157.82353008093378</v>
      </c>
      <c r="AJ56" s="535">
        <f t="shared" si="18"/>
        <v>157.89316950071083</v>
      </c>
      <c r="AK56"/>
      <c r="AM56" s="255" t="s">
        <v>378</v>
      </c>
      <c r="AN56" s="255">
        <v>1.091</v>
      </c>
      <c r="AO56" s="255">
        <v>0.84599999999999997</v>
      </c>
      <c r="AP56" s="255">
        <v>1.01</v>
      </c>
      <c r="AQ56" s="255">
        <v>1.161</v>
      </c>
      <c r="AR56" s="255">
        <v>1.129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v>
      </c>
      <c r="AO57" s="255">
        <v>0</v>
      </c>
      <c r="AP57" s="255">
        <v>0</v>
      </c>
      <c r="AQ57" s="255">
        <v>0</v>
      </c>
      <c r="AR57" s="255">
        <v>0</v>
      </c>
    </row>
    <row r="58" spans="1:44" s="255" customFormat="1">
      <c r="A58" s="254" t="s">
        <v>83</v>
      </c>
      <c r="B58" s="483">
        <f>SUM(B49:B52,B54,B55)</f>
        <v>155.07499999999999</v>
      </c>
      <c r="C58" s="483">
        <f t="shared" ref="C58:AJ58" si="19">SUM(C49:C52,C54,C55)</f>
        <v>154.86699999999999</v>
      </c>
      <c r="D58" s="483">
        <f t="shared" si="19"/>
        <v>153.15099999999998</v>
      </c>
      <c r="E58" s="483">
        <f t="shared" si="19"/>
        <v>136.05199999999999</v>
      </c>
      <c r="F58" s="483">
        <f t="shared" si="19"/>
        <v>143.34399999999999</v>
      </c>
      <c r="G58" s="483">
        <f t="shared" si="19"/>
        <v>146.73728023506945</v>
      </c>
      <c r="H58" s="483">
        <f t="shared" si="19"/>
        <v>130.68863420819565</v>
      </c>
      <c r="I58" s="483">
        <f t="shared" si="19"/>
        <v>143.79531300471695</v>
      </c>
      <c r="J58" s="483">
        <f t="shared" si="19"/>
        <v>143.55309184099019</v>
      </c>
      <c r="K58" s="483">
        <f t="shared" si="19"/>
        <v>142.28445086790865</v>
      </c>
      <c r="L58" s="483">
        <f t="shared" si="19"/>
        <v>142.88657777310996</v>
      </c>
      <c r="M58" s="483">
        <f t="shared" si="19"/>
        <v>145.68971959000817</v>
      </c>
      <c r="N58" s="483">
        <f t="shared" si="19"/>
        <v>147.964535144943</v>
      </c>
      <c r="O58" s="483">
        <f t="shared" si="19"/>
        <v>148.7035013472676</v>
      </c>
      <c r="P58" s="483">
        <f t="shared" si="19"/>
        <v>149.2590381105471</v>
      </c>
      <c r="Q58" s="483">
        <f t="shared" si="19"/>
        <v>150.08642676989174</v>
      </c>
      <c r="R58" s="483">
        <f t="shared" si="19"/>
        <v>150.88954649775343</v>
      </c>
      <c r="S58" s="483">
        <f t="shared" si="19"/>
        <v>152.06318463726814</v>
      </c>
      <c r="T58" s="483">
        <f t="shared" si="19"/>
        <v>152.57807227402944</v>
      </c>
      <c r="U58" s="483">
        <f t="shared" si="19"/>
        <v>153.28358587983053</v>
      </c>
      <c r="V58" s="483">
        <f t="shared" si="19"/>
        <v>153.93323963663687</v>
      </c>
      <c r="W58" s="483">
        <f t="shared" si="19"/>
        <v>154.22358971328316</v>
      </c>
      <c r="X58" s="483">
        <f t="shared" si="19"/>
        <v>154.23591467762031</v>
      </c>
      <c r="Y58" s="483">
        <f t="shared" si="19"/>
        <v>154.43541873557237</v>
      </c>
      <c r="Z58" s="483">
        <f t="shared" si="19"/>
        <v>154.40922697334082</v>
      </c>
      <c r="AA58" s="483">
        <f t="shared" si="19"/>
        <v>155.09478668609634</v>
      </c>
      <c r="AB58" s="483">
        <f t="shared" si="19"/>
        <v>155.64668162042298</v>
      </c>
      <c r="AC58" s="483">
        <f t="shared" si="19"/>
        <v>156.24284878608884</v>
      </c>
      <c r="AD58" s="483">
        <f t="shared" si="19"/>
        <v>156.73739467165137</v>
      </c>
      <c r="AE58" s="483">
        <f t="shared" si="19"/>
        <v>157.07209835125767</v>
      </c>
      <c r="AF58" s="483">
        <f t="shared" si="19"/>
        <v>157.4447089388965</v>
      </c>
      <c r="AG58" s="483">
        <f t="shared" si="19"/>
        <v>157.71107011899247</v>
      </c>
      <c r="AH58" s="483">
        <f t="shared" si="19"/>
        <v>157.87745298397058</v>
      </c>
      <c r="AI58" s="483">
        <f t="shared" si="19"/>
        <v>157.82353008093378</v>
      </c>
      <c r="AJ58" s="483">
        <f t="shared" si="19"/>
        <v>157.89316950071083</v>
      </c>
      <c r="AK58" s="490">
        <v>8.9999999999999993E-3</v>
      </c>
      <c r="AM58" s="255" t="s">
        <v>743</v>
      </c>
      <c r="AN58" s="255">
        <v>3.0000000000000001E-3</v>
      </c>
      <c r="AO58" s="255">
        <v>3.0000000000000001E-3</v>
      </c>
      <c r="AP58" s="255">
        <v>1.0999999999999999E-2</v>
      </c>
      <c r="AQ58" s="255">
        <v>1.0999999999999999E-2</v>
      </c>
      <c r="AR58" s="255">
        <v>1.2E-2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155.434</v>
      </c>
      <c r="AO59" s="5">
        <v>155.15600000000001</v>
      </c>
      <c r="AP59" s="5">
        <v>153.41200000000001</v>
      </c>
      <c r="AQ59" s="5">
        <v>136.09</v>
      </c>
      <c r="AR59" s="5">
        <v>143.59800000000001</v>
      </c>
    </row>
    <row r="60" spans="1:44" s="274" customFormat="1">
      <c r="A60" s="273" t="s">
        <v>331</v>
      </c>
      <c r="B60" s="367"/>
      <c r="C60" s="367"/>
      <c r="D60" s="367"/>
      <c r="E60" s="367">
        <f>E49/SUM(E49,E51)</f>
        <v>0.96071374258630304</v>
      </c>
      <c r="F60" s="367">
        <f t="shared" ref="F60:AJ60" si="20">F49/SUM(F49,F51)</f>
        <v>0.94295592048401033</v>
      </c>
      <c r="G60" s="324">
        <f t="shared" si="20"/>
        <v>0.9451288559304335</v>
      </c>
      <c r="H60" s="324">
        <f t="shared" si="20"/>
        <v>0.91097252962103081</v>
      </c>
      <c r="I60" s="324">
        <f t="shared" si="20"/>
        <v>0.93551852996989604</v>
      </c>
      <c r="J60" s="324">
        <f t="shared" si="20"/>
        <v>0.93781351388712519</v>
      </c>
      <c r="K60" s="324">
        <f t="shared" si="20"/>
        <v>0.93023044045620829</v>
      </c>
      <c r="L60" s="324">
        <f t="shared" si="20"/>
        <v>0.9200437102856065</v>
      </c>
      <c r="M60" s="324">
        <f t="shared" si="20"/>
        <v>0.91923602645151303</v>
      </c>
      <c r="N60" s="324">
        <f t="shared" si="20"/>
        <v>0.91834846365492795</v>
      </c>
      <c r="O60" s="324">
        <f t="shared" si="20"/>
        <v>0.91783208754120404</v>
      </c>
      <c r="P60" s="324">
        <f t="shared" si="20"/>
        <v>0.91751893651584415</v>
      </c>
      <c r="Q60" s="324">
        <f t="shared" si="20"/>
        <v>0.91949358063252051</v>
      </c>
      <c r="R60" s="324">
        <f t="shared" si="20"/>
        <v>0.91871573832120834</v>
      </c>
      <c r="S60" s="324">
        <f t="shared" si="20"/>
        <v>0.9157103119998401</v>
      </c>
      <c r="T60" s="324">
        <f t="shared" si="20"/>
        <v>0.91639980227375017</v>
      </c>
      <c r="U60" s="324">
        <f t="shared" si="20"/>
        <v>0.91652374194368125</v>
      </c>
      <c r="V60" s="324">
        <f t="shared" si="20"/>
        <v>0.91229868698126138</v>
      </c>
      <c r="W60" s="324">
        <f t="shared" si="20"/>
        <v>0.9109378873650783</v>
      </c>
      <c r="X60" s="324">
        <f t="shared" si="20"/>
        <v>0.9114271531083441</v>
      </c>
      <c r="Y60" s="324">
        <f t="shared" si="20"/>
        <v>0.9103079736318036</v>
      </c>
      <c r="Z60" s="324">
        <f t="shared" si="20"/>
        <v>0.91064046340335059</v>
      </c>
      <c r="AA60" s="324">
        <f t="shared" si="20"/>
        <v>0.90575270707345246</v>
      </c>
      <c r="AB60" s="324">
        <f t="shared" si="20"/>
        <v>0.90145590791938013</v>
      </c>
      <c r="AC60" s="324">
        <f t="shared" si="20"/>
        <v>0.89683013558032121</v>
      </c>
      <c r="AD60" s="324">
        <f t="shared" si="20"/>
        <v>0.89334257536165429</v>
      </c>
      <c r="AE60" s="324">
        <f t="shared" si="20"/>
        <v>0.8906621639583161</v>
      </c>
      <c r="AF60" s="324">
        <f t="shared" si="20"/>
        <v>0.88762386569258522</v>
      </c>
      <c r="AG60" s="324">
        <f t="shared" si="20"/>
        <v>0.88524906590300101</v>
      </c>
      <c r="AH60" s="324">
        <f t="shared" si="20"/>
        <v>0.88358475542728243</v>
      </c>
      <c r="AI60" s="324">
        <f t="shared" si="20"/>
        <v>0.88339678890043349</v>
      </c>
      <c r="AJ60" s="324">
        <f t="shared" si="20"/>
        <v>0.88246871022563278</v>
      </c>
      <c r="AK60" s="324"/>
      <c r="AL60" s="274" t="s">
        <v>0</v>
      </c>
    </row>
    <row r="61" spans="1:44" s="265" customFormat="1">
      <c r="A61" s="262" t="s">
        <v>107</v>
      </c>
      <c r="B61" s="358">
        <f>B54/B58</f>
        <v>7.0353054973399968E-3</v>
      </c>
      <c r="C61" s="358">
        <f t="shared" ref="C61:AJ61" si="21">C54/C58</f>
        <v>5.4627519097031644E-3</v>
      </c>
      <c r="D61" s="358">
        <f t="shared" si="21"/>
        <v>6.5947985974626356E-3</v>
      </c>
      <c r="E61" s="358">
        <f t="shared" si="21"/>
        <v>8.5335018963337561E-3</v>
      </c>
      <c r="F61" s="358">
        <f t="shared" si="21"/>
        <v>7.8761580533541695E-3</v>
      </c>
      <c r="G61" s="309">
        <f t="shared" si="21"/>
        <v>1.0032361109521052E-2</v>
      </c>
      <c r="H61" s="309">
        <f t="shared" si="21"/>
        <v>1.0362785248247124E-2</v>
      </c>
      <c r="I61" s="309">
        <f t="shared" si="21"/>
        <v>1.1236910840691929E-2</v>
      </c>
      <c r="J61" s="309">
        <f t="shared" si="21"/>
        <v>1.2053520760196702E-2</v>
      </c>
      <c r="K61" s="309">
        <f t="shared" si="21"/>
        <v>1.3162776492903315E-2</v>
      </c>
      <c r="L61" s="309">
        <f t="shared" si="21"/>
        <v>1.5025839697564323E-2</v>
      </c>
      <c r="M61" s="309">
        <f t="shared" si="21"/>
        <v>2.0621939402722861E-2</v>
      </c>
      <c r="N61" s="309">
        <f t="shared" si="21"/>
        <v>2.7747354778599669E-2</v>
      </c>
      <c r="O61" s="309">
        <f t="shared" si="21"/>
        <v>2.7719576412211646E-2</v>
      </c>
      <c r="P61" s="309">
        <f t="shared" si="21"/>
        <v>2.9239746144170724E-2</v>
      </c>
      <c r="Q61" s="309">
        <f t="shared" si="21"/>
        <v>3.010533636233452E-2</v>
      </c>
      <c r="R61" s="309">
        <f t="shared" si="21"/>
        <v>3.154627599058183E-2</v>
      </c>
      <c r="S61" s="309">
        <f t="shared" si="21"/>
        <v>3.6704446731039543E-2</v>
      </c>
      <c r="T61" s="309">
        <f t="shared" si="21"/>
        <v>3.6872432013422031E-2</v>
      </c>
      <c r="U61" s="309">
        <f t="shared" si="21"/>
        <v>3.9634889713706378E-2</v>
      </c>
      <c r="V61" s="309">
        <f t="shared" si="21"/>
        <v>4.0021543897679375E-2</v>
      </c>
      <c r="W61" s="309">
        <f t="shared" si="21"/>
        <v>4.0004880048598535E-2</v>
      </c>
      <c r="X61" s="309">
        <f t="shared" si="21"/>
        <v>4.0759406380675961E-2</v>
      </c>
      <c r="Y61" s="309">
        <f t="shared" si="21"/>
        <v>4.1235093793260083E-2</v>
      </c>
      <c r="Z61" s="309">
        <f t="shared" si="21"/>
        <v>4.5293964013237459E-2</v>
      </c>
      <c r="AA61" s="309">
        <f t="shared" si="21"/>
        <v>4.7733683614446812E-2</v>
      </c>
      <c r="AB61" s="309">
        <f t="shared" si="21"/>
        <v>4.8527391183966075E-2</v>
      </c>
      <c r="AC61" s="309">
        <f t="shared" si="21"/>
        <v>4.8510490633720191E-2</v>
      </c>
      <c r="AD61" s="309">
        <f t="shared" si="21"/>
        <v>4.8591847682419642E-2</v>
      </c>
      <c r="AE61" s="309">
        <f t="shared" si="21"/>
        <v>4.8594703238973753E-2</v>
      </c>
      <c r="AF61" s="309">
        <f t="shared" si="21"/>
        <v>4.8349191634974135E-2</v>
      </c>
      <c r="AG61" s="309">
        <f t="shared" si="21"/>
        <v>4.850519342974239E-2</v>
      </c>
      <c r="AH61" s="309">
        <f t="shared" si="21"/>
        <v>4.8689805117368895E-2</v>
      </c>
      <c r="AI61" s="309">
        <f t="shared" si="21"/>
        <v>4.8691656583177687E-2</v>
      </c>
      <c r="AJ61" s="309">
        <f t="shared" si="21"/>
        <v>4.8787782867957021E-2</v>
      </c>
      <c r="AK61" s="309"/>
    </row>
    <row r="62" spans="1:44" s="275" customFormat="1">
      <c r="A62" s="264" t="s">
        <v>108</v>
      </c>
      <c r="B62" s="368">
        <f>(B54-EIA_RE_aeo2014!B73)/B56</f>
        <v>2.9530218613688123E-3</v>
      </c>
      <c r="C62" s="368">
        <f>(C54-EIA_RE_aeo2014!C73)/C56</f>
        <v>2.8100750212689163E-3</v>
      </c>
      <c r="D62" s="368">
        <f>(D54-EIA_RE_aeo2014!D73)/D56</f>
        <v>4.0674784241128466E-3</v>
      </c>
      <c r="E62" s="368">
        <f>(E54-EIA_RE_aeo2014!E73)/E56</f>
        <v>4.6513336762436623E-3</v>
      </c>
      <c r="F62" s="368">
        <f>(F54-EIA_RE_aeo2014!F73)/F56</f>
        <v>4.8747197036170409E-3</v>
      </c>
      <c r="G62" s="325">
        <f>(G54-EIA_RE_aeo2014!G73)/G56</f>
        <v>5.3514060740014243E-3</v>
      </c>
      <c r="H62" s="325">
        <f>(H54-EIA_RE_aeo2014!H73)/H56</f>
        <v>6.2393447208207034E-3</v>
      </c>
      <c r="I62" s="325">
        <f>(I54-EIA_RE_aeo2014!I73)/I56</f>
        <v>6.4253575888754749E-3</v>
      </c>
      <c r="J62" s="325">
        <f>(J54-EIA_RE_aeo2014!J73)/J56</f>
        <v>6.8925347193645259E-3</v>
      </c>
      <c r="K62" s="325">
        <f>(K54-EIA_RE_aeo2014!K73)/K56</f>
        <v>7.6359589506390544E-3</v>
      </c>
      <c r="L62" s="325">
        <f>(L54-EIA_RE_aeo2014!L73)/L56</f>
        <v>9.4249136762429558E-3</v>
      </c>
      <c r="M62" s="325">
        <f>(M54-EIA_RE_aeo2014!M73)/M56</f>
        <v>1.4571146281767405E-2</v>
      </c>
      <c r="N62" s="325">
        <f>(N54-EIA_RE_aeo2014!N73)/N56</f>
        <v>2.1789586910606073E-2</v>
      </c>
      <c r="O62" s="325">
        <f>(O54-EIA_RE_aeo2014!O73)/O56</f>
        <v>2.179141503670716E-2</v>
      </c>
      <c r="P62" s="325">
        <f>(P54-EIA_RE_aeo2014!P73)/P56</f>
        <v>2.3333649640312034E-2</v>
      </c>
      <c r="Q62" s="325">
        <f>(Q54-EIA_RE_aeo2014!Q73)/Q56</f>
        <v>2.416046211686099E-2</v>
      </c>
      <c r="R62" s="325">
        <f>(R54-EIA_RE_aeo2014!R73)/R56</f>
        <v>2.5633043736863297E-2</v>
      </c>
      <c r="S62" s="325">
        <f>(S54-EIA_RE_aeo2014!S73)/S56</f>
        <v>3.0590227941763286E-2</v>
      </c>
      <c r="T62" s="325">
        <f>(T54-EIA_RE_aeo2014!T73)/T56</f>
        <v>3.0778846173665532E-2</v>
      </c>
      <c r="U62" s="325">
        <f>(U54-EIA_RE_aeo2014!U73)/U56</f>
        <v>3.3569350632468672E-2</v>
      </c>
      <c r="V62" s="325">
        <f>(V54-EIA_RE_aeo2014!V73)/V56</f>
        <v>3.3981603577700005E-2</v>
      </c>
      <c r="W62" s="325">
        <f>(W54-EIA_RE_aeo2014!W73)/W56</f>
        <v>3.3976310862815336E-2</v>
      </c>
      <c r="X62" s="325">
        <f>(X54-EIA_RE_aeo2014!X73)/X56</f>
        <v>3.4692342123660354E-2</v>
      </c>
      <c r="Y62" s="325">
        <f>(Y54-EIA_RE_aeo2014!Y73)/Y56</f>
        <v>3.5175867142080243E-2</v>
      </c>
      <c r="Z62" s="325">
        <f>(Z54-EIA_RE_aeo2014!Z73)/Z56</f>
        <v>3.920837272419056E-2</v>
      </c>
      <c r="AA62" s="325">
        <f>(AA54-EIA_RE_aeo2014!AK73)/AA56</f>
        <v>4.7733683614446812E-2</v>
      </c>
      <c r="AB62" s="325">
        <f>(AB54-EIA_RE_aeo2014!AL73)/AB56</f>
        <v>4.8527391183966075E-2</v>
      </c>
      <c r="AC62" s="325">
        <f>(AC54-EIA_RE_aeo2014!AM73)/AC56</f>
        <v>4.8510490633720191E-2</v>
      </c>
      <c r="AD62" s="325">
        <f>(AD54-EIA_RE_aeo2014!AN73)/AD56</f>
        <v>4.4559625497509817E-2</v>
      </c>
      <c r="AE62" s="325">
        <f>(AE54-EIA_RE_aeo2014!AO73)/AE56</f>
        <v>4.5984436970784456E-2</v>
      </c>
      <c r="AF62" s="325">
        <f>(AF54-EIA_RE_aeo2014!AP73)/AF56</f>
        <v>4.5897537320253375E-2</v>
      </c>
      <c r="AG62" s="325">
        <f>(AG54-EIA_RE_aeo2014!AQ73)/AG56</f>
        <v>4.5157299083444284E-2</v>
      </c>
      <c r="AH62" s="325">
        <f>(AH54-EIA_RE_aeo2014!AR73)/AH56</f>
        <v>4.5972507669939482E-2</v>
      </c>
      <c r="AI62" s="325">
        <f>(AI54-EIA_RE_aeo2014!AS73)/AI56</f>
        <v>4.8691656583177687E-2</v>
      </c>
      <c r="AJ62" s="325">
        <f>(AJ54-EIA_RE_aeo2014!AT73)/AJ56</f>
        <v>4.8787782867957021E-2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0.69924320006224261</v>
      </c>
      <c r="H64" s="481">
        <f t="shared" ref="H64:O64" si="22">H63/1000/H58</f>
        <v>1.2500013466339785</v>
      </c>
      <c r="I64" s="481">
        <f t="shared" si="22"/>
        <v>1.5715024283481847</v>
      </c>
      <c r="J64" s="481">
        <f t="shared" si="22"/>
        <v>2.0173147770078881</v>
      </c>
      <c r="K64" s="481">
        <f t="shared" si="22"/>
        <v>2.520087544652942</v>
      </c>
      <c r="L64" s="481">
        <f t="shared" si="22"/>
        <v>2.9954224757319863</v>
      </c>
      <c r="M64" s="481">
        <f t="shared" si="22"/>
        <v>3.4285822926812592</v>
      </c>
      <c r="N64" s="481">
        <f t="shared" si="22"/>
        <v>3.8618280672071523</v>
      </c>
      <c r="O64" s="481">
        <f t="shared" si="22"/>
        <v>4.3212312678729496</v>
      </c>
      <c r="P64" s="481">
        <f t="shared" ref="P64" si="23">P63/1000/P58</f>
        <v>4.7756188271967117</v>
      </c>
      <c r="Q64" s="481">
        <f t="shared" ref="Q64" si="24">Q63/1000/Q58</f>
        <v>5.2365265376526562</v>
      </c>
      <c r="R64" s="481">
        <f t="shared" ref="R64" si="25">R63/1000/R58</f>
        <v>5.7091803300291994</v>
      </c>
      <c r="S64" s="481">
        <f t="shared" ref="S64" si="26">S63/1000/S58</f>
        <v>6.1811861036062972</v>
      </c>
      <c r="T64" s="481">
        <f t="shared" ref="T64" si="27">T63/1000/T58</f>
        <v>6.6761553024509137</v>
      </c>
      <c r="U64" s="481">
        <f t="shared" ref="U64" si="28">U63/1000/U58</f>
        <v>7.1541460421581604</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0.78764891317171282</v>
      </c>
      <c r="I65" s="481">
        <f t="shared" si="29"/>
        <v>0.25720058828732367</v>
      </c>
      <c r="J65" s="481">
        <f t="shared" si="29"/>
        <v>0.28368543415379854</v>
      </c>
      <c r="K65" s="481">
        <f t="shared" si="29"/>
        <v>0.24922871401892677</v>
      </c>
      <c r="L65" s="481">
        <f t="shared" si="29"/>
        <v>0.18861842005750865</v>
      </c>
      <c r="M65" s="481">
        <f t="shared" si="29"/>
        <v>0.14460725338699426</v>
      </c>
      <c r="N65" s="481">
        <f t="shared" si="29"/>
        <v>0.12636295049726842</v>
      </c>
      <c r="O65" s="481">
        <f t="shared" si="29"/>
        <v>0.1189600346444306</v>
      </c>
      <c r="P65" s="481">
        <f t="shared" si="29"/>
        <v>0.10515233533136642</v>
      </c>
      <c r="Q65" s="481">
        <f t="shared" si="29"/>
        <v>9.6512667181710005E-2</v>
      </c>
      <c r="R65" s="481">
        <f t="shared" si="29"/>
        <v>9.0260937088350313E-2</v>
      </c>
      <c r="S65" s="481">
        <f t="shared" si="29"/>
        <v>8.2674875602446365E-2</v>
      </c>
      <c r="T65" s="481">
        <f t="shared" si="29"/>
        <v>8.0076734553556975E-2</v>
      </c>
      <c r="U65" s="481">
        <f t="shared" si="29"/>
        <v>7.1596707693688519E-2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0.10863775592455265</v>
      </c>
      <c r="C66" s="369">
        <f t="shared" ref="C66:AJ66" si="30">C52/C58</f>
        <v>0.10179056868151382</v>
      </c>
      <c r="D66" s="369">
        <f t="shared" si="30"/>
        <v>0.1143577253821392</v>
      </c>
      <c r="E66" s="369">
        <f t="shared" si="30"/>
        <v>0.11176608943639198</v>
      </c>
      <c r="F66" s="369">
        <f t="shared" si="30"/>
        <v>0.11025923652193326</v>
      </c>
      <c r="G66" s="326">
        <f t="shared" si="30"/>
        <v>0.10243409442999675</v>
      </c>
      <c r="H66" s="326">
        <f t="shared" si="30"/>
        <v>0.11637476963582984</v>
      </c>
      <c r="I66" s="326">
        <f t="shared" si="30"/>
        <v>0.10192949390164896</v>
      </c>
      <c r="J66" s="326">
        <f t="shared" si="30"/>
        <v>0.10228802801589811</v>
      </c>
      <c r="K66" s="326">
        <f t="shared" si="30"/>
        <v>0.10618344947633045</v>
      </c>
      <c r="L66" s="326">
        <f t="shared" si="30"/>
        <v>0.10679494909753322</v>
      </c>
      <c r="M66" s="326">
        <f t="shared" si="30"/>
        <v>0.10309217783016503</v>
      </c>
      <c r="N66" s="326">
        <f t="shared" si="30"/>
        <v>9.8241178575397339E-2</v>
      </c>
      <c r="O66" s="326">
        <f t="shared" si="30"/>
        <v>9.4479735397690792E-2</v>
      </c>
      <c r="P66" s="326">
        <f t="shared" si="30"/>
        <v>9.218150079333623E-2</v>
      </c>
      <c r="Q66" s="326">
        <f t="shared" si="30"/>
        <v>9.167333020123658E-2</v>
      </c>
      <c r="R66" s="326">
        <f t="shared" si="30"/>
        <v>9.1185389971364605E-2</v>
      </c>
      <c r="S66" s="326">
        <f t="shared" si="30"/>
        <v>9.0481612448276433E-2</v>
      </c>
      <c r="T66" s="326">
        <f t="shared" si="30"/>
        <v>9.0176277330919777E-2</v>
      </c>
      <c r="U66" s="326">
        <f t="shared" si="30"/>
        <v>8.9761223036539328E-2</v>
      </c>
      <c r="V66" s="326">
        <f t="shared" si="30"/>
        <v>8.9382401049170862E-2</v>
      </c>
      <c r="W66" s="326">
        <f t="shared" si="30"/>
        <v>8.9214121948394468E-2</v>
      </c>
      <c r="X66" s="326">
        <f t="shared" si="30"/>
        <v>8.9206992863876886E-2</v>
      </c>
      <c r="Y66" s="326">
        <f t="shared" si="30"/>
        <v>8.9091755457718691E-2</v>
      </c>
      <c r="Z66" s="326">
        <f t="shared" si="30"/>
        <v>8.910686770276699E-2</v>
      </c>
      <c r="AA66" s="326">
        <f t="shared" si="30"/>
        <v>8.8712991932135887E-2</v>
      </c>
      <c r="AB66" s="326">
        <f t="shared" si="30"/>
        <v>8.8398431734985614E-2</v>
      </c>
      <c r="AC66" s="326">
        <f t="shared" si="30"/>
        <v>8.8061132057552644E-2</v>
      </c>
      <c r="AD66" s="326">
        <f t="shared" si="30"/>
        <v>8.7783277046447769E-2</v>
      </c>
      <c r="AE66" s="326">
        <f t="shared" si="30"/>
        <v>8.7596220362646179E-2</v>
      </c>
      <c r="AF66" s="326">
        <f t="shared" si="30"/>
        <v>8.7388914068492252E-2</v>
      </c>
      <c r="AG66" s="326">
        <f t="shared" si="30"/>
        <v>8.7241321294814239E-2</v>
      </c>
      <c r="AH66" s="326">
        <f t="shared" si="30"/>
        <v>8.7149379977627034E-2</v>
      </c>
      <c r="AI66" s="326">
        <f t="shared" si="30"/>
        <v>8.7179155940462494E-2</v>
      </c>
      <c r="AJ66" s="326">
        <f t="shared" si="30"/>
        <v>8.7140707881844498E-2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6" t="s">
        <v>631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8">
      <c r="A110" s="565" t="s">
        <v>632</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8">
      <c r="A111" s="565" t="s">
        <v>633</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8">
      <c r="A112" s="565" t="s">
        <v>634</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635</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636</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637</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638</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639</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640</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641</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642</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643</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644</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row r="123" spans="1:32">
      <c r="A123" s="565" t="s">
        <v>645</v>
      </c>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row>
    <row r="124" spans="1:32">
      <c r="A124" s="565" t="s">
        <v>646</v>
      </c>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row>
    <row r="125" spans="1:32">
      <c r="A125" s="565" t="s">
        <v>639</v>
      </c>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row>
    <row r="126" spans="1:32">
      <c r="A126" s="565" t="s">
        <v>647</v>
      </c>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row>
    <row r="127" spans="1:32">
      <c r="A127" s="565" t="s">
        <v>648</v>
      </c>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row>
    <row r="128" spans="1:32">
      <c r="A128" s="565" t="s">
        <v>649</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row>
    <row r="129" spans="1:32">
      <c r="A129" s="565" t="s">
        <v>619</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row>
    <row r="130" spans="1:32">
      <c r="A130" s="565" t="s">
        <v>620</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row>
    <row r="131" spans="1:32">
      <c r="A131" s="565" t="s">
        <v>621</v>
      </c>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row>
    <row r="132" spans="1:32">
      <c r="A132" s="565" t="s">
        <v>650</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row>
    <row r="133" spans="1:32">
      <c r="A133" s="565" t="s">
        <v>651</v>
      </c>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row>
    <row r="134" spans="1:32">
      <c r="A134" s="565" t="s">
        <v>652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row>
    <row r="135" spans="1:32">
      <c r="A135" s="565" t="s">
        <v>653</v>
      </c>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row>
    <row r="136" spans="1:32">
      <c r="A136" s="565" t="s">
        <v>654</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row>
    <row r="137" spans="1:32">
      <c r="A137" s="565" t="s">
        <v>655</v>
      </c>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4" zoomScale="125" zoomScaleNormal="125" zoomScalePageLayoutView="125" workbookViewId="0">
      <selection activeCell="AM70" sqref="AM70:AR79"/>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661</v>
      </c>
      <c r="B34"/>
      <c r="C34"/>
      <c r="D34"/>
      <c r="E34"/>
      <c r="F34"/>
      <c r="G34" s="523">
        <v>1.0000000000000001E-5</v>
      </c>
      <c r="H34" s="523">
        <v>1.0000000000000001E-5</v>
      </c>
      <c r="I34" s="523">
        <v>1.0000000000000001E-5</v>
      </c>
      <c r="J34" s="523">
        <v>1.0000000000000001E-5</v>
      </c>
      <c r="K34" s="523">
        <v>1.0000000000000001E-5</v>
      </c>
      <c r="L34" s="523">
        <v>1.0000000000000001E-5</v>
      </c>
      <c r="M34" s="523">
        <v>1.0000000000000001E-5</v>
      </c>
      <c r="N34" s="523">
        <v>1.0000000000000001E-5</v>
      </c>
      <c r="O34" s="523">
        <v>1.0000000000000001E-5</v>
      </c>
      <c r="P34" s="523">
        <v>1.0000000000000001E-5</v>
      </c>
      <c r="Q34" s="523">
        <v>1.0000000000000001E-5</v>
      </c>
      <c r="R34" s="523">
        <v>1.0000000000000001E-5</v>
      </c>
      <c r="S34" s="523">
        <v>1.0000000000000001E-5</v>
      </c>
      <c r="T34" s="523">
        <v>1.0000000000000001E-5</v>
      </c>
      <c r="U34" s="523">
        <v>1.0000000000000001E-5</v>
      </c>
      <c r="V34" s="523">
        <v>1.0000000000000001E-5</v>
      </c>
      <c r="W34" s="523">
        <v>1.0000000000000001E-5</v>
      </c>
      <c r="X34" s="523">
        <v>1.0000000000000001E-5</v>
      </c>
      <c r="Y34" s="523">
        <v>1.0000000000000001E-5</v>
      </c>
      <c r="Z34" s="523">
        <v>1.0000000000000001E-5</v>
      </c>
      <c r="AA34" s="523">
        <v>1.0000000000000001E-5</v>
      </c>
      <c r="AB34" s="523">
        <v>1.0000000000000001E-5</v>
      </c>
      <c r="AC34" s="523">
        <v>1.0000000000000001E-5</v>
      </c>
      <c r="AD34" s="523">
        <v>1.0000000000000001E-5</v>
      </c>
      <c r="AE34" s="523">
        <v>1.0000000000000001E-5</v>
      </c>
      <c r="AF34" s="523">
        <v>1.0000000000000001E-5</v>
      </c>
      <c r="AG34" s="523">
        <v>1.0000000000000001E-5</v>
      </c>
      <c r="AH34" s="523">
        <v>1.0000000000000001E-5</v>
      </c>
      <c r="AI34" s="523">
        <v>1.0000000000000001E-5</v>
      </c>
      <c r="AJ34" s="523">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f>E57*EIA_electricity_aeo2014!E58</f>
        <v>5.4420800000000002E-3</v>
      </c>
      <c r="F54">
        <f>F57*EIA_electricity_aeo2014!F58</f>
        <v>1.4334400000000001E-2</v>
      </c>
      <c r="G54">
        <f>G57*EIA_electricity_aeo2014!G58</f>
        <v>4.402118407052083E-2</v>
      </c>
      <c r="H54">
        <f>H57*EIA_electricity_aeo2014!H58</f>
        <v>7.8413180524917386E-2</v>
      </c>
      <c r="I54">
        <f>I57*EIA_electricity_aeo2014!I58</f>
        <v>0.12941578170424525</v>
      </c>
      <c r="J54">
        <f>J57*EIA_electricity_aeo2014!J58</f>
        <v>0.17226371020918821</v>
      </c>
      <c r="K54">
        <f>K57*EIA_electricity_aeo2014!K58</f>
        <v>0.21342667630186296</v>
      </c>
      <c r="L54">
        <f>L57*EIA_electricity_aeo2014!L58</f>
        <v>0.25719583999159795</v>
      </c>
      <c r="M54">
        <f>M57*EIA_electricity_aeo2014!M58</f>
        <v>0.32051738309801797</v>
      </c>
      <c r="N54">
        <f>N57*EIA_electricity_aeo2014!N58</f>
        <v>0.38470779137685179</v>
      </c>
      <c r="O54">
        <f>O57*EIA_electricity_aeo2014!O58</f>
        <v>0.4461105040418028</v>
      </c>
      <c r="P54">
        <f>P57*EIA_electricity_aeo2014!P58</f>
        <v>0.5074807295758601</v>
      </c>
      <c r="Q54">
        <f>Q57*EIA_electricity_aeo2014!Q58</f>
        <v>0.57032842172558862</v>
      </c>
      <c r="R54">
        <f>R57*EIA_electricity_aeo2014!R58</f>
        <v>0.63373609529056441</v>
      </c>
      <c r="S54">
        <f>S57*EIA_electricity_aeo2014!S58</f>
        <v>0.69949064933143346</v>
      </c>
      <c r="T54">
        <f>T57*EIA_electricity_aeo2014!T58</f>
        <v>0.76289036137014721</v>
      </c>
      <c r="U54">
        <f>U57*EIA_electricity_aeo2014!U58</f>
        <v>0.7874944224576319</v>
      </c>
      <c r="V54">
        <f>V57*EIA_electricity_aeo2014!V58</f>
        <v>0.84398426079010969</v>
      </c>
      <c r="W54">
        <f>W57*EIA_electricity_aeo2014!W58</f>
        <v>0.89882868881281386</v>
      </c>
      <c r="X54">
        <f>X57*EIA_electricity_aeo2014!X58</f>
        <v>0.95215727386056304</v>
      </c>
      <c r="Y54">
        <f>Y57*EIA_electricity_aeo2014!Y58</f>
        <v>1.0067145303370173</v>
      </c>
      <c r="Z54">
        <f>Z57*EIA_electricity_aeo2014!Z58</f>
        <v>1.0598603924971588</v>
      </c>
      <c r="AA54">
        <f>AA57*EIA_electricity_aeo2014!AA58</f>
        <v>1.1181193717224254</v>
      </c>
      <c r="AB54">
        <f>AB57*EIA_electricity_aeo2014!AB58</f>
        <v>1.1758420119886377</v>
      </c>
      <c r="AC54">
        <f>AC57*EIA_electricity_aeo2014!AC58</f>
        <v>1.2342955285205721</v>
      </c>
      <c r="AD54">
        <f>AD57*EIA_electricity_aeo2014!AD58</f>
        <v>1.292322868684626</v>
      </c>
      <c r="AE54">
        <f>AE57*EIA_electricity_aeo2014!AE58</f>
        <v>1.3493186213512955</v>
      </c>
      <c r="AF54">
        <f>AF57*EIA_electricity_aeo2014!AF58</f>
        <v>1.4068842425373906</v>
      </c>
      <c r="AG54">
        <f>AG57*EIA_electricity_aeo2014!AG58</f>
        <v>1.4637210803352674</v>
      </c>
      <c r="AH54">
        <f>AH57*EIA_electricity_aeo2014!AH58</f>
        <v>1.5197794404232075</v>
      </c>
      <c r="AI54">
        <f>AI57*EIA_electricity_aeo2014!AI58</f>
        <v>1.5737558976761696</v>
      </c>
      <c r="AJ54">
        <f>AJ57*EIA_electricity_aeo2014!AJ58</f>
        <v>1.628969897988594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758</v>
      </c>
      <c r="B57"/>
      <c r="C57"/>
      <c r="D57"/>
      <c r="E57" s="524">
        <v>4.0000000000000003E-5</v>
      </c>
      <c r="F57" s="525">
        <v>1E-4</v>
      </c>
      <c r="G57" s="525">
        <v>2.9999999999999997E-4</v>
      </c>
      <c r="H57" s="525">
        <v>5.9999999999999995E-4</v>
      </c>
      <c r="I57" s="525">
        <v>8.9999999999999998E-4</v>
      </c>
      <c r="J57" s="525">
        <v>1.1999999999999999E-3</v>
      </c>
      <c r="K57" s="525">
        <v>1.5E-3</v>
      </c>
      <c r="L57" s="525">
        <v>1.8E-3</v>
      </c>
      <c r="M57" s="525">
        <v>2.2000000000000001E-3</v>
      </c>
      <c r="N57" s="525">
        <v>2.5999999999999999E-3</v>
      </c>
      <c r="O57" s="525">
        <v>3.0000000000000001E-3</v>
      </c>
      <c r="P57" s="525">
        <v>3.3999999999999998E-3</v>
      </c>
      <c r="Q57" s="525">
        <v>3.8E-3</v>
      </c>
      <c r="R57" s="525">
        <v>4.1999999999999997E-3</v>
      </c>
      <c r="S57" s="525">
        <v>4.5999999999999999E-3</v>
      </c>
      <c r="T57" s="526">
        <v>5.0000000000000001E-3</v>
      </c>
      <c r="U57" s="527">
        <v>5.1375000000000171E-3</v>
      </c>
      <c r="V57" s="527">
        <v>5.4827941176470718E-3</v>
      </c>
      <c r="W57" s="527">
        <v>5.8280882352941266E-3</v>
      </c>
      <c r="X57" s="527">
        <v>6.1733823529411813E-3</v>
      </c>
      <c r="Y57" s="527">
        <v>6.5186764705882361E-3</v>
      </c>
      <c r="Z57" s="527">
        <v>6.8639705882352908E-3</v>
      </c>
      <c r="AA57" s="527">
        <v>7.2092647058823456E-3</v>
      </c>
      <c r="AB57" s="527">
        <v>7.5545588235294003E-3</v>
      </c>
      <c r="AC57" s="527">
        <v>7.8998529411764551E-3</v>
      </c>
      <c r="AD57" s="527">
        <v>8.2451470588235098E-3</v>
      </c>
      <c r="AE57" s="527">
        <v>8.5904411764706756E-3</v>
      </c>
      <c r="AF57" s="527">
        <v>8.9357352941177304E-3</v>
      </c>
      <c r="AG57" s="527">
        <v>9.2810294117647851E-3</v>
      </c>
      <c r="AH57" s="527">
        <v>9.6263235294118399E-3</v>
      </c>
      <c r="AI57" s="527">
        <v>9.9716176470588946E-3</v>
      </c>
      <c r="AJ57" s="527">
        <v>1.0316911764705949E-2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756</v>
      </c>
    </row>
    <row r="60" spans="1:39">
      <c r="A60" s="501" t="s">
        <v>733</v>
      </c>
      <c r="G60" s="499">
        <v>9.8215380000000003</v>
      </c>
      <c r="H60" s="499">
        <v>7.7055229999999995</v>
      </c>
      <c r="I60" s="499">
        <v>9.8931500000000003</v>
      </c>
      <c r="J60" s="499">
        <v>10.593752</v>
      </c>
      <c r="K60" s="499">
        <v>11.244422</v>
      </c>
      <c r="L60" s="499">
        <v>11.44342</v>
      </c>
      <c r="M60" s="499">
        <v>12.605084999999999</v>
      </c>
      <c r="N60" s="499">
        <v>12.605084999999999</v>
      </c>
      <c r="O60" s="499">
        <v>12.605084999999999</v>
      </c>
      <c r="P60" s="499">
        <v>12.605084000000002</v>
      </c>
      <c r="Q60" s="499">
        <v>12.758178000000001</v>
      </c>
      <c r="R60" s="499">
        <v>12.758178000000001</v>
      </c>
      <c r="S60" s="499">
        <v>13.294426999999999</v>
      </c>
      <c r="T60" s="499">
        <v>13.294426999999999</v>
      </c>
      <c r="U60" s="499">
        <v>13.294426999999999</v>
      </c>
      <c r="V60" s="499">
        <v>13.294426999999999</v>
      </c>
      <c r="W60" s="499">
        <v>13.294426999999999</v>
      </c>
      <c r="X60" s="499">
        <v>13.380386999999999</v>
      </c>
      <c r="Y60" s="499">
        <v>13.380386999999999</v>
      </c>
      <c r="Z60" s="499">
        <v>13.436328</v>
      </c>
      <c r="AA60" s="499">
        <v>13.601866000000001</v>
      </c>
      <c r="AB60" s="499">
        <v>13.746514999999999</v>
      </c>
      <c r="AC60" s="499">
        <v>13.746514999999999</v>
      </c>
      <c r="AD60" s="499">
        <v>13.944156</v>
      </c>
      <c r="AE60" s="499">
        <v>14.119804999999999</v>
      </c>
      <c r="AF60" s="499">
        <v>14.191604000000002</v>
      </c>
      <c r="AG60" s="499">
        <v>14.191604000000002</v>
      </c>
      <c r="AH60" s="499">
        <v>14.191604000000002</v>
      </c>
      <c r="AI60" s="499">
        <v>14.191604000000002</v>
      </c>
      <c r="AJ60" s="499">
        <v>14.191604000000002</v>
      </c>
      <c r="AK60" s="503">
        <v>4.0000000000000001E-3</v>
      </c>
      <c r="AL60" s="508" t="s">
        <v>727</v>
      </c>
      <c r="AM60" s="29">
        <v>9.9999999999999995E-7</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6.9935137532920313E-2</v>
      </c>
    </row>
    <row r="62" spans="1:39">
      <c r="A62" s="501" t="s">
        <v>735</v>
      </c>
      <c r="G62" s="499">
        <v>4.420585</v>
      </c>
      <c r="H62" s="499">
        <v>4.8728860000000003</v>
      </c>
      <c r="I62" s="499">
        <v>5.9408130000000003</v>
      </c>
      <c r="J62" s="499">
        <v>5.964995</v>
      </c>
      <c r="K62" s="499">
        <v>5.9276689999999999</v>
      </c>
      <c r="L62" s="499">
        <v>5.9280160000000004</v>
      </c>
      <c r="M62" s="499">
        <v>5.9282140000000005</v>
      </c>
      <c r="N62" s="499">
        <v>5.928134</v>
      </c>
      <c r="O62" s="499">
        <v>5.9278469999999999</v>
      </c>
      <c r="P62" s="499">
        <v>5.9270630000000004</v>
      </c>
      <c r="Q62" s="499">
        <v>5.9266079999999999</v>
      </c>
      <c r="R62" s="499">
        <v>5.9261970000000002</v>
      </c>
      <c r="S62" s="499">
        <v>5.9257340000000003</v>
      </c>
      <c r="T62" s="499">
        <v>5.9914560000000003</v>
      </c>
      <c r="U62" s="499">
        <v>5.9911790000000007</v>
      </c>
      <c r="V62" s="499">
        <v>5.9907900000000005</v>
      </c>
      <c r="W62" s="499">
        <v>5.9903769999999996</v>
      </c>
      <c r="X62" s="499">
        <v>5.9899379999999995</v>
      </c>
      <c r="Y62" s="499">
        <v>5.989026</v>
      </c>
      <c r="Z62" s="499">
        <v>5.9879519999999999</v>
      </c>
      <c r="AA62" s="499">
        <v>5.9869700000000003</v>
      </c>
      <c r="AB62" s="499">
        <v>5.9859590000000003</v>
      </c>
      <c r="AC62" s="499">
        <v>5.9849180000000004</v>
      </c>
      <c r="AD62" s="499">
        <v>6.1133790000000001</v>
      </c>
      <c r="AE62" s="499">
        <v>6.1128049999999998</v>
      </c>
      <c r="AF62" s="499">
        <v>6.1121630000000007</v>
      </c>
      <c r="AG62" s="499">
        <v>6.1114839999999999</v>
      </c>
      <c r="AH62" s="499">
        <v>6.1108529999999996</v>
      </c>
      <c r="AI62" s="499">
        <v>6.1102360000000004</v>
      </c>
      <c r="AJ62" s="499">
        <v>6.1096870000000001</v>
      </c>
      <c r="AK62" s="503">
        <v>4.0000000000000001E-3</v>
      </c>
      <c r="AL62" s="508" t="s">
        <v>729</v>
      </c>
      <c r="AM62" s="29">
        <v>0</v>
      </c>
    </row>
    <row r="63" spans="1:39">
      <c r="A63" s="501" t="s">
        <v>736</v>
      </c>
      <c r="G63" s="499">
        <v>1.399089</v>
      </c>
      <c r="H63" s="499">
        <v>1.3473730000000002</v>
      </c>
      <c r="I63" s="499">
        <v>1.4659610000000001</v>
      </c>
      <c r="J63" s="499">
        <v>1.6648689999999999</v>
      </c>
      <c r="K63" s="499">
        <v>1.9661019999999998</v>
      </c>
      <c r="L63" s="499">
        <v>2.7700170000000002</v>
      </c>
      <c r="M63" s="499">
        <v>5.180968</v>
      </c>
      <c r="N63" s="499">
        <v>8.601642</v>
      </c>
      <c r="O63" s="499">
        <v>8.6526069999999997</v>
      </c>
      <c r="P63" s="499">
        <v>9.4050900000000013</v>
      </c>
      <c r="Q63" s="499">
        <v>9.8504959999999997</v>
      </c>
      <c r="R63" s="499">
        <v>10.600919000000001</v>
      </c>
      <c r="S63" s="499">
        <v>13.035772</v>
      </c>
      <c r="T63" s="499">
        <v>13.165647999999999</v>
      </c>
      <c r="U63" s="499">
        <v>14.561133000000002</v>
      </c>
      <c r="V63" s="499">
        <v>14.825056999999999</v>
      </c>
      <c r="W63" s="499">
        <v>14.852137000000001</v>
      </c>
      <c r="X63" s="499">
        <v>15.195461999999999</v>
      </c>
      <c r="Y63" s="499">
        <v>15.447913</v>
      </c>
      <c r="Z63" s="499">
        <v>17.377988999999999</v>
      </c>
      <c r="AA63" s="499">
        <v>18.612911</v>
      </c>
      <c r="AB63" s="499">
        <v>19.046157000000001</v>
      </c>
      <c r="AC63" s="499">
        <v>19.126007999999999</v>
      </c>
      <c r="AD63" s="499">
        <v>19.178376</v>
      </c>
      <c r="AE63" s="499">
        <v>19.190023</v>
      </c>
      <c r="AF63" s="499">
        <v>19.109304999999999</v>
      </c>
      <c r="AG63" s="499">
        <v>19.221747000000001</v>
      </c>
      <c r="AH63" s="499">
        <v>19.334365000000002</v>
      </c>
      <c r="AI63" s="499">
        <v>19.320990000000002</v>
      </c>
      <c r="AJ63" s="499">
        <v>19.370069999999998</v>
      </c>
      <c r="AK63" s="503">
        <v>1.7999999999999999E-2</v>
      </c>
      <c r="AL63" s="508" t="s">
        <v>143</v>
      </c>
      <c r="AM63" s="29">
        <v>1.2875781313461182E-2</v>
      </c>
    </row>
    <row r="64" spans="1:39">
      <c r="A64" s="501" t="s">
        <v>737</v>
      </c>
      <c r="G64" s="499">
        <v>0.874865</v>
      </c>
      <c r="H64" s="499">
        <v>1.7395580000000002</v>
      </c>
      <c r="I64" s="499">
        <v>2.505557</v>
      </c>
      <c r="J64" s="499">
        <v>3.2208000000000001</v>
      </c>
      <c r="K64" s="499">
        <v>3.9420599999999997</v>
      </c>
      <c r="L64" s="499">
        <v>4.6265770000000002</v>
      </c>
      <c r="M64" s="499">
        <v>4.6541629999999996</v>
      </c>
      <c r="N64" s="499">
        <v>4.699179</v>
      </c>
      <c r="O64" s="499">
        <v>4.7753269999999999</v>
      </c>
      <c r="P64" s="499">
        <v>4.896191</v>
      </c>
      <c r="Q64" s="499">
        <v>5.0366669999999996</v>
      </c>
      <c r="R64" s="499">
        <v>5.1880280000000001</v>
      </c>
      <c r="S64" s="499">
        <v>5.3521670000000006</v>
      </c>
      <c r="T64" s="499">
        <v>5.536835</v>
      </c>
      <c r="U64" s="499">
        <v>5.7506490000000001</v>
      </c>
      <c r="V64" s="499">
        <v>5.9746129999999997</v>
      </c>
      <c r="W64" s="499">
        <v>6.2148059999999994</v>
      </c>
      <c r="X64" s="499">
        <v>6.4645420000000007</v>
      </c>
      <c r="Y64" s="499">
        <v>6.726013</v>
      </c>
      <c r="Z64" s="499">
        <v>7.0083009999999994</v>
      </c>
      <c r="AA64" s="499">
        <v>7.2977869999999996</v>
      </c>
      <c r="AB64" s="499">
        <v>7.5884020000000003</v>
      </c>
      <c r="AC64" s="499">
        <v>7.8846759999999998</v>
      </c>
      <c r="AD64" s="499">
        <v>8.2081979999999994</v>
      </c>
      <c r="AE64" s="499">
        <v>8.5440940000000012</v>
      </c>
      <c r="AF64" s="499">
        <v>8.8906949999999991</v>
      </c>
      <c r="AG64" s="499">
        <v>9.2457689999999992</v>
      </c>
      <c r="AH64" s="499">
        <v>9.6072590000000009</v>
      </c>
      <c r="AI64" s="499">
        <v>9.9771289999999997</v>
      </c>
      <c r="AJ64" s="499">
        <v>10.360859000000001</v>
      </c>
      <c r="AK64" s="503">
        <v>7.0000000000000007E-2</v>
      </c>
      <c r="AL64" s="508" t="s">
        <v>730</v>
      </c>
      <c r="AM64" s="29">
        <v>0.32193982970825386</v>
      </c>
    </row>
    <row r="65" spans="1:44">
      <c r="A65" s="501" t="s">
        <v>738</v>
      </c>
      <c r="G65" s="499">
        <v>12.539147</v>
      </c>
      <c r="H65" s="499">
        <v>14.796927999999999</v>
      </c>
      <c r="I65" s="499">
        <v>17.007448</v>
      </c>
      <c r="J65" s="499">
        <v>17.048107999999999</v>
      </c>
      <c r="K65" s="499">
        <v>17.166049999999998</v>
      </c>
      <c r="L65" s="499">
        <v>17.273971</v>
      </c>
      <c r="M65" s="499">
        <v>17.2727</v>
      </c>
      <c r="N65" s="499">
        <v>17.270510999999999</v>
      </c>
      <c r="O65" s="499">
        <v>17.268740999999999</v>
      </c>
      <c r="P65" s="499">
        <v>17.274557000000001</v>
      </c>
      <c r="Q65" s="499">
        <v>17.276361999999999</v>
      </c>
      <c r="R65" s="499">
        <v>17.278380000000002</v>
      </c>
      <c r="S65" s="499">
        <v>17.280798000000001</v>
      </c>
      <c r="T65" s="499">
        <v>17.291643000000001</v>
      </c>
      <c r="U65" s="499">
        <v>17.307338000000001</v>
      </c>
      <c r="V65" s="499">
        <v>17.331841000000001</v>
      </c>
      <c r="W65" s="499">
        <v>17.358896999999999</v>
      </c>
      <c r="X65" s="499">
        <v>17.385591999999999</v>
      </c>
      <c r="Y65" s="499">
        <v>17.413271000000002</v>
      </c>
      <c r="Z65" s="499">
        <v>17.445</v>
      </c>
      <c r="AA65" s="499">
        <v>17.470669999999998</v>
      </c>
      <c r="AB65" s="499">
        <v>17.496019</v>
      </c>
      <c r="AC65" s="499">
        <v>17.544440000000002</v>
      </c>
      <c r="AD65" s="499">
        <v>17.623866</v>
      </c>
      <c r="AE65" s="499">
        <v>17.678328</v>
      </c>
      <c r="AF65" s="499">
        <v>17.712706000000001</v>
      </c>
      <c r="AG65" s="499">
        <v>17.814340999999999</v>
      </c>
      <c r="AH65" s="499">
        <v>17.890840000000001</v>
      </c>
      <c r="AI65" s="499">
        <v>18.045925999999998</v>
      </c>
      <c r="AJ65" s="499">
        <v>18.262554999999999</v>
      </c>
      <c r="AK65" s="503">
        <v>7.2999999999999995E-2</v>
      </c>
      <c r="AL65" s="508" t="s">
        <v>731</v>
      </c>
      <c r="AM65" s="29">
        <v>3.922037096817859E-2</v>
      </c>
    </row>
    <row r="66" spans="1:44">
      <c r="A66" s="502" t="s">
        <v>739</v>
      </c>
      <c r="G66" s="500">
        <v>29.055223999999999</v>
      </c>
      <c r="H66" s="500">
        <v>30.462267000000001</v>
      </c>
      <c r="I66" s="500">
        <v>36.812928999999997</v>
      </c>
      <c r="J66" s="500">
        <v>38.492525000000001</v>
      </c>
      <c r="K66" s="500">
        <v>40.246302</v>
      </c>
      <c r="L66" s="500">
        <v>42.042001999999997</v>
      </c>
      <c r="M66" s="500">
        <v>45.641128999999999</v>
      </c>
      <c r="N66" s="500">
        <v>49.104549000000006</v>
      </c>
      <c r="O66" s="500">
        <v>49.229607000000001</v>
      </c>
      <c r="P66" s="500">
        <v>50.107984000000002</v>
      </c>
      <c r="Q66" s="500">
        <v>50.848313000000005</v>
      </c>
      <c r="R66" s="500">
        <v>51.751705000000001</v>
      </c>
      <c r="S66" s="500">
        <v>54.888897</v>
      </c>
      <c r="T66" s="500">
        <v>55.280011999999999</v>
      </c>
      <c r="U66" s="500">
        <v>56.904719999999998</v>
      </c>
      <c r="V66" s="500">
        <v>57.416725</v>
      </c>
      <c r="W66" s="500">
        <v>57.710644000000002</v>
      </c>
      <c r="X66" s="500">
        <v>58.415923000000006</v>
      </c>
      <c r="Y66" s="500">
        <v>58.956609999999998</v>
      </c>
      <c r="Z66" s="500">
        <v>61.255569000000001</v>
      </c>
      <c r="AA66" s="500">
        <v>62.970205</v>
      </c>
      <c r="AB66" s="500">
        <v>63.863051999999996</v>
      </c>
      <c r="AC66" s="500">
        <v>64.28655599999999</v>
      </c>
      <c r="AD66" s="500">
        <v>65.067972999999995</v>
      </c>
      <c r="AE66" s="500">
        <v>65.645055999999997</v>
      </c>
      <c r="AF66" s="500">
        <v>66.016472000000007</v>
      </c>
      <c r="AG66" s="500">
        <v>66.584946000000002</v>
      </c>
      <c r="AH66" s="500">
        <v>67.134925999999993</v>
      </c>
      <c r="AI66" s="500">
        <v>67.645887000000002</v>
      </c>
      <c r="AJ66" s="500">
        <v>68.294772999999992</v>
      </c>
      <c r="AK66" s="504">
        <v>2.1999999999999999E-2</v>
      </c>
      <c r="AL66" s="508" t="s">
        <v>732</v>
      </c>
      <c r="AM66" s="29">
        <v>0.49524623524623534</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7.7348005827707803E-2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0.63200000000000001</v>
      </c>
      <c r="C73" s="491">
        <f t="shared" ref="C73:F73" si="0">AO73</f>
        <v>0.41</v>
      </c>
      <c r="D73" s="491">
        <f t="shared" si="0"/>
        <v>0.38600000000000001</v>
      </c>
      <c r="E73" s="491">
        <f t="shared" si="0"/>
        <v>0.52800000000000002</v>
      </c>
      <c r="F73" s="491">
        <f t="shared" si="0"/>
        <v>0.42899999999999999</v>
      </c>
      <c r="G73" s="484">
        <f t="shared" ref="G73:AJ73" si="1">G60*$AM61</f>
        <v>0.68687061081480316</v>
      </c>
      <c r="H73" s="484">
        <f t="shared" si="1"/>
        <v>0.53888681076808065</v>
      </c>
      <c r="I73" s="484">
        <f t="shared" si="1"/>
        <v>0.69187880588381068</v>
      </c>
      <c r="J73" s="484">
        <f t="shared" si="1"/>
        <v>0.74087550310964967</v>
      </c>
      <c r="K73" s="484">
        <f t="shared" si="1"/>
        <v>0.78638019904819489</v>
      </c>
      <c r="L73" s="484">
        <f t="shared" si="1"/>
        <v>0.8002971515469709</v>
      </c>
      <c r="M73" s="484">
        <f t="shared" si="1"/>
        <v>0.88153835308915074</v>
      </c>
      <c r="N73" s="484">
        <f t="shared" si="1"/>
        <v>0.88153835308915074</v>
      </c>
      <c r="O73" s="484">
        <f t="shared" si="1"/>
        <v>0.88153835308915074</v>
      </c>
      <c r="P73" s="484">
        <f t="shared" si="1"/>
        <v>0.88153828315401339</v>
      </c>
      <c r="Q73" s="484">
        <f t="shared" si="1"/>
        <v>0.89224493309947828</v>
      </c>
      <c r="R73" s="484">
        <f t="shared" si="1"/>
        <v>0.89224493309947828</v>
      </c>
      <c r="S73" s="484">
        <f t="shared" si="1"/>
        <v>0.92974758066636909</v>
      </c>
      <c r="T73" s="484">
        <f t="shared" si="1"/>
        <v>0.92974758066636909</v>
      </c>
      <c r="U73" s="484">
        <f t="shared" si="1"/>
        <v>0.92974758066636909</v>
      </c>
      <c r="V73" s="484">
        <f t="shared" si="1"/>
        <v>0.92974758066636909</v>
      </c>
      <c r="W73" s="484">
        <f t="shared" si="1"/>
        <v>0.92974758066636909</v>
      </c>
      <c r="X73" s="484">
        <f t="shared" si="1"/>
        <v>0.93575920508869892</v>
      </c>
      <c r="Y73" s="484">
        <f t="shared" si="1"/>
        <v>0.93575920508869892</v>
      </c>
      <c r="Z73" s="484">
        <f t="shared" si="1"/>
        <v>0.93967144661742807</v>
      </c>
      <c r="AA73" s="484">
        <f t="shared" si="1"/>
        <v>0.95124836941435276</v>
      </c>
      <c r="AB73" s="484">
        <f t="shared" si="1"/>
        <v>0.96136441712335197</v>
      </c>
      <c r="AC73" s="484">
        <f t="shared" si="1"/>
        <v>0.96136441712335197</v>
      </c>
      <c r="AD73" s="484">
        <f t="shared" si="1"/>
        <v>0.97518646764049599</v>
      </c>
      <c r="AE73" s="484">
        <f t="shared" si="1"/>
        <v>0.98747050461301589</v>
      </c>
      <c r="AF73" s="484">
        <f t="shared" si="1"/>
        <v>0.9924917775527422</v>
      </c>
      <c r="AG73" s="484">
        <f t="shared" si="1"/>
        <v>0.9924917775527422</v>
      </c>
      <c r="AH73" s="484">
        <f t="shared" si="1"/>
        <v>0.9924917775527422</v>
      </c>
      <c r="AI73" s="484">
        <f t="shared" si="1"/>
        <v>0.9924917775527422</v>
      </c>
      <c r="AJ73" s="484">
        <f t="shared" si="1"/>
        <v>0.9924917775527422</v>
      </c>
      <c r="AK73" s="485"/>
      <c r="AM73" s="18" t="s">
        <v>728</v>
      </c>
      <c r="AN73" s="18">
        <v>0.63200000000000001</v>
      </c>
      <c r="AO73" s="18">
        <v>0.41</v>
      </c>
      <c r="AP73" s="18">
        <v>0.38600000000000001</v>
      </c>
      <c r="AQ73" s="18">
        <v>0.52800000000000002</v>
      </c>
      <c r="AR73" s="18">
        <v>0.42899999999999999</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729</v>
      </c>
      <c r="AN74" s="18">
        <v>0</v>
      </c>
      <c r="AO74" s="18">
        <v>0</v>
      </c>
      <c r="AP74" s="18">
        <v>0</v>
      </c>
      <c r="AQ74" s="18">
        <v>0</v>
      </c>
      <c r="AR74" s="18">
        <v>1.2999999999999999E-2</v>
      </c>
    </row>
    <row r="75" spans="1:44" s="18" customFormat="1">
      <c r="A75" s="17" t="s">
        <v>51</v>
      </c>
      <c r="B75" s="491">
        <f>AN77</f>
        <v>2.4E-2</v>
      </c>
      <c r="C75" s="491">
        <f t="shared" ref="C75:F75" si="4">AO77</f>
        <v>1.0999999999999999E-2</v>
      </c>
      <c r="D75" s="491">
        <f t="shared" si="4"/>
        <v>0.183</v>
      </c>
      <c r="E75" s="491">
        <f t="shared" si="4"/>
        <v>0.19800000000000001</v>
      </c>
      <c r="F75" s="491">
        <f t="shared" si="4"/>
        <v>0.26400000000000001</v>
      </c>
      <c r="G75" s="484">
        <f t="shared" ref="G75:AJ75" si="5">G62*$AM65</f>
        <v>0.17337698359636575</v>
      </c>
      <c r="H75" s="484">
        <f t="shared" si="5"/>
        <v>0.19111639660564392</v>
      </c>
      <c r="I75" s="484">
        <f t="shared" si="5"/>
        <v>0.23300088971257796</v>
      </c>
      <c r="J75" s="484">
        <f t="shared" si="5"/>
        <v>0.23394931672333044</v>
      </c>
      <c r="K75" s="484">
        <f t="shared" si="5"/>
        <v>0.23248537715657222</v>
      </c>
      <c r="L75" s="484">
        <f t="shared" si="5"/>
        <v>0.23249898662529819</v>
      </c>
      <c r="M75" s="484">
        <f t="shared" si="5"/>
        <v>0.23250675225874989</v>
      </c>
      <c r="N75" s="484">
        <f t="shared" si="5"/>
        <v>0.23250361462907243</v>
      </c>
      <c r="O75" s="484">
        <f t="shared" si="5"/>
        <v>0.23249235838260454</v>
      </c>
      <c r="P75" s="484">
        <f t="shared" si="5"/>
        <v>0.23246160961176551</v>
      </c>
      <c r="Q75" s="484">
        <f t="shared" si="5"/>
        <v>0.23244376434297498</v>
      </c>
      <c r="R75" s="484">
        <f t="shared" si="5"/>
        <v>0.23242764477050706</v>
      </c>
      <c r="S75" s="484">
        <f t="shared" si="5"/>
        <v>0.23240948573874881</v>
      </c>
      <c r="T75" s="484">
        <f t="shared" si="5"/>
        <v>0.23498712695951943</v>
      </c>
      <c r="U75" s="484">
        <f t="shared" si="5"/>
        <v>0.23497626291676127</v>
      </c>
      <c r="V75" s="484">
        <f t="shared" si="5"/>
        <v>0.23496100619245464</v>
      </c>
      <c r="W75" s="484">
        <f t="shared" si="5"/>
        <v>0.23494480817924474</v>
      </c>
      <c r="X75" s="484">
        <f t="shared" si="5"/>
        <v>0.23492759043638972</v>
      </c>
      <c r="Y75" s="484">
        <f t="shared" si="5"/>
        <v>0.23489182145806675</v>
      </c>
      <c r="Z75" s="484">
        <f t="shared" si="5"/>
        <v>0.23484969877964693</v>
      </c>
      <c r="AA75" s="484">
        <f t="shared" si="5"/>
        <v>0.2348111843753562</v>
      </c>
      <c r="AB75" s="484">
        <f t="shared" si="5"/>
        <v>0.23477153258030736</v>
      </c>
      <c r="AC75" s="484">
        <f t="shared" si="5"/>
        <v>0.2347307041741295</v>
      </c>
      <c r="AD75" s="484">
        <f t="shared" si="5"/>
        <v>0.23976899224907267</v>
      </c>
      <c r="AE75" s="484">
        <f t="shared" si="5"/>
        <v>0.23974647975613692</v>
      </c>
      <c r="AF75" s="484">
        <f t="shared" si="5"/>
        <v>0.23972130027797539</v>
      </c>
      <c r="AG75" s="484">
        <f t="shared" si="5"/>
        <v>0.23969466964608796</v>
      </c>
      <c r="AH75" s="484">
        <f t="shared" si="5"/>
        <v>0.23966992159200703</v>
      </c>
      <c r="AI75" s="484">
        <f t="shared" si="5"/>
        <v>0.2396457226231197</v>
      </c>
      <c r="AJ75" s="484">
        <f t="shared" si="5"/>
        <v>0.23962419063945814</v>
      </c>
      <c r="AK75" s="485"/>
      <c r="AM75" s="18" t="s">
        <v>143</v>
      </c>
      <c r="AN75" s="18">
        <v>1.4E-2</v>
      </c>
      <c r="AO75" s="18">
        <v>1.4999999999999999E-2</v>
      </c>
      <c r="AP75" s="18">
        <v>1.4999999999999999E-2</v>
      </c>
      <c r="AQ75" s="18">
        <v>1.4E-2</v>
      </c>
      <c r="AR75" s="18">
        <v>1.2999999999999999E-2</v>
      </c>
    </row>
    <row r="76" spans="1:44" s="18" customFormat="1">
      <c r="A76" s="17" t="s">
        <v>56</v>
      </c>
      <c r="B76" s="492">
        <f>AN76</f>
        <v>0.41</v>
      </c>
      <c r="C76" s="492">
        <f t="shared" ref="C76:F76" si="6">AO76</f>
        <v>0.39900000000000002</v>
      </c>
      <c r="D76" s="492">
        <f t="shared" si="6"/>
        <v>0.41799999999999998</v>
      </c>
      <c r="E76" s="492">
        <f t="shared" si="6"/>
        <v>0.41</v>
      </c>
      <c r="F76" s="492">
        <f t="shared" si="6"/>
        <v>0.39900000000000002</v>
      </c>
      <c r="G76" s="492">
        <f>G63*$AM$64</f>
        <v>0.4504224744066912</v>
      </c>
      <c r="H76" s="492">
        <f>H63*$AM$64</f>
        <v>0.43377303417349916</v>
      </c>
      <c r="I76" s="492">
        <f t="shared" ref="I76:AJ76" si="7">I63*$AM$64</f>
        <v>0.47195123469894157</v>
      </c>
      <c r="J76" s="492">
        <f t="shared" si="7"/>
        <v>0.53598764234655083</v>
      </c>
      <c r="K76" s="492">
        <f t="shared" si="7"/>
        <v>0.63296654306905731</v>
      </c>
      <c r="L76" s="492">
        <f t="shared" si="7"/>
        <v>0.89177880126896825</v>
      </c>
      <c r="M76" s="492">
        <f t="shared" si="7"/>
        <v>1.6679599556439126</v>
      </c>
      <c r="N76" s="492">
        <f t="shared" si="7"/>
        <v>2.7692111606913641</v>
      </c>
      <c r="O76" s="492">
        <f t="shared" si="7"/>
        <v>2.7856188241124453</v>
      </c>
      <c r="P76" s="492">
        <f t="shared" si="7"/>
        <v>3.0278730729908019</v>
      </c>
      <c r="Q76" s="492">
        <f t="shared" si="7"/>
        <v>3.1712670047818357</v>
      </c>
      <c r="R76" s="492">
        <f t="shared" si="7"/>
        <v>3.4128580576109933</v>
      </c>
      <c r="S76" s="492">
        <f t="shared" si="7"/>
        <v>4.1967342177956235</v>
      </c>
      <c r="T76" s="492">
        <f t="shared" si="7"/>
        <v>4.2385464751188131</v>
      </c>
      <c r="U76" s="492">
        <f t="shared" si="7"/>
        <v>4.6878086783792359</v>
      </c>
      <c r="V76" s="492">
        <f t="shared" si="7"/>
        <v>4.7727763259951566</v>
      </c>
      <c r="W76" s="492">
        <f t="shared" si="7"/>
        <v>4.7814944565836566</v>
      </c>
      <c r="X76" s="492">
        <f t="shared" si="7"/>
        <v>4.8920244486182423</v>
      </c>
      <c r="Y76" s="492">
        <f t="shared" si="7"/>
        <v>4.9732984805679212</v>
      </c>
      <c r="Z76" s="492">
        <f t="shared" si="7"/>
        <v>5.5946668193319082</v>
      </c>
      <c r="AA76" s="492">
        <f t="shared" si="7"/>
        <v>5.9922373977148853</v>
      </c>
      <c r="AB76" s="492">
        <f t="shared" si="7"/>
        <v>6.131716541176667</v>
      </c>
      <c r="AC76" s="492">
        <f t="shared" si="7"/>
        <v>6.1574237585187008</v>
      </c>
      <c r="AD76" s="492">
        <f t="shared" si="7"/>
        <v>6.174283103520863</v>
      </c>
      <c r="AE76" s="492">
        <f t="shared" si="7"/>
        <v>6.1780327367174745</v>
      </c>
      <c r="AF76" s="492">
        <f t="shared" si="7"/>
        <v>6.1520463975430832</v>
      </c>
      <c r="AG76" s="492">
        <f t="shared" si="7"/>
        <v>6.1882459558751393</v>
      </c>
      <c r="AH76" s="492">
        <f t="shared" si="7"/>
        <v>6.2245021756172241</v>
      </c>
      <c r="AI76" s="492">
        <f t="shared" si="7"/>
        <v>6.2201962303948761</v>
      </c>
      <c r="AJ76" s="492">
        <f t="shared" si="7"/>
        <v>6.235997037236956</v>
      </c>
      <c r="AK76" s="485"/>
      <c r="AM76" s="18" t="s">
        <v>746</v>
      </c>
      <c r="AN76" s="18">
        <v>0.41</v>
      </c>
      <c r="AO76" s="18">
        <v>0.39900000000000002</v>
      </c>
      <c r="AP76" s="18">
        <v>0.41799999999999998</v>
      </c>
      <c r="AQ76" s="18">
        <v>0.41</v>
      </c>
      <c r="AR76" s="18">
        <v>0.39900000000000002</v>
      </c>
    </row>
    <row r="77" spans="1:44" s="18" customFormat="1">
      <c r="A77" s="17" t="s">
        <v>52</v>
      </c>
      <c r="B77" s="491">
        <f>AN74</f>
        <v>0</v>
      </c>
      <c r="C77" s="491">
        <f t="shared" ref="C77:F77" si="8">AO74</f>
        <v>0</v>
      </c>
      <c r="D77" s="491">
        <f t="shared" si="8"/>
        <v>0</v>
      </c>
      <c r="E77" s="491">
        <f t="shared" si="8"/>
        <v>0</v>
      </c>
      <c r="F77" s="491">
        <f t="shared" si="8"/>
        <v>1.2999999999999999E-2</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2.4E-2</v>
      </c>
      <c r="AO77" s="18">
        <v>1.0999999999999999E-2</v>
      </c>
      <c r="AP77" s="18">
        <v>0.183</v>
      </c>
      <c r="AQ77" s="18">
        <v>0.19800000000000001</v>
      </c>
      <c r="AR77" s="18">
        <v>0.26400000000000001</v>
      </c>
    </row>
    <row r="78" spans="1:44" s="18" customFormat="1">
      <c r="A78" s="17" t="s">
        <v>53</v>
      </c>
      <c r="B78" s="491">
        <f>AN75</f>
        <v>1.4E-2</v>
      </c>
      <c r="C78" s="491">
        <f t="shared" ref="C78:F78" si="10">AO75</f>
        <v>1.4999999999999999E-2</v>
      </c>
      <c r="D78" s="491">
        <f t="shared" si="10"/>
        <v>1.4999999999999999E-2</v>
      </c>
      <c r="E78" s="491">
        <f t="shared" si="10"/>
        <v>1.4E-2</v>
      </c>
      <c r="F78" s="491">
        <f t="shared" si="10"/>
        <v>1.2999999999999999E-2</v>
      </c>
      <c r="G78" s="484">
        <f t="shared" ref="G78:AJ78" si="11">G65*$AM63</f>
        <v>0.16145131462934284</v>
      </c>
      <c r="H78" s="484">
        <f t="shared" si="11"/>
        <v>0.19052200903903052</v>
      </c>
      <c r="I78" s="484">
        <f t="shared" si="11"/>
        <v>0.21898418114806276</v>
      </c>
      <c r="J78" s="484">
        <f t="shared" si="11"/>
        <v>0.21950771041626807</v>
      </c>
      <c r="K78" s="484">
        <f t="shared" si="11"/>
        <v>0.22102630581594029</v>
      </c>
      <c r="L78" s="484">
        <f t="shared" si="11"/>
        <v>0.22241587301107035</v>
      </c>
      <c r="M78" s="484">
        <f t="shared" si="11"/>
        <v>0.22239950789302096</v>
      </c>
      <c r="N78" s="484">
        <f t="shared" si="11"/>
        <v>0.22237132280772579</v>
      </c>
      <c r="O78" s="484">
        <f t="shared" si="11"/>
        <v>0.22234853267480095</v>
      </c>
      <c r="P78" s="484">
        <f t="shared" si="11"/>
        <v>0.22242341821892006</v>
      </c>
      <c r="Q78" s="484">
        <f t="shared" si="11"/>
        <v>0.22244665900419083</v>
      </c>
      <c r="R78" s="484">
        <f t="shared" si="11"/>
        <v>0.22247264233088143</v>
      </c>
      <c r="S78" s="484">
        <f t="shared" si="11"/>
        <v>0.22250377597009738</v>
      </c>
      <c r="T78" s="484">
        <f t="shared" si="11"/>
        <v>0.22264341381844185</v>
      </c>
      <c r="U78" s="484">
        <f t="shared" si="11"/>
        <v>0.22284549920615665</v>
      </c>
      <c r="V78" s="484">
        <f t="shared" si="11"/>
        <v>0.22316099447568036</v>
      </c>
      <c r="W78" s="484">
        <f t="shared" si="11"/>
        <v>0.22350936161489734</v>
      </c>
      <c r="X78" s="484">
        <f t="shared" si="11"/>
        <v>0.22385308059706019</v>
      </c>
      <c r="Y78" s="484">
        <f t="shared" si="11"/>
        <v>0.22420946934803554</v>
      </c>
      <c r="Z78" s="484">
        <f t="shared" si="11"/>
        <v>0.22461800501333032</v>
      </c>
      <c r="AA78" s="484">
        <f t="shared" si="11"/>
        <v>0.22494852631964685</v>
      </c>
      <c r="AB78" s="484">
        <f t="shared" si="11"/>
        <v>0.22527491450016179</v>
      </c>
      <c r="AC78" s="484">
        <f t="shared" si="11"/>
        <v>0.22589837270714092</v>
      </c>
      <c r="AD78" s="484">
        <f t="shared" si="11"/>
        <v>0.22692104451374387</v>
      </c>
      <c r="AE78" s="484">
        <f t="shared" si="11"/>
        <v>0.22762228531563758</v>
      </c>
      <c r="AF78" s="484">
        <f t="shared" si="11"/>
        <v>0.22806492892563177</v>
      </c>
      <c r="AG78" s="484">
        <f t="shared" si="11"/>
        <v>0.22937355895942538</v>
      </c>
      <c r="AH78" s="484">
        <f t="shared" si="11"/>
        <v>0.23035854335412387</v>
      </c>
      <c r="AI78" s="484">
        <f t="shared" si="11"/>
        <v>0.23235539677490327</v>
      </c>
      <c r="AJ78" s="484">
        <f t="shared" si="11"/>
        <v>0.23514466440505705</v>
      </c>
      <c r="AK78" s="485"/>
      <c r="AM78" s="18" t="s">
        <v>753</v>
      </c>
      <c r="AN78" s="18">
        <v>0.01</v>
      </c>
      <c r="AO78" s="18">
        <v>0.01</v>
      </c>
      <c r="AP78" s="18">
        <v>8.0000000000000002E-3</v>
      </c>
      <c r="AQ78" s="18">
        <v>1.0999999999999999E-2</v>
      </c>
      <c r="AR78" s="18">
        <v>1.2E-2</v>
      </c>
    </row>
    <row r="79" spans="1:44" s="18" customFormat="1">
      <c r="A79" s="17" t="s">
        <v>54</v>
      </c>
      <c r="B79" s="493">
        <f>AN79</f>
        <v>1.091</v>
      </c>
      <c r="C79" s="493">
        <f t="shared" ref="C79:F79" si="12">AO79</f>
        <v>0.84599999999999997</v>
      </c>
      <c r="D79" s="493">
        <f t="shared" si="12"/>
        <v>1.01</v>
      </c>
      <c r="E79" s="493">
        <f t="shared" si="12"/>
        <v>1.161</v>
      </c>
      <c r="F79" s="493">
        <f t="shared" si="12"/>
        <v>1.129</v>
      </c>
      <c r="G79" s="486">
        <f>SUM(G73:G78)</f>
        <v>1.4721213835472029</v>
      </c>
      <c r="H79" s="486">
        <f t="shared" ref="H79:AJ79" si="13">SUM(H73:H78)</f>
        <v>1.3542982506862542</v>
      </c>
      <c r="I79" s="486">
        <f t="shared" si="13"/>
        <v>1.615815111543393</v>
      </c>
      <c r="J79" s="486">
        <f t="shared" si="13"/>
        <v>1.7303201726957991</v>
      </c>
      <c r="K79" s="486">
        <f t="shared" si="13"/>
        <v>1.8728584251897646</v>
      </c>
      <c r="L79" s="486">
        <f t="shared" si="13"/>
        <v>2.1469908125523078</v>
      </c>
      <c r="M79" s="486">
        <f t="shared" si="13"/>
        <v>3.004404568984834</v>
      </c>
      <c r="N79" s="486">
        <f t="shared" si="13"/>
        <v>4.105624451317313</v>
      </c>
      <c r="O79" s="486">
        <f t="shared" si="13"/>
        <v>4.1219980683590016</v>
      </c>
      <c r="P79" s="486">
        <f t="shared" si="13"/>
        <v>4.3642963840755007</v>
      </c>
      <c r="Q79" s="486">
        <f t="shared" si="13"/>
        <v>4.5184023613284792</v>
      </c>
      <c r="R79" s="486">
        <f t="shared" si="13"/>
        <v>4.76000327791186</v>
      </c>
      <c r="S79" s="486">
        <f t="shared" si="13"/>
        <v>5.5813950602708386</v>
      </c>
      <c r="T79" s="486">
        <f t="shared" si="13"/>
        <v>5.6259245966631433</v>
      </c>
      <c r="U79" s="486">
        <f t="shared" si="13"/>
        <v>6.0753780212685236</v>
      </c>
      <c r="V79" s="486">
        <f t="shared" si="13"/>
        <v>6.1606459074296609</v>
      </c>
      <c r="W79" s="486">
        <f t="shared" si="13"/>
        <v>6.1696962071441677</v>
      </c>
      <c r="X79" s="486">
        <f t="shared" si="13"/>
        <v>6.2865643248403904</v>
      </c>
      <c r="Y79" s="486">
        <f t="shared" si="13"/>
        <v>6.3681589765627225</v>
      </c>
      <c r="Z79" s="486">
        <f t="shared" si="13"/>
        <v>6.9938059698423141</v>
      </c>
      <c r="AA79" s="486">
        <f t="shared" si="13"/>
        <v>7.4032454779242407</v>
      </c>
      <c r="AB79" s="486">
        <f t="shared" si="13"/>
        <v>7.5531274054804882</v>
      </c>
      <c r="AC79" s="486">
        <f t="shared" si="13"/>
        <v>7.5794172526233226</v>
      </c>
      <c r="AD79" s="486">
        <f t="shared" si="13"/>
        <v>7.6161596080241756</v>
      </c>
      <c r="AE79" s="486">
        <f t="shared" si="13"/>
        <v>7.6328720065022653</v>
      </c>
      <c r="AF79" s="486">
        <f t="shared" si="13"/>
        <v>7.6123244043994323</v>
      </c>
      <c r="AG79" s="486">
        <f t="shared" si="13"/>
        <v>7.6498059621333949</v>
      </c>
      <c r="AH79" s="486">
        <f t="shared" si="13"/>
        <v>7.687022418216098</v>
      </c>
      <c r="AI79" s="486">
        <f t="shared" si="13"/>
        <v>7.6846891274456413</v>
      </c>
      <c r="AJ79" s="486">
        <f t="shared" si="13"/>
        <v>7.7032576699342137</v>
      </c>
      <c r="AK79" s="487"/>
      <c r="AM79" s="18" t="s">
        <v>58</v>
      </c>
      <c r="AN79" s="18">
        <v>1.091</v>
      </c>
      <c r="AO79" s="18">
        <v>0.84599999999999997</v>
      </c>
      <c r="AP79" s="18">
        <v>1.01</v>
      </c>
      <c r="AQ79" s="18">
        <v>1.161</v>
      </c>
      <c r="AR79" s="18">
        <v>1.129</v>
      </c>
    </row>
    <row r="80" spans="1:44" s="255" customFormat="1">
      <c r="A80" s="254" t="s">
        <v>57</v>
      </c>
      <c r="B80" s="474">
        <f>B79*1000</f>
        <v>1091</v>
      </c>
      <c r="C80" s="474">
        <f t="shared" ref="C80:AJ80" si="14">C79*1000</f>
        <v>846</v>
      </c>
      <c r="D80" s="474">
        <f t="shared" si="14"/>
        <v>1010</v>
      </c>
      <c r="E80" s="474">
        <f t="shared" si="14"/>
        <v>1161</v>
      </c>
      <c r="F80" s="474">
        <f t="shared" si="14"/>
        <v>1129</v>
      </c>
      <c r="G80" s="276">
        <f t="shared" si="14"/>
        <v>1472.1213835472029</v>
      </c>
      <c r="H80" s="276">
        <f t="shared" si="14"/>
        <v>1354.2982506862543</v>
      </c>
      <c r="I80" s="276">
        <f t="shared" si="14"/>
        <v>1615.815111543393</v>
      </c>
      <c r="J80" s="276">
        <f t="shared" si="14"/>
        <v>1730.3201726957991</v>
      </c>
      <c r="K80" s="276">
        <f t="shared" si="14"/>
        <v>1872.8584251897646</v>
      </c>
      <c r="L80" s="276">
        <f t="shared" si="14"/>
        <v>2146.9908125523079</v>
      </c>
      <c r="M80" s="276">
        <f t="shared" si="14"/>
        <v>3004.404568984834</v>
      </c>
      <c r="N80" s="276">
        <f t="shared" si="14"/>
        <v>4105.6244513173133</v>
      </c>
      <c r="O80" s="276">
        <f t="shared" si="14"/>
        <v>4121.998068359002</v>
      </c>
      <c r="P80" s="276">
        <f t="shared" si="14"/>
        <v>4364.296384075501</v>
      </c>
      <c r="Q80" s="276">
        <f t="shared" si="14"/>
        <v>4518.4023613284789</v>
      </c>
      <c r="R80" s="276">
        <f t="shared" si="14"/>
        <v>4760.0032779118601</v>
      </c>
      <c r="S80" s="276">
        <f t="shared" si="14"/>
        <v>5581.3950602708383</v>
      </c>
      <c r="T80" s="276">
        <f t="shared" si="14"/>
        <v>5625.9245966631433</v>
      </c>
      <c r="U80" s="276">
        <f t="shared" si="14"/>
        <v>6075.3780212685233</v>
      </c>
      <c r="V80" s="276">
        <f t="shared" si="14"/>
        <v>6160.6459074296608</v>
      </c>
      <c r="W80" s="276">
        <f t="shared" si="14"/>
        <v>6169.6962071441676</v>
      </c>
      <c r="X80" s="276">
        <f t="shared" si="14"/>
        <v>6286.5643248403903</v>
      </c>
      <c r="Y80" s="276">
        <f t="shared" si="14"/>
        <v>6368.1589765627223</v>
      </c>
      <c r="Z80" s="276">
        <f t="shared" si="14"/>
        <v>6993.805969842314</v>
      </c>
      <c r="AA80" s="276">
        <f t="shared" si="14"/>
        <v>7403.2454779242407</v>
      </c>
      <c r="AB80" s="276">
        <f t="shared" si="14"/>
        <v>7553.1274054804881</v>
      </c>
      <c r="AC80" s="276">
        <f t="shared" si="14"/>
        <v>7579.4172526233224</v>
      </c>
      <c r="AD80" s="276">
        <f t="shared" si="14"/>
        <v>7616.1596080241752</v>
      </c>
      <c r="AE80" s="276">
        <f t="shared" si="14"/>
        <v>7632.8720065022653</v>
      </c>
      <c r="AF80" s="276">
        <f t="shared" si="14"/>
        <v>7612.3244043994318</v>
      </c>
      <c r="AG80" s="276">
        <f t="shared" si="14"/>
        <v>7649.805962133395</v>
      </c>
      <c r="AH80" s="276">
        <f t="shared" si="14"/>
        <v>7687.0224182160982</v>
      </c>
      <c r="AI80" s="276">
        <f t="shared" si="14"/>
        <v>7684.6891274456411</v>
      </c>
      <c r="AJ80" s="276">
        <f t="shared" si="14"/>
        <v>7703.2576699342135</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1.2734785303303142E-10</v>
      </c>
      <c r="H81" s="260">
        <f t="shared" si="15"/>
        <v>1.2263747490473643E-10</v>
      </c>
      <c r="I81" s="260">
        <f t="shared" si="15"/>
        <v>1.082325690498889E-10</v>
      </c>
      <c r="J81" s="260">
        <f t="shared" si="15"/>
        <v>1.0106679339818625E-10</v>
      </c>
      <c r="K81" s="260">
        <f t="shared" si="15"/>
        <v>9.2040500761006348E-11</v>
      </c>
      <c r="L81" s="260">
        <f t="shared" si="15"/>
        <v>7.4255937259961383E-11</v>
      </c>
      <c r="M81" s="260">
        <f t="shared" si="15"/>
        <v>4.7106124376192887E-11</v>
      </c>
      <c r="N81" s="260">
        <f t="shared" si="15"/>
        <v>3.1016541417723392E-11</v>
      </c>
      <c r="O81" s="260">
        <f t="shared" si="15"/>
        <v>3.0859818910500624E-11</v>
      </c>
      <c r="P81" s="260">
        <f t="shared" si="15"/>
        <v>2.8712875572248746E-11</v>
      </c>
      <c r="Q81" s="260">
        <f t="shared" si="15"/>
        <v>2.7577401692909824E-11</v>
      </c>
      <c r="R81" s="260">
        <f t="shared" ref="R81:AJ82" si="16">R74/SUM(R$74:R$78)</f>
        <v>2.585476937413235E-11</v>
      </c>
      <c r="S81" s="260">
        <f t="shared" si="16"/>
        <v>2.1497759758979635E-11</v>
      </c>
      <c r="T81" s="260">
        <f t="shared" si="16"/>
        <v>2.1293916234282915E-11</v>
      </c>
      <c r="U81" s="260">
        <f t="shared" si="16"/>
        <v>1.9433964633553779E-11</v>
      </c>
      <c r="V81" s="260">
        <f t="shared" si="16"/>
        <v>1.9117175244711117E-11</v>
      </c>
      <c r="W81" s="260">
        <f t="shared" si="16"/>
        <v>1.9084156568767401E-11</v>
      </c>
      <c r="X81" s="260">
        <f t="shared" si="16"/>
        <v>1.8688776317205997E-11</v>
      </c>
      <c r="Y81" s="260">
        <f t="shared" si="16"/>
        <v>1.8408070872307336E-11</v>
      </c>
      <c r="Z81" s="260">
        <f t="shared" si="16"/>
        <v>1.6517637594007824E-11</v>
      </c>
      <c r="AA81" s="260">
        <f t="shared" si="16"/>
        <v>1.5499077001771215E-11</v>
      </c>
      <c r="AB81" s="260">
        <f t="shared" si="16"/>
        <v>1.5170448357537654E-11</v>
      </c>
      <c r="AC81" s="260">
        <f t="shared" si="16"/>
        <v>1.5110184594415578E-11</v>
      </c>
      <c r="AD81" s="260">
        <f t="shared" si="16"/>
        <v>1.5058034099234823E-11</v>
      </c>
      <c r="AE81" s="260">
        <f t="shared" si="16"/>
        <v>1.5047999729071383E-11</v>
      </c>
      <c r="AF81" s="260">
        <f t="shared" si="16"/>
        <v>1.5106122108654323E-11</v>
      </c>
      <c r="AG81" s="260">
        <f t="shared" si="16"/>
        <v>1.5021072646926466E-11</v>
      </c>
      <c r="AH81" s="260">
        <f t="shared" si="16"/>
        <v>1.4937567003217283E-11</v>
      </c>
      <c r="AI81" s="260">
        <f t="shared" si="16"/>
        <v>1.4942775111316821E-11</v>
      </c>
      <c r="AJ81" s="260">
        <f t="shared" si="16"/>
        <v>1.4901428779318164E-11</v>
      </c>
      <c r="AK81" s="322"/>
    </row>
    <row r="82" spans="1:37" s="256" customFormat="1">
      <c r="A82" s="257" t="s">
        <v>340</v>
      </c>
      <c r="B82" s="260">
        <f t="shared" si="15"/>
        <v>5.3571428571428568E-2</v>
      </c>
      <c r="C82" s="260">
        <f t="shared" ref="C82:AA82" si="17">C75/SUM(C$74:C$78)</f>
        <v>2.5882352941176467E-2</v>
      </c>
      <c r="D82" s="260">
        <f t="shared" si="17"/>
        <v>0.29707792207792205</v>
      </c>
      <c r="E82" s="260">
        <f t="shared" si="17"/>
        <v>0.31832797427652737</v>
      </c>
      <c r="F82" s="260">
        <f t="shared" si="17"/>
        <v>0.38316400580551524</v>
      </c>
      <c r="G82" s="260">
        <f t="shared" si="17"/>
        <v>0.22079186626340286</v>
      </c>
      <c r="H82" s="260">
        <f t="shared" si="17"/>
        <v>0.2343803229260831</v>
      </c>
      <c r="I82" s="260">
        <f t="shared" si="17"/>
        <v>0.2521828488450214</v>
      </c>
      <c r="J82" s="260">
        <f t="shared" si="17"/>
        <v>0.23644507258923675</v>
      </c>
      <c r="K82" s="260">
        <f t="shared" si="17"/>
        <v>0.21398070533102334</v>
      </c>
      <c r="L82" s="260">
        <f t="shared" si="17"/>
        <v>0.17264430163852745</v>
      </c>
      <c r="M82" s="260">
        <f t="shared" si="17"/>
        <v>0.10952491990205339</v>
      </c>
      <c r="N82" s="260">
        <f t="shared" si="17"/>
        <v>7.2114579929130229E-2</v>
      </c>
      <c r="O82" s="260">
        <f t="shared" si="17"/>
        <v>7.1746720777623868E-2</v>
      </c>
      <c r="P82" s="261">
        <f t="shared" si="17"/>
        <v>6.6746412721072859E-2</v>
      </c>
      <c r="Q82" s="260">
        <f t="shared" si="17"/>
        <v>6.4101950602982904E-2</v>
      </c>
      <c r="R82" s="260">
        <f t="shared" si="17"/>
        <v>6.0093631517142192E-2</v>
      </c>
      <c r="S82" s="260">
        <f t="shared" si="17"/>
        <v>4.9962832901196248E-2</v>
      </c>
      <c r="T82" s="260">
        <f t="shared" si="17"/>
        <v>5.003796197610811E-2</v>
      </c>
      <c r="U82" s="260">
        <f t="shared" si="17"/>
        <v>4.5665203832489724E-2</v>
      </c>
      <c r="V82" s="260">
        <f t="shared" si="17"/>
        <v>4.4917907310548087E-2</v>
      </c>
      <c r="W82" s="260">
        <f t="shared" si="17"/>
        <v>4.4837235043117304E-2</v>
      </c>
      <c r="X82" s="260">
        <f t="shared" si="17"/>
        <v>4.3905091884058702E-2</v>
      </c>
      <c r="Y82" s="260">
        <f t="shared" si="17"/>
        <v>4.323905296725454E-2</v>
      </c>
      <c r="Z82" s="260">
        <f t="shared" si="17"/>
        <v>3.8791622135041087E-2</v>
      </c>
      <c r="AA82" s="260">
        <f t="shared" si="17"/>
        <v>3.6393566275107439E-2</v>
      </c>
      <c r="AB82" s="260">
        <f t="shared" si="16"/>
        <v>3.5615894108295215E-2</v>
      </c>
      <c r="AC82" s="260">
        <f t="shared" si="16"/>
        <v>3.5468242700482523E-2</v>
      </c>
      <c r="AD82" s="260">
        <f t="shared" si="16"/>
        <v>3.6104496612257057E-2</v>
      </c>
      <c r="AE82" s="260">
        <f t="shared" si="16"/>
        <v>3.6077049624161667E-2</v>
      </c>
      <c r="AF82" s="260">
        <f t="shared" si="16"/>
        <v>3.6212592340444855E-2</v>
      </c>
      <c r="AG82" s="260">
        <f t="shared" si="16"/>
        <v>3.6004710458349271E-2</v>
      </c>
      <c r="AH82" s="260">
        <f t="shared" si="16"/>
        <v>3.5800855124364379E-2</v>
      </c>
      <c r="AI82" s="260">
        <f t="shared" si="16"/>
        <v>3.5809721395462873E-2</v>
      </c>
      <c r="AJ82" s="260">
        <f t="shared" si="16"/>
        <v>3.5707428106156437E-2</v>
      </c>
      <c r="AK82" s="322"/>
    </row>
    <row r="83" spans="1:37" s="256" customFormat="1">
      <c r="A83" s="257" t="s">
        <v>336</v>
      </c>
      <c r="B83" s="260">
        <f>B76/SUM(B$74:B$78)</f>
        <v>0.9151785714285714</v>
      </c>
      <c r="C83" s="260">
        <f t="shared" ref="C83:AJ83" si="18">C76/SUM(C$74:C$78)</f>
        <v>0.93882352941176461</v>
      </c>
      <c r="D83" s="260">
        <f t="shared" si="18"/>
        <v>0.6785714285714286</v>
      </c>
      <c r="E83" s="260">
        <f t="shared" si="18"/>
        <v>0.65916398713826363</v>
      </c>
      <c r="F83" s="260">
        <f t="shared" si="18"/>
        <v>0.57910014513788099</v>
      </c>
      <c r="G83" s="260">
        <f t="shared" si="18"/>
        <v>0.57360335073517665</v>
      </c>
      <c r="H83" s="260">
        <f t="shared" si="18"/>
        <v>0.53196829592803874</v>
      </c>
      <c r="I83" s="260">
        <f t="shared" si="18"/>
        <v>0.51080494597733517</v>
      </c>
      <c r="J83" s="260">
        <f t="shared" si="18"/>
        <v>0.54170552313019793</v>
      </c>
      <c r="K83" s="260">
        <f t="shared" si="18"/>
        <v>0.58258557589039128</v>
      </c>
      <c r="L83" s="260">
        <f t="shared" si="18"/>
        <v>0.66219870716792084</v>
      </c>
      <c r="M83" s="260">
        <f t="shared" si="18"/>
        <v>0.78571129125071326</v>
      </c>
      <c r="N83" s="260">
        <f t="shared" si="18"/>
        <v>0.8589135266000556</v>
      </c>
      <c r="O83" s="260">
        <f t="shared" si="18"/>
        <v>0.85963692465791741</v>
      </c>
      <c r="P83" s="261">
        <f t="shared" si="18"/>
        <v>0.8693894279334734</v>
      </c>
      <c r="Q83" s="260">
        <f t="shared" si="18"/>
        <v>0.87455304066339656</v>
      </c>
      <c r="R83" s="260">
        <f t="shared" si="18"/>
        <v>0.88238657986181523</v>
      </c>
      <c r="S83" s="260">
        <f t="shared" si="18"/>
        <v>0.90220383986459618</v>
      </c>
      <c r="T83" s="260">
        <f t="shared" si="18"/>
        <v>0.90255253596295115</v>
      </c>
      <c r="U83" s="260">
        <f t="shared" si="18"/>
        <v>0.91102708064488547</v>
      </c>
      <c r="V83" s="260">
        <f t="shared" si="18"/>
        <v>0.91242001427857877</v>
      </c>
      <c r="W83" s="260">
        <f t="shared" si="18"/>
        <v>0.91250788842135899</v>
      </c>
      <c r="X83" s="260">
        <f t="shared" si="18"/>
        <v>0.9142595065852932</v>
      </c>
      <c r="Y83" s="260">
        <f t="shared" si="18"/>
        <v>0.91548830899432676</v>
      </c>
      <c r="Z83" s="260">
        <f t="shared" si="18"/>
        <v>0.92410678980944894</v>
      </c>
      <c r="AA83" s="260">
        <f t="shared" si="18"/>
        <v>0.92874148840076176</v>
      </c>
      <c r="AB83" s="260">
        <f t="shared" si="18"/>
        <v>0.93020889130980022</v>
      </c>
      <c r="AC83" s="260">
        <f t="shared" si="18"/>
        <v>0.9303980961725774</v>
      </c>
      <c r="AD83" s="260">
        <f t="shared" si="18"/>
        <v>0.92972565511146554</v>
      </c>
      <c r="AE83" s="260">
        <f t="shared" si="18"/>
        <v>0.92967034948318694</v>
      </c>
      <c r="AF83" s="260">
        <f t="shared" si="18"/>
        <v>0.92933564099392751</v>
      </c>
      <c r="AG83" s="260">
        <f t="shared" si="18"/>
        <v>0.92954092060249371</v>
      </c>
      <c r="AH83" s="260">
        <f t="shared" si="18"/>
        <v>0.9297891830995404</v>
      </c>
      <c r="AI83" s="260">
        <f t="shared" si="18"/>
        <v>0.9294699341905126</v>
      </c>
      <c r="AJ83" s="260">
        <f t="shared" si="18"/>
        <v>0.92925265718425587</v>
      </c>
      <c r="AK83" s="322"/>
    </row>
    <row r="84" spans="1:37" s="256" customFormat="1">
      <c r="A84" s="257" t="s">
        <v>338</v>
      </c>
      <c r="B84" s="260">
        <f>B77/SUM(B$74:B$78)</f>
        <v>0</v>
      </c>
      <c r="C84" s="260">
        <f t="shared" ref="C84:AJ84" si="19">C77/SUM(C$74:C$78)</f>
        <v>0</v>
      </c>
      <c r="D84" s="260">
        <f t="shared" si="19"/>
        <v>0</v>
      </c>
      <c r="E84" s="260">
        <f t="shared" si="19"/>
        <v>0</v>
      </c>
      <c r="F84" s="260">
        <f t="shared" si="19"/>
        <v>1.8867924528301886E-2</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3.125E-2</v>
      </c>
      <c r="C85" s="260">
        <f t="shared" ref="C85:AJ85" si="20">C78/SUM(C$74:C$78)</f>
        <v>3.5294117647058816E-2</v>
      </c>
      <c r="D85" s="260">
        <f t="shared" si="20"/>
        <v>2.4350649350649348E-2</v>
      </c>
      <c r="E85" s="260">
        <f t="shared" si="20"/>
        <v>2.2508038585209004E-2</v>
      </c>
      <c r="F85" s="260">
        <f t="shared" si="20"/>
        <v>1.8867924528301886E-2</v>
      </c>
      <c r="G85" s="260">
        <f t="shared" si="20"/>
        <v>0.20560478287407269</v>
      </c>
      <c r="H85" s="260">
        <f t="shared" si="20"/>
        <v>0.23365138102324071</v>
      </c>
      <c r="I85" s="260">
        <f t="shared" si="20"/>
        <v>0.23701220506941081</v>
      </c>
      <c r="J85" s="260">
        <f t="shared" si="20"/>
        <v>0.22184940417949858</v>
      </c>
      <c r="K85" s="260">
        <f t="shared" si="20"/>
        <v>0.20343371868654475</v>
      </c>
      <c r="L85" s="260">
        <f t="shared" si="20"/>
        <v>0.1651569911192958</v>
      </c>
      <c r="M85" s="260">
        <f t="shared" si="20"/>
        <v>0.10476378880012738</v>
      </c>
      <c r="N85" s="260">
        <f t="shared" si="20"/>
        <v>6.8971893439797649E-2</v>
      </c>
      <c r="O85" s="260">
        <f t="shared" si="20"/>
        <v>6.8616354533598878E-2</v>
      </c>
      <c r="P85" s="261">
        <f t="shared" si="20"/>
        <v>6.3864159316740957E-2</v>
      </c>
      <c r="Q85" s="260">
        <f t="shared" si="20"/>
        <v>6.1345008706043064E-2</v>
      </c>
      <c r="R85" s="260">
        <f t="shared" si="20"/>
        <v>5.7519788595187735E-2</v>
      </c>
      <c r="S85" s="260">
        <f t="shared" si="20"/>
        <v>4.7833327212709789E-2</v>
      </c>
      <c r="T85" s="260">
        <f t="shared" si="20"/>
        <v>4.7409502039646875E-2</v>
      </c>
      <c r="U85" s="260">
        <f t="shared" si="20"/>
        <v>4.3307715503190847E-2</v>
      </c>
      <c r="V85" s="260">
        <f t="shared" si="20"/>
        <v>4.2662078391755905E-2</v>
      </c>
      <c r="W85" s="260">
        <f t="shared" si="20"/>
        <v>4.2654876516439517E-2</v>
      </c>
      <c r="X85" s="260">
        <f t="shared" si="20"/>
        <v>4.1835401511959434E-2</v>
      </c>
      <c r="Y85" s="260">
        <f t="shared" si="20"/>
        <v>4.1272638020010577E-2</v>
      </c>
      <c r="Z85" s="260">
        <f t="shared" si="20"/>
        <v>3.7101588038992224E-2</v>
      </c>
      <c r="AA85" s="260">
        <f t="shared" si="20"/>
        <v>3.4864945308631656E-2</v>
      </c>
      <c r="AB85" s="260">
        <f t="shared" si="20"/>
        <v>3.4175214566734148E-2</v>
      </c>
      <c r="AC85" s="260">
        <f t="shared" si="20"/>
        <v>3.4133661111829895E-2</v>
      </c>
      <c r="AD85" s="260">
        <f t="shared" si="20"/>
        <v>3.4169848261219375E-2</v>
      </c>
      <c r="AE85" s="260">
        <f t="shared" si="20"/>
        <v>3.4252600877603234E-2</v>
      </c>
      <c r="AF85" s="260">
        <f t="shared" si="20"/>
        <v>3.4451766650521624E-2</v>
      </c>
      <c r="AG85" s="260">
        <f t="shared" si="20"/>
        <v>3.4454368924135989E-2</v>
      </c>
      <c r="AH85" s="260">
        <f t="shared" si="20"/>
        <v>3.4409961761157584E-2</v>
      </c>
      <c r="AI85" s="260">
        <f t="shared" si="20"/>
        <v>3.4720344399081692E-2</v>
      </c>
      <c r="AJ85" s="260">
        <f t="shared" si="20"/>
        <v>3.5039914694686286E-2</v>
      </c>
      <c r="AK85" s="322"/>
    </row>
    <row r="86" spans="1:37" s="256" customFormat="1">
      <c r="A86" s="256" t="s">
        <v>341</v>
      </c>
      <c r="B86" s="260">
        <f>SUM(B81:B85)</f>
        <v>1</v>
      </c>
      <c r="C86" s="260">
        <f t="shared" ref="C86:AJ86" si="21">SUM(C81:C85)</f>
        <v>0.99999999999999989</v>
      </c>
      <c r="D86" s="260">
        <f t="shared" si="21"/>
        <v>1</v>
      </c>
      <c r="E86" s="260">
        <f t="shared" si="21"/>
        <v>1</v>
      </c>
      <c r="F86" s="260">
        <f t="shared" si="21"/>
        <v>1</v>
      </c>
      <c r="G86" s="260">
        <f t="shared" si="21"/>
        <v>1</v>
      </c>
      <c r="H86" s="260">
        <f t="shared" si="21"/>
        <v>1</v>
      </c>
      <c r="I86" s="260">
        <f t="shared" si="21"/>
        <v>1</v>
      </c>
      <c r="J86" s="260">
        <f t="shared" si="21"/>
        <v>1</v>
      </c>
      <c r="K86" s="260">
        <f t="shared" si="21"/>
        <v>0.99999999999999978</v>
      </c>
      <c r="L86" s="260">
        <f t="shared" si="21"/>
        <v>1</v>
      </c>
      <c r="M86" s="260">
        <f t="shared" si="21"/>
        <v>1</v>
      </c>
      <c r="N86" s="260">
        <f t="shared" si="21"/>
        <v>1</v>
      </c>
      <c r="O86" s="260">
        <f t="shared" si="21"/>
        <v>1</v>
      </c>
      <c r="P86" s="260">
        <f t="shared" si="21"/>
        <v>1.0000000000000002</v>
      </c>
      <c r="Q86" s="260">
        <f t="shared" si="21"/>
        <v>1</v>
      </c>
      <c r="R86" s="260">
        <f t="shared" si="21"/>
        <v>0.99999999999999989</v>
      </c>
      <c r="S86" s="260">
        <f t="shared" si="21"/>
        <v>1</v>
      </c>
      <c r="T86" s="260">
        <f t="shared" si="21"/>
        <v>1</v>
      </c>
      <c r="U86" s="260">
        <f t="shared" si="21"/>
        <v>1</v>
      </c>
      <c r="V86" s="260">
        <f t="shared" si="21"/>
        <v>1</v>
      </c>
      <c r="W86" s="260">
        <f t="shared" si="21"/>
        <v>1</v>
      </c>
      <c r="X86" s="260">
        <f t="shared" si="21"/>
        <v>1.0000000000000002</v>
      </c>
      <c r="Y86" s="260">
        <f t="shared" si="21"/>
        <v>1</v>
      </c>
      <c r="Z86" s="260">
        <f t="shared" si="21"/>
        <v>0.99999999999999989</v>
      </c>
      <c r="AA86" s="260">
        <f t="shared" si="21"/>
        <v>1</v>
      </c>
      <c r="AB86" s="260">
        <f t="shared" si="21"/>
        <v>1</v>
      </c>
      <c r="AC86" s="260">
        <f t="shared" si="21"/>
        <v>1</v>
      </c>
      <c r="AD86" s="260">
        <f t="shared" si="21"/>
        <v>1</v>
      </c>
      <c r="AE86" s="260">
        <f t="shared" si="21"/>
        <v>0.99999999999999978</v>
      </c>
      <c r="AF86" s="260">
        <f t="shared" si="21"/>
        <v>1</v>
      </c>
      <c r="AG86" s="260">
        <f t="shared" si="21"/>
        <v>1</v>
      </c>
      <c r="AH86" s="260">
        <f t="shared" si="21"/>
        <v>1</v>
      </c>
      <c r="AI86" s="260">
        <f t="shared" si="21"/>
        <v>0.99999999999999989</v>
      </c>
      <c r="AJ86" s="260">
        <f t="shared" si="21"/>
        <v>1</v>
      </c>
      <c r="AK86" s="322"/>
    </row>
    <row r="87" spans="1:37">
      <c r="A87" s="566" t="s">
        <v>631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row>
    <row r="88" spans="1:37">
      <c r="A88" s="565" t="s">
        <v>664</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row>
    <row r="89" spans="1:37">
      <c r="A89" s="565" t="s">
        <v>665</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row>
    <row r="90" spans="1:37">
      <c r="A90" s="565" t="s">
        <v>666</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row>
    <row r="91" spans="1:37">
      <c r="A91" s="565" t="s">
        <v>667</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row>
    <row r="92" spans="1:37">
      <c r="A92" s="565" t="s">
        <v>668</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row>
    <row r="93" spans="1:37">
      <c r="A93" s="565" t="s">
        <v>669</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row>
    <row r="94" spans="1:37">
      <c r="A94" s="565" t="s">
        <v>670</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row>
    <row r="95" spans="1:37">
      <c r="A95" s="565" t="s">
        <v>671</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row>
    <row r="96" spans="1:37">
      <c r="A96" s="565" t="s">
        <v>672</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row>
    <row r="97" spans="1:32">
      <c r="A97" s="565" t="s">
        <v>673</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row>
    <row r="98" spans="1:32">
      <c r="A98" s="565" t="s">
        <v>674</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row>
    <row r="99" spans="1:32">
      <c r="A99" s="565" t="s">
        <v>675</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row>
    <row r="100" spans="1:32">
      <c r="A100" s="565" t="s">
        <v>676</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row>
    <row r="101" spans="1:32">
      <c r="A101" s="565" t="s">
        <v>677</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row>
    <row r="102" spans="1:32">
      <c r="A102" s="565" t="s">
        <v>678</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row>
    <row r="103" spans="1:32">
      <c r="A103" s="565" t="s">
        <v>679</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row>
    <row r="104" spans="1:32">
      <c r="A104" s="565" t="s">
        <v>680</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row>
    <row r="105" spans="1:32">
      <c r="A105" s="565" t="s">
        <v>681</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row>
    <row r="106" spans="1:32">
      <c r="A106" s="565" t="s">
        <v>682</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row>
    <row r="107" spans="1:32">
      <c r="A107" s="565" t="s">
        <v>683</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row>
    <row r="108" spans="1:32">
      <c r="A108" s="565" t="s">
        <v>635</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row>
    <row r="109" spans="1:32">
      <c r="A109" s="565" t="s">
        <v>684</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2">
      <c r="A110" s="565" t="s">
        <v>685</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2">
      <c r="A111" s="565" t="s">
        <v>642</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2">
      <c r="A112" s="565" t="s">
        <v>643</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644</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686</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687</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619</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620</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621</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688</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689</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623</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626</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2015-02-19T00:53:01Z</dcterms:modified>
</cp:coreProperties>
</file>