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G56" i="11"/>
  <c r="G58" i="11"/>
  <c r="H108" i="15"/>
  <c r="H113" i="15"/>
  <c r="H118" i="15"/>
  <c r="H135" i="15"/>
  <c r="H140" i="15"/>
  <c r="H145" i="15"/>
  <c r="H179" i="15"/>
  <c r="H47" i="9"/>
  <c r="H52" i="9"/>
  <c r="H55" i="9"/>
  <c r="H65" i="9"/>
  <c r="H70" i="9"/>
  <c r="H73" i="9"/>
  <c r="H176" i="15"/>
  <c r="H182" i="15"/>
  <c r="H185" i="15"/>
  <c r="G54" i="8"/>
  <c r="H54" i="8"/>
  <c r="I54" i="8"/>
  <c r="J54" i="8"/>
  <c r="K54" i="8"/>
  <c r="L54" i="8"/>
  <c r="M54" i="8"/>
  <c r="N54" i="8"/>
  <c r="O54" i="8"/>
  <c r="P54" i="8"/>
  <c r="Q54" i="8"/>
  <c r="R54" i="8"/>
  <c r="S54" i="8"/>
  <c r="T54" i="8"/>
  <c r="U54" i="8"/>
  <c r="V54" i="8"/>
  <c r="W54" i="8"/>
  <c r="X54" i="8"/>
  <c r="Y54" i="8"/>
  <c r="Z54" i="8"/>
  <c r="AA54" i="8"/>
  <c r="AB54" i="8"/>
  <c r="AC54" i="8"/>
  <c r="AD54" i="8"/>
  <c r="AE54" i="8"/>
  <c r="AF54" i="8"/>
  <c r="AG54" i="8"/>
  <c r="AH54" i="8"/>
  <c r="AI54" i="8"/>
  <c r="AJ54" i="8"/>
  <c r="F54" i="8"/>
  <c r="AH13" i="9"/>
  <c r="C30" i="5"/>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G54" i="11"/>
  <c r="P74" i="8"/>
  <c r="N11" i="9"/>
  <c r="P58" i="11"/>
  <c r="N13" i="15"/>
  <c r="N14" i="15"/>
  <c r="D19" i="5"/>
  <c r="N13" i="9"/>
  <c r="N18" i="9"/>
  <c r="D11" i="5"/>
  <c r="C19" i="5"/>
  <c r="F19" i="5"/>
  <c r="I19" i="5"/>
  <c r="AJ58" i="11"/>
  <c r="AH13" i="15"/>
  <c r="AH14" i="15"/>
  <c r="AH35" i="15"/>
  <c r="D17" i="5"/>
  <c r="C17" i="5"/>
  <c r="F17" i="5"/>
  <c r="I17" i="5"/>
  <c r="AH34" i="15"/>
  <c r="D20" i="5"/>
  <c r="C20" i="5"/>
  <c r="F20" i="5"/>
  <c r="I20" i="5"/>
  <c r="AH37" i="15"/>
  <c r="D21" i="5"/>
  <c r="C21" i="5"/>
  <c r="F21" i="5"/>
  <c r="I21" i="5"/>
  <c r="AH38" i="15"/>
  <c r="D22" i="5"/>
  <c r="C22" i="5"/>
  <c r="F22" i="5"/>
  <c r="I22" i="5"/>
  <c r="AH39" i="15"/>
  <c r="D18" i="5"/>
  <c r="C18" i="5"/>
  <c r="F18" i="5"/>
  <c r="I18" i="5"/>
  <c r="AH40" i="15"/>
  <c r="D23" i="5"/>
  <c r="C23" i="5"/>
  <c r="F23" i="5"/>
  <c r="I23" i="5"/>
  <c r="AH42" i="15"/>
  <c r="D35" i="5"/>
  <c r="C35" i="5"/>
  <c r="Z58" i="11"/>
  <c r="X13" i="15"/>
  <c r="X14" i="15"/>
  <c r="D29" i="5"/>
  <c r="C29" i="5"/>
  <c r="D28" i="5"/>
  <c r="C28" i="5"/>
  <c r="F35" i="5"/>
  <c r="H35" i="5"/>
  <c r="AH26" i="15"/>
  <c r="AH31" i="15"/>
  <c r="D36" i="5"/>
  <c r="C36" i="5"/>
  <c r="F36" i="5"/>
  <c r="H36" i="5"/>
  <c r="AH18" i="15"/>
  <c r="AH32" i="15"/>
  <c r="AH43" i="15"/>
  <c r="F34" i="5"/>
  <c r="H34" i="5"/>
  <c r="AH24" i="15"/>
  <c r="AH30" i="15"/>
  <c r="AH47" i="15"/>
  <c r="AH48" i="15"/>
  <c r="AH49" i="15"/>
  <c r="AH87" i="15"/>
  <c r="X35" i="15"/>
  <c r="X34" i="15"/>
  <c r="X37" i="15"/>
  <c r="X38" i="15"/>
  <c r="X39" i="15"/>
  <c r="X40" i="15"/>
  <c r="X42" i="15"/>
  <c r="X26" i="15"/>
  <c r="X31" i="15"/>
  <c r="X18" i="15"/>
  <c r="X32" i="15"/>
  <c r="X43" i="15"/>
  <c r="X24" i="15"/>
  <c r="X30" i="15"/>
  <c r="X47" i="15"/>
  <c r="X48" i="15"/>
  <c r="X49" i="15"/>
  <c r="X87" i="15"/>
  <c r="AH72" i="15"/>
  <c r="AH93" i="15"/>
  <c r="X93" i="15"/>
  <c r="AH78" i="15"/>
  <c r="AH94" i="15"/>
  <c r="X94" i="15"/>
  <c r="AH79" i="15"/>
  <c r="C24" i="5"/>
  <c r="E17" i="5"/>
  <c r="N20" i="15"/>
  <c r="N16" i="15"/>
  <c r="N19" i="15"/>
  <c r="N21" i="15"/>
  <c r="N34" i="15"/>
  <c r="E19" i="5"/>
  <c r="N35" i="15"/>
  <c r="E20" i="5"/>
  <c r="N37" i="15"/>
  <c r="E21" i="5"/>
  <c r="N38" i="15"/>
  <c r="E22" i="5"/>
  <c r="N39" i="15"/>
  <c r="E18" i="5"/>
  <c r="N40" i="15"/>
  <c r="E23" i="5"/>
  <c r="N42" i="15"/>
  <c r="N26" i="15"/>
  <c r="N31" i="15"/>
  <c r="N18" i="15"/>
  <c r="N32" i="15"/>
  <c r="N43" i="15"/>
  <c r="N30" i="15"/>
  <c r="N47" i="15"/>
  <c r="N48" i="15"/>
  <c r="N49" i="15"/>
  <c r="N93" i="15"/>
  <c r="X78" i="15"/>
  <c r="N94" i="15"/>
  <c r="X79" i="15"/>
  <c r="N87" i="15"/>
  <c r="X72" i="15"/>
  <c r="J74" i="8"/>
  <c r="H11" i="9"/>
  <c r="H35" i="15"/>
  <c r="H13" i="9"/>
  <c r="H38" i="15"/>
  <c r="H43" i="15"/>
  <c r="J58" i="11"/>
  <c r="H14" i="15"/>
  <c r="H30" i="15"/>
  <c r="H47" i="15"/>
  <c r="H48" i="15"/>
  <c r="H49" i="15"/>
  <c r="H93" i="15"/>
  <c r="N78" i="15"/>
  <c r="H94" i="15"/>
  <c r="N79" i="15"/>
  <c r="H87" i="15"/>
  <c r="N72" i="15"/>
  <c r="H76" i="8"/>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G76" i="8"/>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49" i="11"/>
  <c r="H50" i="11"/>
  <c r="H51" i="11"/>
  <c r="H58" i="11"/>
  <c r="I49" i="11"/>
  <c r="I50" i="11"/>
  <c r="I51" i="11"/>
  <c r="I58" i="11"/>
  <c r="J49" i="11"/>
  <c r="J50" i="11"/>
  <c r="J51" i="11"/>
  <c r="K49" i="11"/>
  <c r="K50" i="11"/>
  <c r="K51" i="11"/>
  <c r="K58" i="11"/>
  <c r="L49" i="11"/>
  <c r="L50" i="11"/>
  <c r="L51" i="11"/>
  <c r="L58" i="11"/>
  <c r="M49" i="11"/>
  <c r="M50" i="11"/>
  <c r="M51" i="11"/>
  <c r="M58" i="11"/>
  <c r="N49" i="11"/>
  <c r="N50" i="11"/>
  <c r="N51" i="11"/>
  <c r="N58" i="11"/>
  <c r="O49" i="11"/>
  <c r="O50" i="11"/>
  <c r="O51" i="11"/>
  <c r="O58" i="11"/>
  <c r="P49" i="11"/>
  <c r="P50" i="11"/>
  <c r="P51" i="11"/>
  <c r="Q49" i="11"/>
  <c r="Q50" i="11"/>
  <c r="Q51" i="11"/>
  <c r="Q58" i="11"/>
  <c r="R49" i="11"/>
  <c r="R50" i="11"/>
  <c r="R51" i="11"/>
  <c r="R58" i="11"/>
  <c r="S49" i="11"/>
  <c r="S50" i="11"/>
  <c r="S51" i="11"/>
  <c r="S58" i="11"/>
  <c r="T49" i="11"/>
  <c r="T50" i="11"/>
  <c r="T51" i="11"/>
  <c r="T58" i="11"/>
  <c r="U49" i="11"/>
  <c r="U50" i="11"/>
  <c r="U51" i="11"/>
  <c r="U58" i="11"/>
  <c r="V49" i="11"/>
  <c r="V50" i="11"/>
  <c r="V51" i="11"/>
  <c r="V58" i="11"/>
  <c r="W49" i="11"/>
  <c r="W50" i="11"/>
  <c r="W51" i="11"/>
  <c r="W58" i="11"/>
  <c r="X49" i="11"/>
  <c r="X50" i="11"/>
  <c r="X51" i="11"/>
  <c r="X58" i="11"/>
  <c r="Y49" i="11"/>
  <c r="Y50" i="11"/>
  <c r="Y51" i="11"/>
  <c r="Y58" i="11"/>
  <c r="Z49" i="11"/>
  <c r="Z50" i="11"/>
  <c r="Z51" i="11"/>
  <c r="AA49" i="11"/>
  <c r="AA50" i="11"/>
  <c r="AA51" i="11"/>
  <c r="AA58" i="11"/>
  <c r="AB49" i="11"/>
  <c r="AB50" i="11"/>
  <c r="AB51" i="11"/>
  <c r="AB58" i="11"/>
  <c r="AC49" i="11"/>
  <c r="AC50" i="11"/>
  <c r="AC51" i="11"/>
  <c r="AC58" i="11"/>
  <c r="AD49" i="11"/>
  <c r="AD50" i="11"/>
  <c r="AD51" i="11"/>
  <c r="AD58" i="11"/>
  <c r="AE49" i="11"/>
  <c r="AE50" i="11"/>
  <c r="AE51" i="11"/>
  <c r="AE58" i="11"/>
  <c r="AF49" i="11"/>
  <c r="AF50" i="11"/>
  <c r="AF51" i="11"/>
  <c r="AF58" i="11"/>
  <c r="AG49" i="11"/>
  <c r="AG50" i="11"/>
  <c r="AG51" i="11"/>
  <c r="AG58" i="11"/>
  <c r="AH49" i="11"/>
  <c r="AH50" i="11"/>
  <c r="AH51" i="11"/>
  <c r="AH58" i="11"/>
  <c r="AI49" i="11"/>
  <c r="AI50" i="11"/>
  <c r="AI51" i="11"/>
  <c r="AI58" i="11"/>
  <c r="AJ49" i="11"/>
  <c r="AJ50" i="11"/>
  <c r="AJ51" i="11"/>
  <c r="AH16" i="15"/>
  <c r="Z13" i="15"/>
  <c r="Z14" i="15"/>
  <c r="N10" i="9"/>
  <c r="N8" i="9"/>
  <c r="P73" i="8"/>
  <c r="N7" i="9"/>
  <c r="P75" i="8"/>
  <c r="N12" i="9"/>
  <c r="P78" i="8"/>
  <c r="N16" i="9"/>
  <c r="N14" i="9"/>
  <c r="X8" i="9"/>
  <c r="Z73" i="8"/>
  <c r="X7" i="9"/>
  <c r="X46" i="15"/>
  <c r="Z60" i="11"/>
  <c r="X58" i="15"/>
  <c r="AH46" i="15"/>
  <c r="AJ60" i="11"/>
  <c r="AH86" i="15"/>
  <c r="X86" i="15"/>
  <c r="AH71" i="15"/>
  <c r="Y58" i="15"/>
  <c r="Z58" i="15"/>
  <c r="Z10" i="9"/>
  <c r="Z34" i="15"/>
  <c r="Y26" i="15"/>
  <c r="Z26" i="15"/>
  <c r="Z31" i="15"/>
  <c r="Y18" i="15"/>
  <c r="Z18" i="15"/>
  <c r="Z32" i="15"/>
  <c r="X59" i="15"/>
  <c r="Y59" i="15"/>
  <c r="Z59" i="15"/>
  <c r="AB74" i="8"/>
  <c r="Z11" i="9"/>
  <c r="Z35" i="15"/>
  <c r="X61" i="15"/>
  <c r="AH89" i="15"/>
  <c r="X89" i="15"/>
  <c r="AH74" i="15"/>
  <c r="Y61" i="15"/>
  <c r="Z61" i="15"/>
  <c r="AB75" i="8"/>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AB78" i="8"/>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C74" i="8"/>
  <c r="AA11" i="9"/>
  <c r="AA35" i="15"/>
  <c r="AA61" i="15"/>
  <c r="AC75" i="8"/>
  <c r="AA12" i="9"/>
  <c r="AA37" i="15"/>
  <c r="AA62" i="15"/>
  <c r="AA13" i="9"/>
  <c r="AA38" i="15"/>
  <c r="AA63" i="15"/>
  <c r="AA14" i="9"/>
  <c r="AA39" i="15"/>
  <c r="AA64" i="15"/>
  <c r="AA40" i="15"/>
  <c r="AA66" i="15"/>
  <c r="AC78" i="8"/>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D74" i="8"/>
  <c r="AB11" i="9"/>
  <c r="AB35" i="15"/>
  <c r="AB61" i="15"/>
  <c r="AD75" i="8"/>
  <c r="AB12" i="9"/>
  <c r="AB37" i="15"/>
  <c r="AB62" i="15"/>
  <c r="AB13" i="9"/>
  <c r="AB38" i="15"/>
  <c r="AB63" i="15"/>
  <c r="AB14" i="9"/>
  <c r="AB39" i="15"/>
  <c r="AB64" i="15"/>
  <c r="AB40" i="15"/>
  <c r="AB66" i="15"/>
  <c r="AD78" i="8"/>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E74" i="8"/>
  <c r="AC11" i="9"/>
  <c r="AC35" i="15"/>
  <c r="AC61" i="15"/>
  <c r="AE75" i="8"/>
  <c r="AC12" i="9"/>
  <c r="AC37" i="15"/>
  <c r="AC62" i="15"/>
  <c r="AC13" i="9"/>
  <c r="AC38" i="15"/>
  <c r="AC63" i="15"/>
  <c r="AC14" i="9"/>
  <c r="AC39" i="15"/>
  <c r="AC64" i="15"/>
  <c r="AC40" i="15"/>
  <c r="AC66" i="15"/>
  <c r="AE78" i="8"/>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F74" i="8"/>
  <c r="AD11" i="9"/>
  <c r="AD35" i="15"/>
  <c r="AD61" i="15"/>
  <c r="AF75" i="8"/>
  <c r="AD12" i="9"/>
  <c r="AD37" i="15"/>
  <c r="AD62" i="15"/>
  <c r="AD13" i="9"/>
  <c r="AD38" i="15"/>
  <c r="AD63" i="15"/>
  <c r="AD14" i="9"/>
  <c r="AD39" i="15"/>
  <c r="AD64" i="15"/>
  <c r="AD40" i="15"/>
  <c r="AD66" i="15"/>
  <c r="AF78" i="8"/>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G74" i="8"/>
  <c r="AE11" i="9"/>
  <c r="AE35" i="15"/>
  <c r="AE61" i="15"/>
  <c r="AG75" i="8"/>
  <c r="AE12" i="9"/>
  <c r="AE37" i="15"/>
  <c r="AE62" i="15"/>
  <c r="AE13" i="9"/>
  <c r="AE38" i="15"/>
  <c r="AE63" i="15"/>
  <c r="AE14" i="9"/>
  <c r="AE39" i="15"/>
  <c r="AE64" i="15"/>
  <c r="AE40" i="15"/>
  <c r="AE66" i="15"/>
  <c r="AG78" i="8"/>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H74" i="8"/>
  <c r="AF11" i="9"/>
  <c r="AF35" i="15"/>
  <c r="AF61" i="15"/>
  <c r="AH75" i="8"/>
  <c r="AF12" i="9"/>
  <c r="AF37" i="15"/>
  <c r="AF62" i="15"/>
  <c r="AF13" i="9"/>
  <c r="AF38" i="15"/>
  <c r="AF63" i="15"/>
  <c r="AF14" i="9"/>
  <c r="AF39" i="15"/>
  <c r="AF64" i="15"/>
  <c r="AF40" i="15"/>
  <c r="AF66" i="15"/>
  <c r="AH78" i="8"/>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I74" i="8"/>
  <c r="AG11" i="9"/>
  <c r="AG35" i="15"/>
  <c r="AG61" i="15"/>
  <c r="AI75" i="8"/>
  <c r="AG12" i="9"/>
  <c r="AG37" i="15"/>
  <c r="AG62" i="15"/>
  <c r="AG13" i="9"/>
  <c r="AG38" i="15"/>
  <c r="AG63" i="15"/>
  <c r="AG14" i="9"/>
  <c r="AG39" i="15"/>
  <c r="AG64" i="15"/>
  <c r="AG40" i="15"/>
  <c r="AG66" i="15"/>
  <c r="AI78" i="8"/>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AA74" i="8"/>
  <c r="Y11" i="9"/>
  <c r="Y35" i="15"/>
  <c r="AA75" i="8"/>
  <c r="Y12" i="9"/>
  <c r="Y37" i="15"/>
  <c r="Y13" i="9"/>
  <c r="Y38" i="15"/>
  <c r="Y14" i="9"/>
  <c r="Y39" i="15"/>
  <c r="Y40" i="15"/>
  <c r="AA78" i="8"/>
  <c r="Y16" i="9"/>
  <c r="Y42" i="15"/>
  <c r="Y43" i="15"/>
  <c r="Y30" i="15"/>
  <c r="Y46" i="15"/>
  <c r="AA60" i="11"/>
  <c r="Y47" i="15"/>
  <c r="Y48" i="15"/>
  <c r="Y49" i="15"/>
  <c r="Y86" i="15"/>
  <c r="Y87" i="15"/>
  <c r="Y88" i="15"/>
  <c r="Y89" i="15"/>
  <c r="Y90" i="15"/>
  <c r="Y91" i="15"/>
  <c r="Y92" i="15"/>
  <c r="Y93" i="15"/>
  <c r="Y94" i="15"/>
  <c r="Y95" i="15"/>
  <c r="Y16" i="15"/>
  <c r="G11" i="5"/>
  <c r="E11" i="5"/>
  <c r="H79" i="8"/>
  <c r="I79" i="8"/>
  <c r="J79" i="8"/>
  <c r="K79" i="8"/>
  <c r="L79" i="8"/>
  <c r="M79" i="8"/>
  <c r="N79" i="8"/>
  <c r="O79" i="8"/>
  <c r="P79" i="8"/>
  <c r="Q79" i="8"/>
  <c r="R79" i="8"/>
  <c r="S79" i="8"/>
  <c r="T79" i="8"/>
  <c r="U79" i="8"/>
  <c r="V79" i="8"/>
  <c r="W79" i="8"/>
  <c r="X79" i="8"/>
  <c r="Y79" i="8"/>
  <c r="Z79" i="8"/>
  <c r="AA79" i="8"/>
  <c r="AB79" i="8"/>
  <c r="AC79" i="8"/>
  <c r="AD79" i="8"/>
  <c r="AE79" i="8"/>
  <c r="AF79" i="8"/>
  <c r="AG79" i="8"/>
  <c r="AH79" i="8"/>
  <c r="AI79" i="8"/>
  <c r="AJ79" i="8"/>
  <c r="H78" i="8"/>
  <c r="I78" i="8"/>
  <c r="J78" i="8"/>
  <c r="K78" i="8"/>
  <c r="L78" i="8"/>
  <c r="M78" i="8"/>
  <c r="N78" i="8"/>
  <c r="O78" i="8"/>
  <c r="Q78" i="8"/>
  <c r="R78" i="8"/>
  <c r="S78" i="8"/>
  <c r="T78" i="8"/>
  <c r="U78" i="8"/>
  <c r="V78" i="8"/>
  <c r="W78" i="8"/>
  <c r="X78" i="8"/>
  <c r="Y78" i="8"/>
  <c r="Z78" i="8"/>
  <c r="AJ78" i="8"/>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9" i="8"/>
  <c r="G78" i="8"/>
  <c r="G77" i="8"/>
  <c r="H75" i="8"/>
  <c r="I75" i="8"/>
  <c r="J75" i="8"/>
  <c r="K75" i="8"/>
  <c r="L75" i="8"/>
  <c r="M75" i="8"/>
  <c r="N75" i="8"/>
  <c r="O75" i="8"/>
  <c r="Q75" i="8"/>
  <c r="R75" i="8"/>
  <c r="S75" i="8"/>
  <c r="T75" i="8"/>
  <c r="U75" i="8"/>
  <c r="V75" i="8"/>
  <c r="W75" i="8"/>
  <c r="X75" i="8"/>
  <c r="Y75" i="8"/>
  <c r="Z75" i="8"/>
  <c r="AJ75" i="8"/>
  <c r="G75" i="8"/>
  <c r="H74" i="8"/>
  <c r="I74" i="8"/>
  <c r="K74" i="8"/>
  <c r="L74" i="8"/>
  <c r="M74" i="8"/>
  <c r="N74" i="8"/>
  <c r="O74" i="8"/>
  <c r="Q74" i="8"/>
  <c r="R74" i="8"/>
  <c r="S74" i="8"/>
  <c r="T74" i="8"/>
  <c r="U74" i="8"/>
  <c r="V74" i="8"/>
  <c r="W74" i="8"/>
  <c r="X74" i="8"/>
  <c r="Y74" i="8"/>
  <c r="Z74" i="8"/>
  <c r="AJ74" i="8"/>
  <c r="G74" i="8"/>
  <c r="H73" i="8"/>
  <c r="I73" i="8"/>
  <c r="J73" i="8"/>
  <c r="K73" i="8"/>
  <c r="L73" i="8"/>
  <c r="M73" i="8"/>
  <c r="N73" i="8"/>
  <c r="O73" i="8"/>
  <c r="Q73" i="8"/>
  <c r="R73" i="8"/>
  <c r="S73" i="8"/>
  <c r="T73" i="8"/>
  <c r="U73" i="8"/>
  <c r="V73" i="8"/>
  <c r="W73" i="8"/>
  <c r="X73" i="8"/>
  <c r="Y73" i="8"/>
  <c r="AA73" i="8"/>
  <c r="AB73" i="8"/>
  <c r="AC73" i="8"/>
  <c r="AD73" i="8"/>
  <c r="AE73" i="8"/>
  <c r="AF73" i="8"/>
  <c r="AG73" i="8"/>
  <c r="AH73" i="8"/>
  <c r="AI73" i="8"/>
  <c r="AJ73" i="8"/>
  <c r="G73" i="8"/>
  <c r="G50" i="11"/>
  <c r="G51" i="11"/>
  <c r="G49" i="11"/>
  <c r="B58" i="11"/>
  <c r="C58" i="11"/>
  <c r="D58" i="11"/>
  <c r="E58" i="11"/>
  <c r="F58" i="11"/>
  <c r="X10" i="9"/>
  <c r="X11" i="9"/>
  <c r="X12" i="9"/>
  <c r="X13" i="9"/>
  <c r="X14" i="9"/>
  <c r="X16" i="9"/>
  <c r="X18" i="9"/>
  <c r="D12" i="5"/>
  <c r="E12" i="5"/>
  <c r="AH8" i="9"/>
  <c r="AH7" i="9"/>
  <c r="AH10" i="9"/>
  <c r="AH11" i="9"/>
  <c r="AH12" i="9"/>
  <c r="AH14" i="9"/>
  <c r="AH16" i="9"/>
  <c r="AH18" i="9"/>
  <c r="D13" i="5"/>
  <c r="E13" i="5"/>
  <c r="G13" i="5"/>
  <c r="G12" i="5"/>
  <c r="E60" i="11"/>
  <c r="F60" i="11"/>
  <c r="G60" i="11"/>
  <c r="H60" i="11"/>
  <c r="I60" i="11"/>
  <c r="J60" i="11"/>
  <c r="K60" i="11"/>
  <c r="L60" i="11"/>
  <c r="M60" i="11"/>
  <c r="N60" i="11"/>
  <c r="O60" i="11"/>
  <c r="P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46" i="15"/>
  <c r="N86" i="15"/>
  <c r="H32" i="15"/>
  <c r="H14" i="9"/>
  <c r="H39" i="15"/>
  <c r="H7" i="9"/>
  <c r="H31" i="15"/>
  <c r="H10" i="9"/>
  <c r="H34" i="15"/>
  <c r="H12" i="9"/>
  <c r="H37" i="15"/>
  <c r="H16" i="9"/>
  <c r="H42" i="15"/>
  <c r="H40" i="15"/>
  <c r="H46"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H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D30" i="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29"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49" i="15"/>
  <c r="H252" i="15"/>
  <c r="H250" i="15"/>
  <c r="H251" i="15"/>
  <c r="H253" i="15"/>
  <c r="H254" i="15"/>
  <c r="H100"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127"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01" i="15"/>
  <c r="H128"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6" i="15"/>
  <c r="H117" i="15"/>
  <c r="H144" i="15"/>
  <c r="H115" i="15"/>
  <c r="H214" i="15"/>
  <c r="H131" i="15"/>
  <c r="H143"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<sst xmlns="http://schemas.openxmlformats.org/spreadsheetml/2006/main" count="1326" uniqueCount="754">
  <si>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</si>
  <si>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</si>
  <si>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</si>
  <si>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</si>
  <si>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</si>
  <si>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</si>
  <si>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</si>
  <si>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</si>
  <si>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</si>
  <si>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</si>
  <si>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</si>
  <si>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</si>
  <si>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</si>
  <si>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</si>
  <si>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</si>
  <si>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</si>
  <si>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</si>
  <si>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</si>
  <si>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</si>
  <si>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</si>
  <si>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</si>
  <si>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</si>
  <si>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</si>
  <si>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</si>
  <si>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</si>
  <si>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</si>
  <si>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</si>
  <si>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</si>
  <si>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</si>
  <si>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</si>
  <si>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</si>
  <si>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</si>
  <si>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</si>
  <si>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</si>
  <si>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</si>
  <si>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</si>
  <si>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</si>
  <si>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</si>
  <si>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</si>
  <si>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</si>
  <si>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</si>
  <si>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</si>
  <si>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</si>
  <si>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</si>
  <si>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</si>
  <si>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</si>
  <si>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</si>
  <si>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</si>
  <si>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</si>
  <si>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</si>
  <si>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</si>
  <si>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</si>
  <si>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</si>
  <si>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</si>
  <si>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</si>
  <si>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</si>
  <si>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</si>
  <si>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</si>
  <si>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</si>
  <si>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</si>
  <si>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</si>
  <si>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</si>
  <si>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</si>
  <si>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</si>
  <si>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</si>
  <si>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</si>
  <si>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</si>
  <si>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</si>
  <si>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</si>
  <si>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</si>
  <si>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</si>
  <si>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</si>
  <si>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</si>
  <si>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</si>
  <si>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</si>
  <si>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</si>
  <si>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</si>
  <si>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</si>
  <si>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</si>
  <si>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</si>
  <si>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</si>
  <si>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</si>
  <si>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</si>
  <si>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</si>
  <si>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</si>
  <si>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</si>
  <si>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</si>
  <si>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</si>
  <si>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</si>
  <si>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</si>
  <si>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</si>
  <si>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</si>
  <si>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</si>
  <si>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</si>
  <si>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</si>
  <si>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</si>
  <si>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</si>
  <si>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</si>
  <si>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</si>
  <si>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</si>
  <si>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</si>
  <si>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</si>
  <si>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</si>
  <si>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</si>
  <si>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</si>
  <si>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</si>
  <si>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</si>
  <si>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</si>
  <si>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</si>
  <si>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</si>
  <si>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</si>
  <si>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</si>
  <si>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</si>
  <si>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</si>
  <si>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</si>
  <si>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</si>
  <si>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</si>
  <si>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</si>
  <si>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</si>
  <si>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</si>
  <si>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</si>
  <si>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</si>
  <si>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</si>
  <si>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</si>
  <si>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</si>
  <si>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</si>
  <si>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</si>
  <si>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</si>
  <si>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</si>
  <si>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</si>
  <si>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</si>
  <si>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</si>
  <si>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</si>
  <si>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</si>
  <si>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</si>
  <si>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</si>
  <si>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</si>
  <si>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</si>
  <si>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</si>
  <si>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</si>
  <si>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</si>
  <si>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</si>
  <si>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</si>
  <si>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</si>
  <si>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</si>
  <si>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</si>
  <si>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</si>
  <si>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</si>
  <si>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</si>
  <si>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</si>
  <si>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</si>
  <si>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</si>
  <si>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</si>
  <si>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</si>
  <si>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</si>
  <si>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</si>
  <si>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</si>
  <si>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</si>
  <si>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</si>
  <si>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</si>
  <si>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</si>
  <si>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</si>
  <si>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</si>
  <si>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</si>
  <si>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</si>
  <si>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</si>
  <si>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</si>
  <si>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</si>
  <si>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</si>
  <si>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</si>
  <si>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</si>
  <si>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</si>
  <si>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</si>
  <si>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</si>
  <si>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</si>
  <si>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</si>
  <si>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</si>
  <si>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</si>
  <si>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</si>
  <si>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</si>
  <si>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</si>
  <si>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</si>
  <si>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</si>
  <si>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</si>
  <si>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</si>
  <si>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</si>
  <si>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</si>
  <si>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</si>
  <si>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</si>
  <si>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</si>
  <si>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</si>
  <si>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</si>
  <si>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</si>
  <si>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</si>
  <si>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</si>
  <si>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</si>
  <si>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</si>
  <si>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</si>
  <si>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</si>
  <si>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</si>
  <si>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</si>
  <si>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</si>
  <si>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</si>
  <si>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</si>
  <si>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</si>
  <si>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</si>
  <si>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</si>
  <si>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</si>
  <si>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</si>
  <si>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</si>
  <si>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</si>
  <si>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</si>
  <si>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</si>
  <si>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</si>
  <si>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</si>
  <si>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</si>
  <si>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</si>
  <si>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</si>
  <si>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</si>
  <si>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</si>
  <si>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</si>
  <si>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</si>
  <si>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</si>
  <si>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</si>
  <si>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</si>
  <si>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</si>
  <si>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</si>
  <si>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</si>
  <si>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</si>
  <si>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</si>
  <si>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</si>
  <si>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</si>
  <si>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</si>
  <si>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</si>
  <si>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</si>
  <si>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</si>
  <si>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</si>
  <si>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</si>
  <si>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</si>
  <si>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</si>
  <si>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</si>
  <si>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</si>
  <si>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</si>
  <si>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</si>
  <si>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</si>
  <si>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</si>
  <si>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</si>
  <si>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</si>
  <si>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</si>
  <si>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</si>
  <si>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</si>
  <si>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</si>
  <si>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</si>
  <si>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</si>
  <si>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</si>
  <si>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</si>
  <si>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</si>
  <si>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</si>
  <si>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</si>
  <si>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</si>
  <si>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</si>
  <si>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</si>
  <si>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</si>
  <si>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</si>
  <si>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</si>
  <si>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</si>
  <si>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</si>
  <si>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</si>
  <si>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</si>
  <si>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</si>
  <si>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</si>
  <si>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</si>
  <si>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</si>
  <si>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</si>
  <si>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</si>
  <si>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</si>
  <si>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</si>
  <si>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</si>
  <si>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</si>
  <si>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</si>
  <si>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</si>
  <si>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</si>
  <si>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</si>
  <si>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</si>
  <si>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</si>
  <si>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</si>
  <si>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</si>
  <si>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</si>
  <si>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</si>
  <si>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</si>
  <si>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</si>
  <si>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</si>
  <si>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</si>
  <si>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</si>
  <si>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</si>
  <si>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</si>
  <si>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</si>
  <si>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</si>
  <si>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</si>
  <si>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</si>
  <si>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</si>
  <si>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</si>
  <si>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</si>
  <si>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</si>
  <si>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</si>
  <si>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</si>
  <si>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</si>
  <si>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</si>
  <si>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</si>
  <si>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</si>
  <si>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</si>
  <si>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</si>
  <si>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</si>
  <si>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</si>
  <si>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</si>
  <si>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</si>
  <si>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</si>
  <si>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</si>
  <si>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</si>
  <si>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</si>
  <si>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</si>
  <si>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</si>
  <si>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</si>
  <si>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</si>
  <si>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</si>
  <si>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</si>
  <si>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</si>
  <si>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</si>
  <si>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</si>
  <si>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</si>
  <si>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</si>
  <si>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</si>
  <si>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</si>
  <si>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</si>
  <si>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</si>
  <si>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</si>
  <si>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</si>
  <si>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</si>
  <si>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</si>
  <si>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</si>
  <si>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</si>
  <si>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</si>
  <si>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</si>
  <si>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</si>
  <si>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</si>
  <si>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</si>
  <si>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</si>
  <si>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</si>
  <si>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</si>
  <si>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</si>
  <si>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</si>
  <si>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</si>
  <si>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</si>
  <si>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</si>
  <si>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</si>
  <si>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</si>
  <si>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</si>
  <si>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</si>
  <si>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</si>
  <si>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</si>
  <si>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</si>
  <si>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</si>
  <si>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</si>
  <si>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</si>
  <si>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</si>
  <si>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</si>
  <si>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</si>
  <si>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</si>
  <si>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</si>
  <si>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</si>
  <si>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</si>
  <si>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</si>
  <si>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</si>
  <si>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</si>
  <si>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</si>
  <si>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</si>
  <si>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</si>
  <si>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</si>
  <si>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</si>
  <si>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</si>
  <si>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</si>
  <si>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</si>
  <si>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</si>
  <si>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</si>
  <si>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</si>
  <si>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</si>
  <si>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</si>
  <si>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</si>
  <si>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</si>
  <si>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</si>
  <si>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</si>
  <si>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</si>
  <si>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</si>
  <si>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</si>
  <si>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</si>
  <si>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</si>
  <si>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</si>
  <si>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</si>
  <si>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</si>
  <si>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</si>
  <si>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</si>
  <si>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</si>
  <si>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</si>
  <si>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</si>
  <si>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</si>
  <si>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</si>
  <si>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</si>
  <si>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</si>
  <si>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</si>
  <si>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</si>
  <si>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</si>
  <si>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</si>
  <si>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</si>
  <si>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</si>
  <si>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</si>
  <si>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</si>
  <si>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</si>
  <si>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</si>
  <si>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</si>
  <si>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</si>
  <si>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</si>
  <si>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</si>
  <si>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</si>
  <si>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</si>
  <si>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</si>
  <si>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</si>
  <si>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</si>
  <si>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</si>
  <si>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</si>
  <si>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</si>
  <si>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</si>
  <si>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</si>
  <si>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</si>
  <si>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</si>
  <si>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</si>
  <si>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</si>
  <si>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</si>
  <si>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</si>
  <si>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</si>
  <si>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</si>
  <si>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</si>
  <si>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</si>
  <si>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</si>
  <si>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</si>
  <si>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</si>
  <si>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</si>
  <si>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</si>
  <si>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</si>
  <si>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</si>
  <si>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</si>
  <si>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</si>
  <si>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</si>
  <si>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</si>
  <si>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</si>
  <si>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</si>
  <si>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</si>
  <si>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</si>
  <si>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</si>
  <si>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</si>
  <si>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</si>
  <si>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</si>
  <si>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</si>
  <si>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</si>
  <si>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</si>
  <si>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</si>
  <si>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</si>
  <si>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</si>
  <si>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</si>
  <si>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</si>
  <si>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</si>
  <si>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</si>
  <si>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</si>
  <si>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</si>
  <si>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</si>
  <si>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</si>
  <si>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</si>
  <si>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</si>
  <si>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</si>
  <si>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</si>
  <si>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</si>
  <si>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</si>
  <si>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</si>
  <si>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</si>
  <si>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</si>
  <si>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</si>
  <si>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</si>
  <si>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</si>
  <si>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</si>
  <si>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</si>
  <si>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</si>
  <si>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</si>
  <si>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</si>
  <si>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</si>
  <si>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</si>
  <si>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</si>
  <si>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</si>
  <si>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</si>
  <si>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</si>
  <si>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</si>
  <si>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</si>
  <si>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</si>
  <si>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</si>
  <si>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</si>
  <si>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</si>
  <si>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</si>
  <si>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</si>
  <si>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</si>
  <si>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</si>
  <si>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</si>
  <si>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</si>
  <si>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</si>
  <si>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</si>
  <si>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</si>
  <si>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</si>
  <si>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</si>
  <si>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</si>
  <si>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</si>
  <si>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</si>
  <si>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</si>
  <si>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</si>
  <si>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</si>
  <si>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</si>
  <si>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</si>
  <si>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</si>
  <si>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</si>
  <si>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</si>
  <si>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</si>
  <si>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</si>
  <si>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</si>
  <si>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</si>
  <si>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</si>
  <si>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</si>
  <si>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</si>
  <si>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</si>
  <si>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</si>
  <si>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</si>
  <si>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</si>
  <si>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</si>
  <si>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</si>
  <si>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</si>
  <si>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</si>
  <si>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</si>
  <si>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</si>
  <si>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</si>
  <si>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</si>
  <si>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</si>
  <si>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</si>
  <si>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</si>
  <si>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</si>
  <si>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</si>
  <si>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</si>
  <si>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</si>
  <si>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</si>
  <si>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</si>
  <si>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</si>
  <si>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</si>
  <si>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</si>
  <si>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</si>
  <si>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</si>
  <si>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</si>
  <si>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</si>
  <si>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</si>
  <si>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</si>
  <si>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</si>
  <si>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</si>
  <si>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</si>
  <si>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</si>
  <si>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</si>
  <si>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</si>
  <si>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</si>
  <si>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</si>
  <si>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</si>
  <si>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</si>
  <si>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</si>
  <si>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</si>
  <si>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</si>
  <si>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</si>
  <si>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</si>
  <si>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</si>
  <si>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</si>
  <si>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</si>
  <si>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</si>
  <si>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</si>
  <si>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</si>
  <si>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</si>
  <si>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</si>
  <si>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</si>
  <si>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</si>
  <si>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</si>
  <si>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</si>
  <si>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</si>
  <si>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</si>
  <si>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</si>
  <si>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</si>
  <si>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</si>
  <si>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</si>
  <si>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</si>
  <si>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</si>
  <si>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</si>
  <si>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</si>
  <si>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</si>
  <si>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</si>
  <si>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</si>
  <si>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</si>
  <si>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</si>
  <si>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</si>
  <si>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</si>
  <si>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</si>
  <si>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</si>
  <si>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</si>
  <si>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</si>
  <si>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</si>
  <si>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</si>
  <si>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</si>
  <si>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</si>
  <si>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</si>
  <si>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</si>
  <si>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</si>
  <si>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</si>
  <si>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</si>
  <si>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</si>
  <si>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</si>
  <si>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</si>
  <si>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</si>
  <si>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</si>
  <si>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</si>
  <si>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</si>
  <si>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</si>
  <si>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</si>
  <si>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</si>
  <si>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</si>
  <si>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</si>
  <si>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</si>
  <si>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</si>
  <si>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</si>
  <si>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</si>
  <si>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</si>
  <si>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</si>
  <si>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</si>
  <si>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</si>
  <si>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</si>
  <si>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</si>
  <si>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</si>
  <si>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</si>
  <si>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</si>
  <si>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</si>
  <si>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</si>
  <si>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</si>
  <si>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</si>
  <si>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</si>
  <si>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</si>
  <si>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</si>
  <si>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</si>
  <si>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</si>
  <si>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</si>
  <si>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</si>
  <si>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</si>
  <si>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</si>
  <si>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</si>
  <si>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</si>
  <si>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</si>
  <si>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</si>
  <si>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</si>
  <si>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</si>
  <si>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</si>
  <si>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</si>
  <si>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</si>
  <si>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</si>
  <si>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</si>
  <si>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</si>
  <si>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</si>
  <si>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</si>
  <si>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</si>
  <si>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</si>
  <si>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</si>
  <si>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</si>
  <si>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</si>
  <si>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</si>
  <si>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</si>
  <si>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</si>
  <si>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</si>
  <si>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</si>
  <si>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</si>
  <si>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</si>
  <si>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</si>
  <si>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</si>
  <si>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</si>
  <si>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</si>
  <si>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</si>
  <si>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</si>
  <si>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</si>
  <si>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</si>
  <si>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</si>
  <si>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</si>
  <si>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</si>
  <si>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</si>
  <si>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</si>
  <si>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</si>
  <si>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</si>
  <si>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</si>
  <si>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</si>
  <si>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</si>
  <si>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</si>
  <si>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</si>
  <si>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</si>
  <si>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</si>
  <si>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</si>
  <si>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</si>
  <si>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</si>
  <si>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</si>
  <si>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</si>
  <si>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</si>
  <si>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</si>
  <si>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</si>
  <si>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</si>
  <si>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</si>
  <si>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</si>
  <si>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</si>
  <si>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</si>
  <si>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</si>
  <si>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</si>
  <si>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</si>
  <si>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</si>
  <si>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</si>
  <si>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</si>
  <si>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</si>
  <si>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</si>
  <si>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</si>
  <si>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</si>
  <si>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</si>
  <si>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</si>
  <si>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</si>
  <si>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</si>
  <si>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</si>
  <si>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</si>
  <si>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</si>
  <si>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</si>
  <si>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</si>
  <si>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</si>
  <si>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</si>
  <si>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</si>
  <si>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Total Electricity Generation by Fuel from EIA for Northeastern</t>
  </si>
  <si>
    <t xml:space="preserve">    Other Gases</t>
  </si>
  <si>
    <t>Pumped Storage</t>
  </si>
  <si>
    <t>Other</t>
  </si>
  <si>
    <t>Generation from EIA North Eastern region from EIA</t>
  </si>
  <si>
    <t>Energy Source</t>
  </si>
  <si>
    <t>Fossil</t>
  </si>
  <si>
    <t>Total Electricity Generation by Fuel by computation for Rhode Island</t>
  </si>
  <si>
    <t>Contribution of Rhode Island</t>
  </si>
  <si>
    <t>Proportion for Rhode Island</t>
  </si>
  <si>
    <t>Proportion for Rhode island</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</si>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</sst>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2"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
      <sz val="10"/>
      <name val="Verdana"/>
    </font>
  </fonts>
  <fills count="12">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FF"/>
        <bgColor rgb="FF000000"/>
      </patternFill>
    </fill>
    <fill>
      <patternFill patternType="solid">
        <fgColor rgb="FFFFFF00"/>
        <bgColor rgb="FF000000"/>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26">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73">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167" fontId="0" fillId="2" borderId="1" xfId="10" applyNumberFormat="1" applyFont="1" applyFill="1" applyBorder="1" applyAlignment="1">
      <alignment horizontal="center"/>
    </xf>
    <xf numFmtId="0" fontId="51" fillId="10" borderId="16" xfId="0" applyFont="1" applyFill="1" applyBorder="1"/>
    <xf numFmtId="0" fontId="51" fillId="10" borderId="26" xfId="0" applyFont="1" applyFill="1" applyBorder="1"/>
    <xf numFmtId="0" fontId="51" fillId="11" borderId="26" xfId="0" applyFont="1" applyFill="1" applyBorder="1"/>
    <xf numFmtId="0" fontId="51" fillId="11" borderId="16" xfId="0" applyFont="1" applyFill="1" applyBorder="1"/>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168" fontId="28" fillId="2" borderId="53" xfId="0" applyNumberFormat="1" applyFont="1" applyFill="1" applyBorder="1" applyAlignment="1">
      <alignment wrapText="1"/>
    </xf>
    <xf numFmtId="0" fontId="0" fillId="0" borderId="0" xfId="0"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0" fontId="28" fillId="0" borderId="0" xfId="0" applyFont="1" applyAlignment="1">
      <alignment horizontal="center" vertical="top"/>
    </xf>
    <xf numFmtId="0" fontId="0" fillId="0" borderId="31" xfId="0" applyBorder="1" applyAlignment="1">
      <alignment wrapText="1"/>
    </xf>
    <xf numFmtId="0" fontId="0" fillId="0" borderId="0" xfId="0"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26">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095706536"/>
        <c:axId val="2111648712"/>
      </c:lineChart>
      <c:catAx>
        <c:axId val="209570653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1648712"/>
        <c:crosses val="autoZero"/>
        <c:auto val="1"/>
        <c:lblAlgn val="ctr"/>
        <c:lblOffset val="100"/>
        <c:noMultiLvlLbl val="0"/>
      </c:catAx>
      <c:valAx>
        <c:axId val="2111648712"/>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5706536"/>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110864760"/>
        <c:axId val="2096054312"/>
      </c:lineChart>
      <c:catAx>
        <c:axId val="211086476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6054312"/>
        <c:crosses val="autoZero"/>
        <c:auto val="1"/>
        <c:lblAlgn val="ctr"/>
        <c:lblOffset val="100"/>
        <c:noMultiLvlLbl val="0"/>
      </c:catAx>
      <c:valAx>
        <c:axId val="2096054312"/>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0864760"/>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7"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7"/>
      <c r="B1" s="537"/>
      <c r="C1" s="537"/>
      <c r="D1" s="537"/>
      <c r="E1" s="537"/>
      <c r="F1" s="537"/>
      <c r="G1" s="537"/>
      <c r="H1" s="537"/>
      <c r="I1" s="537"/>
      <c r="J1" s="537"/>
      <c r="K1" s="537"/>
      <c r="L1" s="537"/>
      <c r="M1" s="537"/>
      <c r="N1" s="537"/>
      <c r="O1" s="537"/>
      <c r="P1" s="537"/>
      <c r="Q1" s="537"/>
      <c r="R1" s="537"/>
      <c r="S1" s="537"/>
      <c r="T1" s="537"/>
    </row>
    <row r="2" spans="1:20" ht="113.25" customHeight="1">
      <c r="A2" s="537"/>
      <c r="B2" s="537"/>
      <c r="C2" s="537"/>
      <c r="D2" s="537"/>
      <c r="E2" s="537"/>
      <c r="F2" s="537"/>
      <c r="G2" s="537"/>
      <c r="H2" s="537"/>
      <c r="I2" s="537"/>
      <c r="J2" s="537"/>
      <c r="K2" s="537"/>
      <c r="L2" s="537"/>
      <c r="M2" s="537"/>
      <c r="N2" s="537"/>
      <c r="O2" s="537"/>
      <c r="P2" s="119"/>
      <c r="Q2" s="119"/>
      <c r="R2" s="119"/>
      <c r="S2" s="119"/>
      <c r="T2" s="119"/>
    </row>
    <row r="3" spans="1:20" ht="15" thickBot="1">
      <c r="C3" s="110"/>
      <c r="D3"/>
      <c r="E3" s="110"/>
      <c r="F3" s="110"/>
      <c r="G3" s="110"/>
      <c r="H3" s="110"/>
      <c r="I3" s="247"/>
      <c r="J3" s="247"/>
      <c r="K3" s="247"/>
      <c r="L3" s="171"/>
      <c r="M3" s="7" t="s">
        <v>0</v>
      </c>
    </row>
    <row r="4" spans="1:20" ht="15" thickBot="1">
      <c r="C4" s="117" t="s">
        <v>141</v>
      </c>
      <c r="D4" s="124"/>
      <c r="E4" s="119"/>
      <c r="F4" s="110"/>
      <c r="G4" s="110"/>
      <c r="H4" s="162" t="s">
        <v>0</v>
      </c>
      <c r="I4" s="247"/>
      <c r="J4" s="247"/>
      <c r="K4" s="247"/>
      <c r="L4" s="171"/>
      <c r="M4" t="s">
        <v>0</v>
      </c>
      <c r="Q4" t="s">
        <v>0</v>
      </c>
      <c r="R4" t="s">
        <v>0</v>
      </c>
    </row>
    <row r="5" spans="1:20">
      <c r="B5" s="1" t="s">
        <v>1</v>
      </c>
      <c r="C5" s="110" t="s">
        <v>707</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382</v>
      </c>
      <c r="C7" s="210" t="s">
        <v>554</v>
      </c>
      <c r="D7" s="114">
        <f>'Output - Jobs vs Yr (BAU)'!X4/'Output - Jobs vs Yr (BAU)'!C4-1</f>
        <v>-6.7906995180930352E-2</v>
      </c>
      <c r="E7" s="92" t="s">
        <v>518</v>
      </c>
      <c r="F7" s="109"/>
      <c r="G7" s="109"/>
      <c r="H7" s="29" t="s">
        <v>0</v>
      </c>
      <c r="I7" s="29"/>
      <c r="J7" s="29"/>
      <c r="K7" s="29"/>
      <c r="L7" s="29"/>
      <c r="M7" s="7" t="s">
        <v>0</v>
      </c>
      <c r="N7" t="s">
        <v>0</v>
      </c>
      <c r="O7" t="s">
        <v>0</v>
      </c>
      <c r="P7" t="s">
        <v>0</v>
      </c>
    </row>
    <row r="8" spans="1:20" ht="15" thickBot="1">
      <c r="B8" s="1" t="s">
        <v>367</v>
      </c>
      <c r="C8" s="109"/>
      <c r="D8" s="104" t="s">
        <v>342</v>
      </c>
      <c r="E8" s="498" t="s">
        <v>717</v>
      </c>
      <c r="F8" s="109"/>
      <c r="G8" s="498" t="s">
        <v>718</v>
      </c>
      <c r="H8"/>
      <c r="I8"/>
      <c r="J8"/>
      <c r="K8"/>
      <c r="L8"/>
      <c r="M8" t="s">
        <v>0</v>
      </c>
      <c r="N8" t="s">
        <v>0</v>
      </c>
      <c r="O8" s="111" t="s">
        <v>0</v>
      </c>
      <c r="P8" s="31" t="s">
        <v>0</v>
      </c>
    </row>
    <row r="9" spans="1:20" ht="15.75" hidden="1" customHeight="1" thickBot="1">
      <c r="B9" s="43" t="s">
        <v>367</v>
      </c>
      <c r="C9" s="110"/>
      <c r="D9" s="114" t="e">
        <f>'Output - Jobs vs Yr (BAU)'!X6/'Output - Jobs vs Yr (BAU)'!C6-1</f>
        <v>#DIV/0!</v>
      </c>
      <c r="E9" s="109"/>
      <c r="F9" s="109"/>
      <c r="G9" s="109"/>
      <c r="H9"/>
      <c r="I9"/>
      <c r="J9"/>
      <c r="K9"/>
      <c r="L9"/>
      <c r="M9"/>
      <c r="O9" s="102"/>
    </row>
    <row r="10" spans="1:20" ht="15.75" hidden="1" customHeight="1" thickBot="1">
      <c r="B10" s="93" t="s">
        <v>351</v>
      </c>
      <c r="C10" s="110"/>
      <c r="D10" s="43"/>
      <c r="E10" s="109"/>
      <c r="F10" s="109"/>
      <c r="G10" s="109"/>
      <c r="H10"/>
      <c r="I10"/>
      <c r="J10"/>
      <c r="K10"/>
      <c r="L10"/>
      <c r="M10"/>
      <c r="O10" s="102"/>
    </row>
    <row r="11" spans="1:20" ht="15" thickBot="1">
      <c r="B11" t="s">
        <v>379</v>
      </c>
      <c r="C11" s="524">
        <v>0.15</v>
      </c>
      <c r="D11" s="125">
        <f>'Output - Jobs vs Yr (BAU)'!N18/'Output -Jobs vs Yr'!N14</f>
        <v>4.2272121492051618E-2</v>
      </c>
      <c r="E11" s="497">
        <f>(7.7/3)^(1/6)</f>
        <v>1.1701141873017888</v>
      </c>
      <c r="F11" s="109"/>
      <c r="G11" s="494">
        <f>(12.5/3)^(1/6)</f>
        <v>1.2685223586294079</v>
      </c>
      <c r="H11"/>
      <c r="I11"/>
      <c r="J11"/>
      <c r="K11"/>
      <c r="L11"/>
      <c r="M11" t="s">
        <v>0</v>
      </c>
      <c r="N11" t="s">
        <v>0</v>
      </c>
      <c r="O11" s="111" t="s">
        <v>0</v>
      </c>
      <c r="P11" s="31" t="s">
        <v>0</v>
      </c>
    </row>
    <row r="12" spans="1:20" ht="15" thickBot="1">
      <c r="B12" t="s">
        <v>380</v>
      </c>
      <c r="C12" s="209">
        <v>0.17</v>
      </c>
      <c r="D12" s="125">
        <f>'Output - Jobs vs Yr (BAU)'!X18/'Output -Jobs vs Yr'!X14</f>
        <v>4.654988506306508E-2</v>
      </c>
      <c r="E12" s="497">
        <f>(D12/D11)^(1/10)</f>
        <v>1.0096862845243173</v>
      </c>
      <c r="F12" s="109"/>
      <c r="G12" s="495">
        <f>(C12/C11)^(1/10)</f>
        <v>1.0125949711793618</v>
      </c>
      <c r="H12"/>
      <c r="I12"/>
      <c r="J12"/>
      <c r="K12"/>
      <c r="L12"/>
      <c r="M12" t="s">
        <v>0</v>
      </c>
      <c r="N12" t="s">
        <v>0</v>
      </c>
      <c r="O12" s="111" t="s">
        <v>0</v>
      </c>
      <c r="P12" s="31" t="s">
        <v>0</v>
      </c>
    </row>
    <row r="13" spans="1:20" ht="15" thickBot="1">
      <c r="B13" t="s">
        <v>577</v>
      </c>
      <c r="C13" s="210">
        <v>0.17</v>
      </c>
      <c r="D13" s="172">
        <f>'Output - Jobs vs Yr (BAU)'!AH18/'Output -Jobs vs Yr'!AH14</f>
        <v>4.6525455678275457E-2</v>
      </c>
      <c r="E13" s="497">
        <f>(D13/D12)^(1/10)</f>
        <v>0.99994750759122286</v>
      </c>
      <c r="F13" s="109"/>
      <c r="G13" s="496">
        <f>(C13/C12)^(1/10)</f>
        <v>1</v>
      </c>
      <c r="H13"/>
      <c r="I13"/>
      <c r="J13"/>
      <c r="K13"/>
      <c r="L13"/>
      <c r="M13"/>
      <c r="O13" s="111"/>
      <c r="P13" s="31"/>
    </row>
    <row r="14" spans="1:20">
      <c r="B14" t="s">
        <v>578</v>
      </c>
      <c r="C14" s="246"/>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712</v>
      </c>
      <c r="O15" s="31" t="s">
        <v>712</v>
      </c>
      <c r="P15" s="31" t="s">
        <v>713</v>
      </c>
      <c r="Q15" t="s">
        <v>710</v>
      </c>
    </row>
    <row r="16" spans="1:20" ht="15" thickBot="1">
      <c r="B16" s="32" t="s">
        <v>362</v>
      </c>
      <c r="C16" s="106" t="s">
        <v>365</v>
      </c>
      <c r="D16" s="104" t="s">
        <v>534</v>
      </c>
      <c r="E16" s="104" t="s">
        <v>363</v>
      </c>
      <c r="F16" s="104" t="s">
        <v>358</v>
      </c>
      <c r="G16" s="104" t="s">
        <v>544</v>
      </c>
      <c r="H16" s="104" t="s">
        <v>363</v>
      </c>
      <c r="I16" s="104" t="s">
        <v>706</v>
      </c>
      <c r="J16" s="104" t="s">
        <v>705</v>
      </c>
      <c r="K16" s="104" t="s">
        <v>363</v>
      </c>
      <c r="L16" s="104"/>
      <c r="M16" s="44" t="s">
        <v>257</v>
      </c>
      <c r="N16" s="291">
        <v>2020</v>
      </c>
      <c r="O16" s="291">
        <v>2030</v>
      </c>
      <c r="P16" s="291">
        <v>2040</v>
      </c>
      <c r="Q16" s="198">
        <v>2031</v>
      </c>
    </row>
    <row r="17" spans="2:17" ht="15" thickBot="1">
      <c r="B17" t="s">
        <v>352</v>
      </c>
      <c r="C17" s="195">
        <f>D17*$C$11/$D$11</f>
        <v>2.6733990279969471E-3</v>
      </c>
      <c r="D17" s="126">
        <f>'Output - Jobs vs Yr (BAU)'!N10/'Output -Jobs vs Yr'!$N$14</f>
        <v>7.5340165672146432E-4</v>
      </c>
      <c r="E17" s="105">
        <f t="shared" ref="E17:E23" si="0">IF($C$24&lt;&gt;0,C17/$C$24,0)</f>
        <v>1.7822660186646317E-2</v>
      </c>
      <c r="F17" s="172">
        <f>C17*$C$12/$C$11</f>
        <v>3.029852231729874E-3</v>
      </c>
      <c r="G17" s="105">
        <f>'Output - Jobs vs Yr (BAU)'!X10/'Output - Jobs vs Yr (BAU)'!X24</f>
        <v>1.0516298104715253E-3</v>
      </c>
      <c r="H17" s="105">
        <f t="shared" ref="H17:H23" si="1">G17/$G$24</f>
        <v>2.2822967833836839E-2</v>
      </c>
      <c r="I17" s="172">
        <f>F17*$C$13/$C$12</f>
        <v>3.029852231729874E-3</v>
      </c>
      <c r="J17" s="105">
        <f>'Output - Jobs vs Yr (BAU)'!AH10/'Output - Jobs vs Yr (BAU)'!AH24</f>
        <v>1.1085985551855136E-3</v>
      </c>
      <c r="K17" s="105">
        <f>J17/$J$24</f>
        <v>2.3994157746864794E-2</v>
      </c>
      <c r="L17" s="105"/>
      <c r="M17" s="45" t="s">
        <v>259</v>
      </c>
      <c r="N17" s="86">
        <f>HLOOKUP(N16,'Output -Jobs vs Yr'!$H$175:$AH$184,9)</f>
        <v>300.45595201034621</v>
      </c>
      <c r="O17" s="86">
        <f>HLOOKUP(O16,'Output -Jobs vs Yr'!$H$175:$AH$184,9)</f>
        <v>304.27566095174564</v>
      </c>
      <c r="P17" s="86">
        <f>HLOOKUP(P16,'Output -Jobs vs Yr'!$H$175:$AH$184,9)</f>
        <v>309.0195262273005</v>
      </c>
      <c r="Q17" s="86">
        <f>HLOOKUP(Q16,'Output -Jobs vs Yr'!$H$175:$AH$184,9)</f>
        <v>308.68274661968871</v>
      </c>
    </row>
    <row r="18" spans="2:17" ht="15" thickBot="1">
      <c r="B18" s="4" t="s">
        <v>353</v>
      </c>
      <c r="C18" s="195">
        <f>D18*$C$11/$D$11</f>
        <v>4.1847767739904251E-6</v>
      </c>
      <c r="D18" s="126">
        <f>'Output - Jobs vs Yr (BAU)'!N15/'Output -Jobs vs Yr'!$N$14</f>
        <v>1.179329281381594E-6</v>
      </c>
      <c r="E18" s="105">
        <f t="shared" si="0"/>
        <v>2.7898511826602839E-5</v>
      </c>
      <c r="F18" s="172">
        <f t="shared" ref="F18:F23" si="2">C18*$C$12/$C$11</f>
        <v>4.7427470105224817E-6</v>
      </c>
      <c r="G18" s="105">
        <f>'Output - Jobs vs Yr (BAU)'!X15/'Output - Jobs vs Yr (BAU)'!X24</f>
        <v>1.379900746631011E-6</v>
      </c>
      <c r="H18" s="105">
        <f t="shared" si="1"/>
        <v>2.9947259045581934E-5</v>
      </c>
      <c r="I18" s="172">
        <f t="shared" ref="I18:I24" si="3">F18*$C$13/$C$12</f>
        <v>4.7427470105224817E-6</v>
      </c>
      <c r="J18" s="105">
        <f>'Output - Jobs vs Yr (BAU)'!AH15/'Output - Jobs vs Yr (BAU)'!AH24</f>
        <v>1.3696918105215766E-6</v>
      </c>
      <c r="K18" s="105">
        <f t="shared" ref="K18:K24" si="4">J18/$J$24</f>
        <v>2.9645177880232731E-5</v>
      </c>
      <c r="L18" s="105"/>
      <c r="M18" s="46" t="s">
        <v>260</v>
      </c>
      <c r="N18" s="87">
        <f>HLOOKUP(N16,'Output -Jobs vs Yr'!$H$175:$AH$184,10)</f>
        <v>270.40939873106606</v>
      </c>
      <c r="O18" s="87">
        <f>HLOOKUP(O16,'Output -Jobs vs Yr'!$H$175:$AH$184,10)</f>
        <v>273.84717627435975</v>
      </c>
      <c r="P18" s="87">
        <f>HLOOKUP(P16,'Output -Jobs vs Yr'!$H$175:$AH$184,10)</f>
        <v>278.11664517486565</v>
      </c>
      <c r="Q18" s="87">
        <f>HLOOKUP(Q16,'Output -Jobs vs Yr'!$H$175:$AH$184,10)</f>
        <v>277.81354014128488</v>
      </c>
    </row>
    <row r="19" spans="2:17" ht="15" thickBot="1">
      <c r="B19" s="4" t="s">
        <v>354</v>
      </c>
      <c r="C19" s="195">
        <f>D19*$C$11/$D$11</f>
        <v>4.184776773990425E-11</v>
      </c>
      <c r="D19" s="126">
        <f>'Output - Jobs vs Yr (BAU)'!N11/'Output -Jobs vs Yr'!$N$14</f>
        <v>1.179329281381594E-11</v>
      </c>
      <c r="E19" s="105">
        <f t="shared" si="0"/>
        <v>2.7898511826602839E-10</v>
      </c>
      <c r="F19" s="172">
        <f t="shared" si="2"/>
        <v>4.7427470105224823E-11</v>
      </c>
      <c r="G19" s="105">
        <f>'Output - Jobs vs Yr (BAU)'!X11/'Output - Jobs vs Yr (BAU)'!X24</f>
        <v>1.3799007466310112E-11</v>
      </c>
      <c r="H19" s="105">
        <f t="shared" si="1"/>
        <v>2.9947259045581939E-10</v>
      </c>
      <c r="I19" s="172">
        <f t="shared" si="3"/>
        <v>4.7427470105224823E-11</v>
      </c>
      <c r="J19" s="105">
        <f>'Output - Jobs vs Yr (BAU)'!AH11/'Output - Jobs vs Yr (BAU)'!AH24</f>
        <v>1.3696918105215766E-11</v>
      </c>
      <c r="K19" s="105">
        <f t="shared" si="4"/>
        <v>2.9645177880232732E-10</v>
      </c>
      <c r="L19" s="105"/>
      <c r="M19" s="46" t="s">
        <v>261</v>
      </c>
      <c r="N19" s="87">
        <f>HLOOKUP(N16,'Output -Jobs vs Yr'!$H$175:$AH$184,8)</f>
        <v>570.86535074141239</v>
      </c>
      <c r="O19" s="87">
        <f>HLOOKUP(O16,'Output -Jobs vs Yr'!$H$175:$AH$184,8)</f>
        <v>578.12283722610528</v>
      </c>
      <c r="P19" s="87">
        <f>HLOOKUP(P16,'Output -Jobs vs Yr'!$H$175:$AH$184,8)</f>
        <v>587.13617140216616</v>
      </c>
      <c r="Q19" s="87">
        <f>HLOOKUP(Q16,'Output -Jobs vs Yr'!$H$175:$AH$184,8)</f>
        <v>586.49628676097359</v>
      </c>
    </row>
    <row r="20" spans="2:17" ht="15" thickBot="1">
      <c r="B20" s="4" t="s">
        <v>51</v>
      </c>
      <c r="C20" s="195">
        <f>D20*$C$11/$D$11</f>
        <v>7.3164201107113039E-2</v>
      </c>
      <c r="D20" s="126">
        <f>'Output - Jobs vs Yr (BAU)'!N12/'Output -Jobs vs Yr'!$N$14</f>
        <v>2.0618706653791868E-2</v>
      </c>
      <c r="E20" s="105">
        <f t="shared" si="0"/>
        <v>0.48776134071408705</v>
      </c>
      <c r="F20" s="172">
        <f t="shared" si="2"/>
        <v>8.2919427921394784E-2</v>
      </c>
      <c r="G20" s="105">
        <f>'Output - Jobs vs Yr (BAU)'!X12/'Output - Jobs vs Yr (BAU)'!X24</f>
        <v>2.4123343019901107E-2</v>
      </c>
      <c r="H20" s="105">
        <f t="shared" si="1"/>
        <v>0.52353620666283207</v>
      </c>
      <c r="I20" s="172">
        <f t="shared" si="3"/>
        <v>8.2919427921394784E-2</v>
      </c>
      <c r="J20" s="105">
        <f>'Output - Jobs vs Yr (BAU)'!AH12/'Output - Jobs vs Yr (BAU)'!AH24</f>
        <v>2.3940995153240378E-2</v>
      </c>
      <c r="K20" s="105">
        <f t="shared" si="4"/>
        <v>0.51817135394664782</v>
      </c>
      <c r="L20" s="105"/>
      <c r="M20" s="47" t="s">
        <v>458</v>
      </c>
      <c r="N20" s="88">
        <f>HLOOKUP(N16,'Output -Jobs vs Yr'!$H$175:$AH$188,11)-HLOOKUP(N16,'Output -Jobs vs Yr'!$H$175:$AH$188,14)</f>
        <v>1544.5482605660918</v>
      </c>
      <c r="O20" s="88">
        <f>HLOOKUP(O16,'Output -Jobs vs Yr'!$H$175:$AH$188,11)-HLOOKUP(O16,'Output -Jobs vs Yr'!$H$175:$AH$188,14)</f>
        <v>7245.7030796336803</v>
      </c>
      <c r="P20" s="88">
        <f>HLOOKUP(P16,'Output -Jobs vs Yr'!$H$175:$AH$188,11)-HLOOKUP(P16,'Output -Jobs vs Yr'!$H$175:$AH$188,14)</f>
        <v>13366.681098398023</v>
      </c>
      <c r="Q20" s="88">
        <f>HLOOKUP(Q16,'Output -Jobs vs Yr'!$H$175:$AH$188,11)-HLOOKUP(Q16,'Output -Jobs vs Yr'!$H$175:$AH$188,14)</f>
        <v>7832.1993663946541</v>
      </c>
    </row>
    <row r="21" spans="2:17" ht="15" thickBot="1">
      <c r="B21" t="s">
        <v>355</v>
      </c>
      <c r="C21" s="195">
        <f t="shared" ref="C21:C23" si="5">D21*$C$11/$D$11</f>
        <v>7.1010606706514393E-2</v>
      </c>
      <c r="D21" s="126">
        <f>'Output - Jobs vs Yr (BAU)'!N13/'Output -Jobs vs Yr'!$N$14</f>
        <v>2.0011793292813811E-2</v>
      </c>
      <c r="E21" s="105">
        <f t="shared" si="0"/>
        <v>0.47340404471009606</v>
      </c>
      <c r="F21" s="172">
        <f t="shared" si="2"/>
        <v>8.0478687600716317E-2</v>
      </c>
      <c r="G21" s="105">
        <f>'Output - Jobs vs Yr (BAU)'!X13/'Output - Jobs vs Yr (BAU)'!X24</f>
        <v>1.9810925273302481E-2</v>
      </c>
      <c r="H21" s="105">
        <f t="shared" si="1"/>
        <v>0.42994607586142636</v>
      </c>
      <c r="I21" s="172">
        <f t="shared" si="3"/>
        <v>8.0478687600716317E-2</v>
      </c>
      <c r="J21" s="105">
        <f>'Output - Jobs vs Yr (BAU)'!AH13/'Output - Jobs vs Yr (BAU)'!AH24</f>
        <v>1.9875019209051114E-2</v>
      </c>
      <c r="K21" s="105">
        <f t="shared" si="4"/>
        <v>0.43016865202763882</v>
      </c>
      <c r="L21" s="105"/>
      <c r="N21" s="160"/>
    </row>
    <row r="22" spans="2:17" ht="15" thickBot="1">
      <c r="B22" s="4" t="s">
        <v>356</v>
      </c>
      <c r="C22" s="195">
        <f t="shared" si="5"/>
        <v>4.1847767739904251E-5</v>
      </c>
      <c r="D22" s="126">
        <f>'Output - Jobs vs Yr (BAU)'!N14/'Output -Jobs vs Yr'!$N$14</f>
        <v>1.179329281381594E-5</v>
      </c>
      <c r="E22" s="105">
        <f t="shared" si="0"/>
        <v>2.7898511826602841E-4</v>
      </c>
      <c r="F22" s="172">
        <f t="shared" si="2"/>
        <v>4.7427470105224827E-5</v>
      </c>
      <c r="G22" s="105">
        <f>'Output - Jobs vs Yr (BAU)'!X14/'Output - Jobs vs Yr (BAU)'!X24</f>
        <v>1.3799007466310112E-5</v>
      </c>
      <c r="H22" s="105">
        <f t="shared" si="1"/>
        <v>2.9947259045581939E-4</v>
      </c>
      <c r="I22" s="172">
        <f t="shared" si="3"/>
        <v>4.7427470105224827E-5</v>
      </c>
      <c r="J22" s="105">
        <f>'Output - Jobs vs Yr (BAU)'!AH14/'Output - Jobs vs Yr (BAU)'!AH24</f>
        <v>1.3696918105215766E-5</v>
      </c>
      <c r="K22" s="105">
        <f t="shared" si="4"/>
        <v>2.964517788023273E-4</v>
      </c>
      <c r="L22" s="105"/>
      <c r="O22" t="s">
        <v>0</v>
      </c>
    </row>
    <row r="23" spans="2:17" ht="15" thickBot="1">
      <c r="B23" t="s">
        <v>357</v>
      </c>
      <c r="C23" s="195">
        <f t="shared" si="5"/>
        <v>3.1057605720139245E-3</v>
      </c>
      <c r="D23" s="126">
        <f>'Output - Jobs vs Yr (BAU)'!N16/'Output -Jobs vs Yr'!$N$14</f>
        <v>8.7524725483597557E-4</v>
      </c>
      <c r="E23" s="105">
        <f t="shared" si="0"/>
        <v>2.0705070480092833E-2</v>
      </c>
      <c r="F23" s="172">
        <f t="shared" si="2"/>
        <v>3.5198619816157813E-3</v>
      </c>
      <c r="G23" s="105">
        <f>'Output - Jobs vs Yr (BAU)'!X16/'Output - Jobs vs Yr (BAU)'!X24</f>
        <v>1.0766205869959724E-3</v>
      </c>
      <c r="H23" s="105">
        <f t="shared" si="1"/>
        <v>2.3365329492930853E-2</v>
      </c>
      <c r="I23" s="172">
        <f t="shared" si="3"/>
        <v>3.5198619816157817E-3</v>
      </c>
      <c r="J23" s="105">
        <f>'Output - Jobs vs Yr (BAU)'!AH16/'Output - Jobs vs Yr (BAU)'!AH24</f>
        <v>1.2631739568777344E-3</v>
      </c>
      <c r="K23" s="105">
        <f t="shared" si="4"/>
        <v>2.7339739025714186E-2</v>
      </c>
      <c r="L23" s="105"/>
      <c r="M23" s="44"/>
      <c r="N23" s="197"/>
      <c r="O23" t="s">
        <v>0</v>
      </c>
    </row>
    <row r="24" spans="2:17">
      <c r="B24" s="108" t="s">
        <v>369</v>
      </c>
      <c r="C24" s="137">
        <f t="shared" ref="C24:H24" si="6">SUM(C17:C23)</f>
        <v>0.14999999999999997</v>
      </c>
      <c r="D24" s="205">
        <f t="shared" si="6"/>
        <v>4.2272121492051611E-2</v>
      </c>
      <c r="E24" s="200">
        <f t="shared" si="6"/>
        <v>1</v>
      </c>
      <c r="F24" s="200">
        <f t="shared" si="6"/>
        <v>0.16999999999999996</v>
      </c>
      <c r="G24" s="200">
        <f t="shared" si="6"/>
        <v>4.607769761268303E-2</v>
      </c>
      <c r="H24" s="105">
        <f t="shared" si="6"/>
        <v>1.0000000000000002</v>
      </c>
      <c r="I24" s="172">
        <f t="shared" si="3"/>
        <v>0.16999999999999996</v>
      </c>
      <c r="J24" s="105">
        <f>SUM(J17:J23)</f>
        <v>4.6202853497967399E-2</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15%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372</v>
      </c>
      <c r="C27" s="107"/>
      <c r="D27" s="200" t="s">
        <v>342</v>
      </c>
      <c r="E27" s="107"/>
      <c r="F27" s="98"/>
      <c r="G27" s="134" t="s">
        <v>0</v>
      </c>
      <c r="H27" s="135" t="s">
        <v>0</v>
      </c>
      <c r="I27" s="135"/>
      <c r="J27" s="135"/>
      <c r="K27" s="135"/>
      <c r="L27" s="135"/>
      <c r="M27"/>
    </row>
    <row r="28" spans="2:17" ht="15" thickBot="1">
      <c r="B28" t="s">
        <v>370</v>
      </c>
      <c r="C28" s="208">
        <f>D28</f>
        <v>5.0479387619766826E-4</v>
      </c>
      <c r="D28" s="105">
        <f>('Output - Jobs vs Yr (BAU)'!N8+'Output - Jobs vs Yr (BAU)'!N7)/'Output -Jobs vs Yr'!N14</f>
        <v>5.0479387619766826E-4</v>
      </c>
      <c r="E28" s="136" t="s">
        <v>0</v>
      </c>
      <c r="F28" s="98"/>
      <c r="G28" s="98" t="s">
        <v>0</v>
      </c>
      <c r="H28" s="135" t="s">
        <v>0</v>
      </c>
      <c r="I28" s="135"/>
      <c r="J28" s="135"/>
      <c r="K28" s="135"/>
      <c r="L28" s="135"/>
      <c r="M28"/>
    </row>
    <row r="29" spans="2:17" ht="15" thickBot="1">
      <c r="B29" t="s">
        <v>371</v>
      </c>
      <c r="C29" s="278">
        <f>D29</f>
        <v>6.3506908048774997E-4</v>
      </c>
      <c r="D29" s="105">
        <f>('Output - Jobs vs Yr (BAU)'!X8+'Output - Jobs vs Yr (BAU)'!X7)/'Output -Jobs vs Yr'!X14</f>
        <v>6.3506908048774997E-4</v>
      </c>
      <c r="E29" s="107"/>
      <c r="F29" s="98"/>
      <c r="G29" s="96"/>
      <c r="H29"/>
      <c r="I29"/>
      <c r="J29"/>
      <c r="K29"/>
      <c r="L29"/>
    </row>
    <row r="30" spans="2:17" ht="15" thickBot="1">
      <c r="B30" t="s">
        <v>579</v>
      </c>
      <c r="C30" s="210">
        <f>D30</f>
        <v>6.3147110471101534E-4</v>
      </c>
      <c r="D30" s="105">
        <f>('Output - Jobs vs Yr (BAU)'!AH8+'Output - Jobs vs Yr (BAU)'!AH7)/'Output -Jobs vs Yr'!AH14</f>
        <v>6.3147110471101534E-4</v>
      </c>
      <c r="E30" s="107"/>
      <c r="F30" s="98"/>
      <c r="G30" s="96"/>
      <c r="H30"/>
      <c r="I30"/>
      <c r="J30"/>
      <c r="K30"/>
      <c r="L30"/>
    </row>
    <row r="31" spans="2:17">
      <c r="B31" t="s">
        <v>580</v>
      </c>
      <c r="C31" s="246"/>
      <c r="D31" s="105"/>
      <c r="E31" s="107"/>
      <c r="F31" s="98"/>
      <c r="G31" s="96"/>
      <c r="H31"/>
      <c r="I31"/>
      <c r="J31"/>
      <c r="K31"/>
      <c r="L31"/>
    </row>
    <row r="32" spans="2:17">
      <c r="B32" s="108"/>
      <c r="C32" s="107" t="s">
        <v>0</v>
      </c>
      <c r="D32" s="107"/>
      <c r="E32" s="107"/>
      <c r="F32" s="98"/>
      <c r="G32" s="96"/>
      <c r="H32"/>
      <c r="I32"/>
      <c r="J32"/>
      <c r="K32"/>
      <c r="L32"/>
    </row>
    <row r="33" spans="1:18" ht="15" thickBot="1">
      <c r="B33" s="108" t="s">
        <v>373</v>
      </c>
      <c r="C33" s="107"/>
      <c r="D33" s="200" t="s">
        <v>342</v>
      </c>
      <c r="E33" s="200" t="s">
        <v>536</v>
      </c>
      <c r="F33" s="201" t="s">
        <v>358</v>
      </c>
      <c r="G33" s="202" t="s">
        <v>342</v>
      </c>
      <c r="H33" s="201" t="s">
        <v>706</v>
      </c>
      <c r="I33" s="202" t="s">
        <v>342</v>
      </c>
      <c r="J33" s="163"/>
      <c r="K33" s="163"/>
      <c r="L33" s="163"/>
      <c r="M33" s="7" t="s">
        <v>0</v>
      </c>
    </row>
    <row r="34" spans="1:18" ht="15" thickBot="1">
      <c r="B34" s="4" t="s">
        <v>366</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5.0479387619766826E-4</v>
      </c>
      <c r="D35" s="105">
        <f>'Output - Jobs vs Yr (BAU)'!N7/'Output -Jobs vs Yr'!N14</f>
        <v>5.0479387619766826E-4</v>
      </c>
      <c r="E35" s="203">
        <f>C35</f>
        <v>5.0479387619766826E-4</v>
      </c>
      <c r="F35" s="200">
        <f>C35*$C$29/$C$28</f>
        <v>6.3506908048774997E-4</v>
      </c>
      <c r="G35" s="204">
        <f>'Output - Jobs vs Yr (BAU)'!X7/'Output - Jobs vs Yr (BAU)'!X24</f>
        <v>6.2862713869722307E-4</v>
      </c>
      <c r="H35" s="200">
        <f>F35*$C$30/$C$29</f>
        <v>6.3147110471101534E-4</v>
      </c>
      <c r="I35" s="204">
        <f>'Output - Jobs vs Yr (BAU)'!AH7/'Output - Jobs vs Yr (BAU)'!AH24</f>
        <v>6.270925564042561E-4</v>
      </c>
      <c r="J35"/>
      <c r="K35"/>
      <c r="L35"/>
    </row>
    <row r="36" spans="1:18" ht="15" thickBot="1">
      <c r="B36" s="4" t="s">
        <v>364</v>
      </c>
      <c r="C36" s="209">
        <f>D36</f>
        <v>0</v>
      </c>
      <c r="D36" s="105">
        <f>'Output - Jobs vs Yr (BAU)'!N8/'Output -Jobs vs Yr'!N14</f>
        <v>0</v>
      </c>
      <c r="E36" s="203">
        <f>C36</f>
        <v>0</v>
      </c>
      <c r="F36" s="200">
        <f>C36*$C$29/$C$28</f>
        <v>0</v>
      </c>
      <c r="G36" s="204">
        <f>'Output - Jobs vs Yr (BAU)'!X8/'Output - Jobs vs Yr (BAU)'!X24</f>
        <v>0</v>
      </c>
      <c r="H36" s="200">
        <f>F36*$C$30/$C$29</f>
        <v>0</v>
      </c>
      <c r="I36" s="204">
        <f>'Output - Jobs vs Yr (BAU)'!AH8/'Output - Jobs vs Yr (BAU)'!AH24</f>
        <v>0</v>
      </c>
      <c r="J36"/>
      <c r="K36"/>
      <c r="L36"/>
    </row>
    <row r="37" spans="1:18">
      <c r="B37" s="4" t="s">
        <v>368</v>
      </c>
      <c r="C37" s="138">
        <f>SUM(C35:C36)+'Output -Jobs vs Yr'!N30/'Output -Jobs vs Yr'!N49</f>
        <v>5.0479387619766826E-4</v>
      </c>
      <c r="D37" s="105">
        <f>SUM(D34:D36)</f>
        <v>5.0479387619766826E-4</v>
      </c>
      <c r="E37" s="203">
        <f>SUM(E34:E36)</f>
        <v>5.0479387619766826E-4</v>
      </c>
      <c r="F37" s="203">
        <f>SUM(F34:F36)</f>
        <v>6.3506908048774997E-4</v>
      </c>
      <c r="G37" s="203">
        <f>SUM(G34:G36)</f>
        <v>6.2862713869722307E-4</v>
      </c>
      <c r="H37" s="200">
        <f>C37*$C$30/$C$28</f>
        <v>6.3147110471101534E-4</v>
      </c>
      <c r="I37" s="203">
        <f>SUM(I34:I36)</f>
        <v>6.270925564042561E-4</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0,1%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375</v>
      </c>
      <c r="C40" s="105">
        <f>C24</f>
        <v>0.14999999999999997</v>
      </c>
      <c r="D40" s="105" t="s">
        <v>0</v>
      </c>
      <c r="E40" s="105" t="s">
        <v>0</v>
      </c>
      <c r="F40" s="105" t="s">
        <v>0</v>
      </c>
      <c r="G40" s="103" t="s">
        <v>0</v>
      </c>
      <c r="H40"/>
      <c r="I40"/>
      <c r="J40"/>
      <c r="K40"/>
      <c r="L40"/>
    </row>
    <row r="41" spans="1:18">
      <c r="B41" s="4" t="s">
        <v>374</v>
      </c>
      <c r="C41" s="105">
        <f>C24+C37</f>
        <v>0.15050479387619764</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522</v>
      </c>
      <c r="F44" s="28"/>
      <c r="G44" s="1"/>
      <c r="H44" s="49">
        <v>9</v>
      </c>
      <c r="I44" s="277"/>
      <c r="J44" s="277"/>
      <c r="K44" s="277"/>
      <c r="L44"/>
      <c r="M44" s="12">
        <f t="shared" ref="M44:M61" si="7">C44+H44*C44</f>
        <v>0.37999999999999995</v>
      </c>
      <c r="N44" s="28" t="s">
        <v>522</v>
      </c>
    </row>
    <row r="45" spans="1:18" ht="15.75" hidden="1" customHeight="1" thickBot="1">
      <c r="B45" s="4" t="s">
        <v>210</v>
      </c>
      <c r="C45" s="41" t="e">
        <f>0.1*#REF!</f>
        <v>#REF!</v>
      </c>
      <c r="D45" s="4"/>
      <c r="E45" s="28" t="s">
        <v>206</v>
      </c>
      <c r="F45" s="28"/>
      <c r="G45" s="110"/>
      <c r="H45" s="49">
        <v>9</v>
      </c>
      <c r="I45" s="277"/>
      <c r="J45" s="277"/>
      <c r="K45" s="277"/>
      <c r="L45"/>
      <c r="M45" s="12" t="e">
        <f t="shared" si="7"/>
        <v>#REF!</v>
      </c>
      <c r="N45" s="28" t="s">
        <v>522</v>
      </c>
    </row>
    <row r="46" spans="1:18" s="1" customFormat="1" ht="15" thickBot="1">
      <c r="A46"/>
      <c r="B46" s="4" t="s">
        <v>121</v>
      </c>
      <c r="C46" s="84">
        <v>0.21</v>
      </c>
      <c r="D46" s="4" t="s">
        <v>0</v>
      </c>
      <c r="E46" s="28" t="s">
        <v>523</v>
      </c>
      <c r="F46" s="28"/>
      <c r="H46" s="49">
        <v>0.9</v>
      </c>
      <c r="I46" s="277"/>
      <c r="J46" s="277"/>
      <c r="K46" s="277"/>
      <c r="L46"/>
      <c r="M46" s="12">
        <f t="shared" si="7"/>
        <v>0.39900000000000002</v>
      </c>
      <c r="N46" s="28" t="s">
        <v>523</v>
      </c>
      <c r="O46"/>
      <c r="P46"/>
      <c r="Q46"/>
      <c r="R46"/>
    </row>
    <row r="47" spans="1:18" s="1" customFormat="1" ht="15" thickBot="1">
      <c r="A47"/>
      <c r="B47" s="4" t="s">
        <v>118</v>
      </c>
      <c r="C47" s="42">
        <v>0.18</v>
      </c>
      <c r="D47" s="4"/>
      <c r="E47" s="28" t="s">
        <v>523</v>
      </c>
      <c r="F47" s="28"/>
      <c r="H47" s="49">
        <v>0.9</v>
      </c>
      <c r="I47" s="277"/>
      <c r="J47" s="277"/>
      <c r="K47" s="277"/>
      <c r="L47"/>
      <c r="M47" s="12">
        <f t="shared" si="7"/>
        <v>0.34199999999999997</v>
      </c>
      <c r="N47" s="28" t="s">
        <v>523</v>
      </c>
      <c r="O47"/>
      <c r="P47"/>
      <c r="Q47"/>
    </row>
    <row r="48" spans="1:18" ht="15" thickBot="1">
      <c r="B48" s="4" t="s">
        <v>49</v>
      </c>
      <c r="C48" s="42">
        <v>0.15</v>
      </c>
      <c r="D48" s="4"/>
      <c r="E48" s="28" t="s">
        <v>523</v>
      </c>
      <c r="F48" s="28"/>
      <c r="G48" s="1"/>
      <c r="H48" s="49">
        <v>0.9</v>
      </c>
      <c r="I48" s="277"/>
      <c r="J48" s="277"/>
      <c r="K48" s="277"/>
      <c r="L48"/>
      <c r="M48" s="12">
        <f t="shared" si="7"/>
        <v>0.28500000000000003</v>
      </c>
      <c r="N48" s="28" t="s">
        <v>523</v>
      </c>
    </row>
    <row r="49" spans="1:17" s="1" customFormat="1" ht="15" thickBot="1">
      <c r="A49"/>
      <c r="B49" s="4" t="s">
        <v>50</v>
      </c>
      <c r="C49" s="42">
        <v>0.25</v>
      </c>
      <c r="D49" s="4" t="s">
        <v>0</v>
      </c>
      <c r="E49" s="28" t="s">
        <v>523</v>
      </c>
      <c r="F49" s="28"/>
      <c r="H49" s="49">
        <v>0.9</v>
      </c>
      <c r="I49" s="277"/>
      <c r="J49" s="277"/>
      <c r="K49" s="277"/>
      <c r="L49"/>
      <c r="M49" s="12">
        <f t="shared" si="7"/>
        <v>0.47499999999999998</v>
      </c>
      <c r="N49" s="28" t="s">
        <v>523</v>
      </c>
      <c r="O49" t="s">
        <v>0</v>
      </c>
      <c r="P49"/>
      <c r="Q49"/>
    </row>
    <row r="50" spans="1:17" s="1" customFormat="1" ht="15.75" hidden="1" customHeight="1" thickBot="1">
      <c r="A50"/>
      <c r="B50" s="4" t="s">
        <v>119</v>
      </c>
      <c r="C50" s="42">
        <v>0.11</v>
      </c>
      <c r="D50" s="4"/>
      <c r="E50" s="28" t="s">
        <v>523</v>
      </c>
      <c r="F50" s="28"/>
      <c r="G50" s="110"/>
      <c r="H50" s="49">
        <v>0.8</v>
      </c>
      <c r="I50" s="277"/>
      <c r="J50" s="277"/>
      <c r="K50" s="277"/>
      <c r="L50"/>
      <c r="M50" s="12">
        <f t="shared" si="7"/>
        <v>0.19800000000000001</v>
      </c>
      <c r="N50" s="28" t="s">
        <v>523</v>
      </c>
      <c r="O50" t="s">
        <v>0</v>
      </c>
      <c r="P50"/>
      <c r="Q50"/>
    </row>
    <row r="51" spans="1:17" s="1" customFormat="1" ht="15" thickBot="1">
      <c r="A51"/>
      <c r="B51" s="4" t="s">
        <v>343</v>
      </c>
      <c r="C51" s="42">
        <v>0.27</v>
      </c>
      <c r="D51" s="4"/>
      <c r="E51" s="28" t="s">
        <v>523</v>
      </c>
      <c r="F51" s="28"/>
      <c r="G51" s="110"/>
      <c r="H51" s="49">
        <v>0.9</v>
      </c>
      <c r="I51" s="277"/>
      <c r="J51" s="277"/>
      <c r="K51" s="277"/>
      <c r="L51"/>
      <c r="M51" s="12">
        <f t="shared" si="7"/>
        <v>0.51300000000000001</v>
      </c>
      <c r="N51" s="28" t="s">
        <v>523</v>
      </c>
      <c r="O51" t="s">
        <v>0</v>
      </c>
      <c r="P51"/>
      <c r="Q51"/>
    </row>
    <row r="52" spans="1:17" s="1" customFormat="1" ht="15" thickBot="1">
      <c r="A52"/>
      <c r="B52" s="4" t="s">
        <v>51</v>
      </c>
      <c r="C52" s="42">
        <v>0.15</v>
      </c>
      <c r="D52" s="4"/>
      <c r="E52" s="28" t="s">
        <v>523</v>
      </c>
      <c r="F52" s="28"/>
      <c r="G52" s="110"/>
      <c r="H52" s="49">
        <v>0.9</v>
      </c>
      <c r="I52" s="277"/>
      <c r="J52" s="277"/>
      <c r="K52" s="277"/>
      <c r="L52"/>
      <c r="M52" s="12">
        <f t="shared" si="7"/>
        <v>0.28500000000000003</v>
      </c>
      <c r="N52" s="28" t="s">
        <v>523</v>
      </c>
      <c r="O52" t="s">
        <v>0</v>
      </c>
      <c r="P52"/>
      <c r="Q52"/>
    </row>
    <row r="53" spans="1:17" ht="15" thickBot="1">
      <c r="B53" s="4" t="s">
        <v>59</v>
      </c>
      <c r="C53" s="42">
        <v>0.14000000000000001</v>
      </c>
      <c r="D53" s="4"/>
      <c r="E53" s="28" t="s">
        <v>523</v>
      </c>
      <c r="F53" s="28"/>
      <c r="G53" s="110"/>
      <c r="H53" s="49">
        <v>0.9</v>
      </c>
      <c r="I53" s="277"/>
      <c r="J53" s="277"/>
      <c r="K53" s="277"/>
      <c r="L53"/>
      <c r="M53" s="161">
        <f t="shared" si="7"/>
        <v>0.26600000000000001</v>
      </c>
      <c r="N53" s="28" t="s">
        <v>523</v>
      </c>
    </row>
    <row r="54" spans="1:17" ht="15" thickBot="1">
      <c r="B54" s="4" t="s">
        <v>347</v>
      </c>
      <c r="C54" s="84">
        <v>0.79</v>
      </c>
      <c r="D54" s="4" t="s">
        <v>0</v>
      </c>
      <c r="E54" s="28" t="s">
        <v>523</v>
      </c>
      <c r="F54" s="28"/>
      <c r="G54" s="110"/>
      <c r="H54" s="49">
        <v>0.9</v>
      </c>
      <c r="I54" s="277"/>
      <c r="J54" s="277"/>
      <c r="K54" s="277"/>
      <c r="L54"/>
      <c r="M54" s="12">
        <f t="shared" si="7"/>
        <v>1.5010000000000001</v>
      </c>
      <c r="N54" s="28" t="s">
        <v>523</v>
      </c>
    </row>
    <row r="55" spans="1:17" ht="15" thickBot="1">
      <c r="B55" s="4" t="s">
        <v>348</v>
      </c>
      <c r="C55" s="84">
        <v>0.23</v>
      </c>
      <c r="D55" s="4"/>
      <c r="E55" s="28" t="s">
        <v>523</v>
      </c>
      <c r="F55" s="28"/>
      <c r="G55" s="110"/>
      <c r="H55" s="49">
        <v>0.9</v>
      </c>
      <c r="I55" s="277"/>
      <c r="J55" s="277"/>
      <c r="K55" s="277"/>
      <c r="L55"/>
      <c r="M55" s="12">
        <f t="shared" si="7"/>
        <v>0.43700000000000006</v>
      </c>
      <c r="N55" s="28" t="s">
        <v>523</v>
      </c>
    </row>
    <row r="56" spans="1:17" ht="15.75" hidden="1" customHeight="1" thickBot="1">
      <c r="B56" s="4" t="s">
        <v>120</v>
      </c>
      <c r="C56" s="42">
        <v>0.11</v>
      </c>
      <c r="D56" s="4"/>
      <c r="E56" s="28" t="s">
        <v>523</v>
      </c>
      <c r="F56" s="28"/>
      <c r="G56" s="110"/>
      <c r="H56" s="49">
        <v>0.8</v>
      </c>
      <c r="I56" s="277"/>
      <c r="J56" s="277"/>
      <c r="K56" s="277"/>
      <c r="L56"/>
      <c r="M56" s="12">
        <f t="shared" si="7"/>
        <v>0.19800000000000001</v>
      </c>
      <c r="N56" s="28"/>
    </row>
    <row r="57" spans="1:17" ht="15" thickBot="1">
      <c r="B57" s="4" t="s">
        <v>53</v>
      </c>
      <c r="C57" s="84">
        <v>0.17</v>
      </c>
      <c r="D57" s="4" t="s">
        <v>0</v>
      </c>
      <c r="E57" s="28" t="s">
        <v>523</v>
      </c>
      <c r="F57" s="28"/>
      <c r="G57" s="110"/>
      <c r="H57" s="49">
        <v>0.9</v>
      </c>
      <c r="I57" s="277"/>
      <c r="J57" s="277"/>
      <c r="K57" s="277"/>
      <c r="L57"/>
      <c r="M57" s="12">
        <f t="shared" si="7"/>
        <v>0.32300000000000006</v>
      </c>
      <c r="N57" s="28" t="s">
        <v>523</v>
      </c>
    </row>
    <row r="58" spans="1:17" ht="15.75" hidden="1" customHeight="1" thickBot="1">
      <c r="B58" s="4" t="s">
        <v>191</v>
      </c>
      <c r="C58" s="41" t="e">
        <f xml:space="preserve"> 0.693 *#REF!</f>
        <v>#REF!</v>
      </c>
      <c r="D58" s="4"/>
      <c r="E58" s="28" t="s">
        <v>206</v>
      </c>
      <c r="F58" s="28"/>
      <c r="G58" s="110"/>
      <c r="H58" s="49">
        <v>0.8</v>
      </c>
      <c r="I58" s="277"/>
      <c r="J58" s="277"/>
      <c r="K58" s="277"/>
      <c r="L58"/>
      <c r="M58" s="12" t="e">
        <f t="shared" si="7"/>
        <v>#REF!</v>
      </c>
      <c r="N58" s="28" t="s">
        <v>523</v>
      </c>
    </row>
    <row r="59" spans="1:17" ht="15.75" hidden="1" customHeight="1" thickBot="1">
      <c r="B59" s="4" t="s">
        <v>246</v>
      </c>
      <c r="C59" s="49" t="e">
        <f xml:space="preserve"> (1/6) *#REF!</f>
        <v>#REF!</v>
      </c>
      <c r="D59" s="4"/>
      <c r="E59" s="28" t="s">
        <v>247</v>
      </c>
      <c r="F59" s="28"/>
      <c r="G59" s="110"/>
      <c r="H59" s="49">
        <v>0.8</v>
      </c>
      <c r="I59" s="277"/>
      <c r="J59" s="277"/>
      <c r="K59" s="277"/>
      <c r="L59"/>
      <c r="M59" s="12" t="e">
        <f t="shared" si="7"/>
        <v>#REF!</v>
      </c>
      <c r="N59" s="28" t="s">
        <v>206</v>
      </c>
    </row>
    <row r="60" spans="1:17" ht="15" thickBot="1">
      <c r="B60" s="4" t="s">
        <v>68</v>
      </c>
      <c r="C60" s="42">
        <v>0.11</v>
      </c>
      <c r="D60" s="4"/>
      <c r="E60" s="28" t="s">
        <v>523</v>
      </c>
      <c r="F60" s="28"/>
      <c r="G60" s="110"/>
      <c r="H60" s="49">
        <v>0.9</v>
      </c>
      <c r="I60" s="277"/>
      <c r="J60" s="277"/>
      <c r="K60" s="277"/>
      <c r="L60"/>
      <c r="M60" s="161">
        <f t="shared" si="7"/>
        <v>0.20900000000000002</v>
      </c>
      <c r="N60" s="28" t="s">
        <v>523</v>
      </c>
    </row>
    <row r="61" spans="1:17" ht="15" thickBot="1">
      <c r="B61" s="4" t="s">
        <v>76</v>
      </c>
      <c r="C61" s="42">
        <v>0.11</v>
      </c>
      <c r="D61" s="4"/>
      <c r="E61" s="28" t="s">
        <v>523</v>
      </c>
      <c r="F61" s="28"/>
      <c r="G61" s="110"/>
      <c r="H61" s="49">
        <v>0.9</v>
      </c>
      <c r="I61" s="277"/>
      <c r="J61" s="277"/>
      <c r="K61" s="277"/>
      <c r="L61"/>
      <c r="M61" s="12">
        <f t="shared" si="7"/>
        <v>0.20900000000000002</v>
      </c>
      <c r="N61" s="28" t="s">
        <v>523</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4"/>
    <col min="6" max="6" width="12.5" style="345"/>
    <col min="7" max="37" width="12.5" style="299"/>
    <col min="38" max="16384" width="12.5" style="5"/>
  </cols>
  <sheetData>
    <row r="1" spans="1:37">
      <c r="A1" s="272" t="s">
        <v>704</v>
      </c>
    </row>
    <row r="2" spans="1:37">
      <c r="A2" s="272" t="s">
        <v>656</v>
      </c>
    </row>
    <row r="3" spans="1:37">
      <c r="A3" s="272" t="s">
        <v>657</v>
      </c>
    </row>
    <row r="5" spans="1:37">
      <c r="A5" s="6" t="s">
        <v>185</v>
      </c>
    </row>
    <row r="6" spans="1:37">
      <c r="A6" s="6" t="s">
        <v>184</v>
      </c>
    </row>
    <row r="9" spans="1:37">
      <c r="AK9" s="300" t="s">
        <v>714</v>
      </c>
    </row>
    <row r="10" spans="1:37">
      <c r="B10" s="346" t="s">
        <v>7</v>
      </c>
      <c r="C10" s="346" t="s">
        <v>8</v>
      </c>
      <c r="D10" s="346" t="s">
        <v>9</v>
      </c>
      <c r="E10" s="346" t="s">
        <v>10</v>
      </c>
      <c r="F10" s="347" t="s">
        <v>11</v>
      </c>
      <c r="G10" s="300" t="s">
        <v>12</v>
      </c>
      <c r="H10" s="300" t="s">
        <v>13</v>
      </c>
      <c r="I10" s="300" t="s">
        <v>14</v>
      </c>
      <c r="J10" s="300" t="s">
        <v>15</v>
      </c>
      <c r="K10" s="300" t="s">
        <v>16</v>
      </c>
      <c r="L10" s="300" t="s">
        <v>17</v>
      </c>
      <c r="M10" s="300" t="s">
        <v>18</v>
      </c>
      <c r="N10" s="300" t="s">
        <v>19</v>
      </c>
      <c r="O10" s="300" t="s">
        <v>20</v>
      </c>
      <c r="P10" s="300" t="s">
        <v>21</v>
      </c>
      <c r="Q10" s="300" t="s">
        <v>22</v>
      </c>
      <c r="R10" s="300" t="s">
        <v>23</v>
      </c>
      <c r="S10" s="300" t="s">
        <v>24</v>
      </c>
      <c r="T10" s="300" t="s">
        <v>25</v>
      </c>
      <c r="U10" s="300" t="s">
        <v>26</v>
      </c>
      <c r="V10" s="300" t="s">
        <v>27</v>
      </c>
      <c r="W10" s="300" t="s">
        <v>28</v>
      </c>
      <c r="X10" s="300" t="s">
        <v>29</v>
      </c>
      <c r="Y10" s="300" t="s">
        <v>30</v>
      </c>
      <c r="Z10" s="300" t="s">
        <v>31</v>
      </c>
      <c r="AA10" s="300" t="s">
        <v>581</v>
      </c>
      <c r="AB10" s="300" t="s">
        <v>582</v>
      </c>
      <c r="AC10" s="300" t="s">
        <v>583</v>
      </c>
      <c r="AD10" s="300" t="s">
        <v>584</v>
      </c>
      <c r="AE10" s="300" t="s">
        <v>585</v>
      </c>
      <c r="AF10" s="300" t="s">
        <v>586</v>
      </c>
      <c r="AG10" s="300" t="s">
        <v>587</v>
      </c>
      <c r="AH10" s="300" t="s">
        <v>588</v>
      </c>
      <c r="AI10" s="300" t="s">
        <v>589</v>
      </c>
      <c r="AJ10" s="300" t="s">
        <v>590</v>
      </c>
      <c r="AK10" s="300">
        <v>2040</v>
      </c>
    </row>
    <row r="13" spans="1:37">
      <c r="A13" s="6" t="s">
        <v>183</v>
      </c>
    </row>
    <row r="14" spans="1:37">
      <c r="A14" s="6" t="s">
        <v>182</v>
      </c>
      <c r="B14" s="348">
        <v>5.1020002365112296</v>
      </c>
      <c r="C14" s="348">
        <v>5.0669999122619602</v>
      </c>
      <c r="D14" s="348">
        <v>4.9539995193481401</v>
      </c>
      <c r="E14" s="348">
        <v>5.3799490928649902</v>
      </c>
      <c r="F14" s="349">
        <v>5.6095256805419904</v>
      </c>
      <c r="G14" s="293">
        <v>5.6580000000000004</v>
      </c>
      <c r="H14" s="293">
        <v>6.4939989999999996</v>
      </c>
      <c r="I14" s="293">
        <v>7.7220000000000004</v>
      </c>
      <c r="J14" s="293">
        <v>8.5288000000000004</v>
      </c>
      <c r="K14" s="293">
        <v>9.0378019999999992</v>
      </c>
      <c r="L14" s="293">
        <v>9.5417810000000003</v>
      </c>
      <c r="M14" s="293">
        <v>9.5568039999999996</v>
      </c>
      <c r="N14" s="293">
        <v>9.5754859999999997</v>
      </c>
      <c r="O14" s="293">
        <v>9.6082459999999994</v>
      </c>
      <c r="P14" s="293">
        <v>9.5525409999999997</v>
      </c>
      <c r="Q14" s="293">
        <v>9.4165030000000005</v>
      </c>
      <c r="R14" s="293">
        <v>9.2888249999999992</v>
      </c>
      <c r="S14" s="293">
        <v>9.1907350000000001</v>
      </c>
      <c r="T14" s="293">
        <v>9.0728480000000005</v>
      </c>
      <c r="U14" s="293">
        <v>9.0041829999999994</v>
      </c>
      <c r="V14" s="293">
        <v>8.8329439999999995</v>
      </c>
      <c r="W14" s="293">
        <v>8.6696600000000004</v>
      </c>
      <c r="X14" s="293">
        <v>8.5159219999999998</v>
      </c>
      <c r="Y14" s="293">
        <v>8.3804160000000003</v>
      </c>
      <c r="Z14" s="293">
        <v>8.3047140000000006</v>
      </c>
      <c r="AA14" s="293">
        <v>8.1595440000000004</v>
      </c>
      <c r="AB14" s="293">
        <v>8.0727349999999998</v>
      </c>
      <c r="AC14" s="293">
        <v>8.0446790000000004</v>
      </c>
      <c r="AD14" s="293">
        <v>7.984591</v>
      </c>
      <c r="AE14" s="293">
        <v>7.8722690000000002</v>
      </c>
      <c r="AF14" s="293">
        <v>7.7546290000000004</v>
      </c>
      <c r="AG14" s="293">
        <v>7.6994870000000004</v>
      </c>
      <c r="AH14" s="293">
        <v>7.5588430000000004</v>
      </c>
      <c r="AI14" s="293">
        <v>7.5302829999999998</v>
      </c>
      <c r="AJ14" s="293">
        <v>7.4801669999999998</v>
      </c>
      <c r="AK14" s="294">
        <v>5.0000000000000001E-3</v>
      </c>
    </row>
    <row r="15" spans="1:37">
      <c r="A15" s="6" t="s">
        <v>181</v>
      </c>
      <c r="B15" s="348">
        <v>0.74099999666214</v>
      </c>
      <c r="C15" s="348">
        <v>0.71899998188018799</v>
      </c>
      <c r="D15" s="348">
        <v>0.68000000715255704</v>
      </c>
      <c r="E15" s="348">
        <v>0.73478877544403098</v>
      </c>
      <c r="F15" s="349">
        <v>0.68565064668655396</v>
      </c>
      <c r="G15" s="293">
        <v>0.57199999999999995</v>
      </c>
      <c r="H15" s="293">
        <v>0.53</v>
      </c>
      <c r="I15" s="293">
        <v>0.51</v>
      </c>
      <c r="J15" s="293">
        <v>0.4738</v>
      </c>
      <c r="K15" s="293">
        <v>0.462835</v>
      </c>
      <c r="L15" s="293">
        <v>0.46215800000000001</v>
      </c>
      <c r="M15" s="293">
        <v>0.46993800000000002</v>
      </c>
      <c r="N15" s="293">
        <v>0.47195500000000001</v>
      </c>
      <c r="O15" s="293">
        <v>0.45399899999999999</v>
      </c>
      <c r="P15" s="293">
        <v>0.43714199999999998</v>
      </c>
      <c r="Q15" s="293">
        <v>0.41283700000000001</v>
      </c>
      <c r="R15" s="293">
        <v>0.388714</v>
      </c>
      <c r="S15" s="293">
        <v>0.36631000000000002</v>
      </c>
      <c r="T15" s="293">
        <v>0.34568500000000002</v>
      </c>
      <c r="U15" s="293">
        <v>0.32666899999999999</v>
      </c>
      <c r="V15" s="293">
        <v>0.30766500000000002</v>
      </c>
      <c r="W15" s="293">
        <v>0.28877399999999998</v>
      </c>
      <c r="X15" s="293">
        <v>0.27134900000000001</v>
      </c>
      <c r="Y15" s="293">
        <v>0.25525500000000001</v>
      </c>
      <c r="Z15" s="293">
        <v>0.240371</v>
      </c>
      <c r="AA15" s="293">
        <v>0.22658700000000001</v>
      </c>
      <c r="AB15" s="293">
        <v>0.273065</v>
      </c>
      <c r="AC15" s="293">
        <v>0.34021099999999999</v>
      </c>
      <c r="AD15" s="293">
        <v>0.38843800000000001</v>
      </c>
      <c r="AE15" s="293">
        <v>0.378168</v>
      </c>
      <c r="AF15" s="293">
        <v>0.36859700000000001</v>
      </c>
      <c r="AG15" s="293">
        <v>0.35966500000000001</v>
      </c>
      <c r="AH15" s="293">
        <v>0.321691</v>
      </c>
      <c r="AI15" s="293">
        <v>0.28870200000000001</v>
      </c>
      <c r="AJ15" s="293">
        <v>0.25998700000000002</v>
      </c>
      <c r="AK15" s="294">
        <v>-2.5000000000000001E-2</v>
      </c>
    </row>
    <row r="16" spans="1:37">
      <c r="A16" s="6" t="s">
        <v>180</v>
      </c>
      <c r="B16" s="348">
        <v>4.3610000610351598</v>
      </c>
      <c r="C16" s="348">
        <v>4.34800004959106</v>
      </c>
      <c r="D16" s="348">
        <v>4.2739996910095197</v>
      </c>
      <c r="E16" s="348">
        <v>4.6451601982116699</v>
      </c>
      <c r="F16" s="349">
        <v>4.9238753318786603</v>
      </c>
      <c r="G16" s="293">
        <v>5.0860000000000003</v>
      </c>
      <c r="H16" s="293">
        <v>5.9640000000000004</v>
      </c>
      <c r="I16" s="293">
        <v>7.2119999999999997</v>
      </c>
      <c r="J16" s="293">
        <v>8.0549999999999997</v>
      </c>
      <c r="K16" s="293">
        <v>8.5749659999999999</v>
      </c>
      <c r="L16" s="293">
        <v>9.0796240000000008</v>
      </c>
      <c r="M16" s="293">
        <v>9.0868660000000006</v>
      </c>
      <c r="N16" s="293">
        <v>9.1035310000000003</v>
      </c>
      <c r="O16" s="293">
        <v>9.1542469999999998</v>
      </c>
      <c r="P16" s="293">
        <v>9.1153980000000008</v>
      </c>
      <c r="Q16" s="293">
        <v>9.0036670000000001</v>
      </c>
      <c r="R16" s="293">
        <v>8.9001110000000008</v>
      </c>
      <c r="S16" s="293">
        <v>8.8244249999999997</v>
      </c>
      <c r="T16" s="293">
        <v>8.7271629999999991</v>
      </c>
      <c r="U16" s="293">
        <v>8.6775140000000004</v>
      </c>
      <c r="V16" s="293">
        <v>8.5252789999999994</v>
      </c>
      <c r="W16" s="293">
        <v>8.3808860000000003</v>
      </c>
      <c r="X16" s="293">
        <v>8.2445730000000008</v>
      </c>
      <c r="Y16" s="293">
        <v>8.1251610000000003</v>
      </c>
      <c r="Z16" s="293">
        <v>8.0643429999999992</v>
      </c>
      <c r="AA16" s="293">
        <v>7.932957</v>
      </c>
      <c r="AB16" s="293">
        <v>7.7996699999999999</v>
      </c>
      <c r="AC16" s="293">
        <v>7.7044680000000003</v>
      </c>
      <c r="AD16" s="293">
        <v>7.5961540000000003</v>
      </c>
      <c r="AE16" s="293">
        <v>7.4941009999999997</v>
      </c>
      <c r="AF16" s="293">
        <v>7.3860330000000003</v>
      </c>
      <c r="AG16" s="293">
        <v>7.3398209999999997</v>
      </c>
      <c r="AH16" s="293">
        <v>7.2371509999999999</v>
      </c>
      <c r="AI16" s="293">
        <v>7.241581</v>
      </c>
      <c r="AJ16" s="293">
        <v>7.2201810000000002</v>
      </c>
      <c r="AK16" s="294">
        <v>7.0000000000000001E-3</v>
      </c>
    </row>
    <row r="17" spans="1:38">
      <c r="A17" s="6" t="s">
        <v>179</v>
      </c>
      <c r="B17" s="348">
        <v>10.093000411987299</v>
      </c>
      <c r="C17" s="348">
        <v>10.003999710083001</v>
      </c>
      <c r="D17" s="348">
        <v>9.7010002136230504</v>
      </c>
      <c r="E17" s="348">
        <v>8.9919996261596697</v>
      </c>
      <c r="F17" s="349">
        <v>8.3191394805908203</v>
      </c>
      <c r="G17" s="293">
        <v>8.8879999999999999</v>
      </c>
      <c r="H17" s="293">
        <v>8.4319989999999994</v>
      </c>
      <c r="I17" s="293">
        <v>7.3609999999999998</v>
      </c>
      <c r="J17" s="293">
        <v>6.452</v>
      </c>
      <c r="K17" s="293">
        <v>6.1656769999999996</v>
      </c>
      <c r="L17" s="293">
        <v>5.7677230000000002</v>
      </c>
      <c r="M17" s="293">
        <v>5.8143669999999998</v>
      </c>
      <c r="N17" s="293">
        <v>5.8087150000000003</v>
      </c>
      <c r="O17" s="293">
        <v>5.7589199999999998</v>
      </c>
      <c r="P17" s="293">
        <v>5.7870730000000004</v>
      </c>
      <c r="Q17" s="293">
        <v>5.8889449999999997</v>
      </c>
      <c r="R17" s="293">
        <v>5.9421790000000003</v>
      </c>
      <c r="S17" s="293">
        <v>5.9748789999999996</v>
      </c>
      <c r="T17" s="293">
        <v>6.0359290000000003</v>
      </c>
      <c r="U17" s="293">
        <v>6.0526869999999997</v>
      </c>
      <c r="V17" s="293">
        <v>6.1879960000000001</v>
      </c>
      <c r="W17" s="293">
        <v>6.3329610000000001</v>
      </c>
      <c r="X17" s="293">
        <v>6.455387</v>
      </c>
      <c r="Y17" s="293">
        <v>6.5668860000000002</v>
      </c>
      <c r="Z17" s="293">
        <v>6.635491</v>
      </c>
      <c r="AA17" s="293">
        <v>6.7795449999999997</v>
      </c>
      <c r="AB17" s="293">
        <v>6.8623289999999999</v>
      </c>
      <c r="AC17" s="293">
        <v>6.8977040000000001</v>
      </c>
      <c r="AD17" s="293">
        <v>6.9983430000000002</v>
      </c>
      <c r="AE17" s="293">
        <v>7.1493440000000001</v>
      </c>
      <c r="AF17" s="293">
        <v>7.303795</v>
      </c>
      <c r="AG17" s="293">
        <v>7.4063970000000001</v>
      </c>
      <c r="AH17" s="293">
        <v>7.6181229999999998</v>
      </c>
      <c r="AI17" s="293">
        <v>7.6624980000000003</v>
      </c>
      <c r="AJ17" s="293">
        <v>7.742801</v>
      </c>
      <c r="AK17" s="294">
        <v>-3.0000000000000001E-3</v>
      </c>
    </row>
    <row r="18" spans="1:38">
      <c r="A18" s="6" t="s">
        <v>178</v>
      </c>
      <c r="B18" s="348">
        <v>10.118000030517599</v>
      </c>
      <c r="C18" s="348">
        <v>10.0310001373291</v>
      </c>
      <c r="D18" s="348">
        <v>9.7280006408691406</v>
      </c>
      <c r="E18" s="348">
        <v>9.0190000534057599</v>
      </c>
      <c r="F18" s="349">
        <v>8.3490304946899396</v>
      </c>
      <c r="G18" s="293">
        <v>8.9350000000000005</v>
      </c>
      <c r="H18" s="293">
        <v>8.4920000000000009</v>
      </c>
      <c r="I18" s="293">
        <v>7.4809999999999999</v>
      </c>
      <c r="J18" s="293">
        <v>6.585</v>
      </c>
      <c r="K18" s="293">
        <v>6.3116139999999996</v>
      </c>
      <c r="L18" s="293">
        <v>5.9214209999999996</v>
      </c>
      <c r="M18" s="293">
        <v>5.9680070000000001</v>
      </c>
      <c r="N18" s="293">
        <v>5.9630130000000001</v>
      </c>
      <c r="O18" s="293">
        <v>5.9123679999999998</v>
      </c>
      <c r="P18" s="293">
        <v>5.9393659999999997</v>
      </c>
      <c r="Q18" s="293">
        <v>6.0361729999999998</v>
      </c>
      <c r="R18" s="293">
        <v>6.0801559999999997</v>
      </c>
      <c r="S18" s="293">
        <v>6.1090929999999997</v>
      </c>
      <c r="T18" s="293">
        <v>6.1684799999999997</v>
      </c>
      <c r="U18" s="293">
        <v>6.1836919999999997</v>
      </c>
      <c r="V18" s="293">
        <v>6.31792</v>
      </c>
      <c r="W18" s="293">
        <v>6.4623739999999996</v>
      </c>
      <c r="X18" s="293">
        <v>6.5838710000000003</v>
      </c>
      <c r="Y18" s="293">
        <v>6.6953279999999999</v>
      </c>
      <c r="Z18" s="293">
        <v>6.7654339999999999</v>
      </c>
      <c r="AA18" s="293">
        <v>6.9090009999999999</v>
      </c>
      <c r="AB18" s="293">
        <v>6.9898129999999998</v>
      </c>
      <c r="AC18" s="293">
        <v>7.0234620000000003</v>
      </c>
      <c r="AD18" s="293">
        <v>7.1230440000000002</v>
      </c>
      <c r="AE18" s="293">
        <v>7.2727890000000004</v>
      </c>
      <c r="AF18" s="293">
        <v>7.4277439999999997</v>
      </c>
      <c r="AG18" s="293">
        <v>7.5305350000000004</v>
      </c>
      <c r="AH18" s="293">
        <v>7.7422449999999996</v>
      </c>
      <c r="AI18" s="293">
        <v>7.7863189999999998</v>
      </c>
      <c r="AJ18" s="293">
        <v>7.866511</v>
      </c>
      <c r="AK18" s="294">
        <v>-3.0000000000000001E-3</v>
      </c>
    </row>
    <row r="19" spans="1:38">
      <c r="A19" s="6" t="s">
        <v>169</v>
      </c>
      <c r="B19" s="348">
        <v>2.5000000372528999E-2</v>
      </c>
      <c r="C19" s="348">
        <v>2.70000007003546E-2</v>
      </c>
      <c r="D19" s="348">
        <v>2.70000007003546E-2</v>
      </c>
      <c r="E19" s="348">
        <v>2.70000007003546E-2</v>
      </c>
      <c r="F19" s="349">
        <v>2.9890902340412102E-2</v>
      </c>
      <c r="G19" s="293">
        <v>4.7E-2</v>
      </c>
      <c r="H19" s="293">
        <v>0.06</v>
      </c>
      <c r="I19" s="293">
        <v>0.12</v>
      </c>
      <c r="J19" s="293">
        <v>0.13300000000000001</v>
      </c>
      <c r="K19" s="293">
        <v>0.14593700000000001</v>
      </c>
      <c r="L19" s="293">
        <v>0.153697</v>
      </c>
      <c r="M19" s="293">
        <v>0.15364</v>
      </c>
      <c r="N19" s="293">
        <v>0.15429799999999999</v>
      </c>
      <c r="O19" s="293">
        <v>0.153447</v>
      </c>
      <c r="P19" s="293">
        <v>0.15229300000000001</v>
      </c>
      <c r="Q19" s="293">
        <v>0.147228</v>
      </c>
      <c r="R19" s="293">
        <v>0.13797699999999999</v>
      </c>
      <c r="S19" s="293">
        <v>0.134215</v>
      </c>
      <c r="T19" s="293">
        <v>0.132551</v>
      </c>
      <c r="U19" s="293">
        <v>0.13100500000000001</v>
      </c>
      <c r="V19" s="293">
        <v>0.12992400000000001</v>
      </c>
      <c r="W19" s="293">
        <v>0.129414</v>
      </c>
      <c r="X19" s="293">
        <v>0.12848499999999999</v>
      </c>
      <c r="Y19" s="293">
        <v>0.128441</v>
      </c>
      <c r="Z19" s="293">
        <v>0.129943</v>
      </c>
      <c r="AA19" s="293">
        <v>0.12945599999999999</v>
      </c>
      <c r="AB19" s="293">
        <v>0.12748399999999999</v>
      </c>
      <c r="AC19" s="293">
        <v>0.12575900000000001</v>
      </c>
      <c r="AD19" s="293">
        <v>0.12470100000000001</v>
      </c>
      <c r="AE19" s="293">
        <v>0.123445</v>
      </c>
      <c r="AF19" s="293">
        <v>0.123949</v>
      </c>
      <c r="AG19" s="293">
        <v>0.124137</v>
      </c>
      <c r="AH19" s="293">
        <v>0.124122</v>
      </c>
      <c r="AI19" s="293">
        <v>0.123821</v>
      </c>
      <c r="AJ19" s="293">
        <v>0.12371</v>
      </c>
      <c r="AK19" s="294">
        <v>2.5999999999999999E-2</v>
      </c>
    </row>
    <row r="20" spans="1:38">
      <c r="A20" s="6" t="s">
        <v>177</v>
      </c>
      <c r="B20" s="348">
        <v>4.80000004172325E-2</v>
      </c>
      <c r="C20" s="348">
        <v>8.79999995231628E-2</v>
      </c>
      <c r="D20" s="348">
        <v>-2.9999997466802601E-2</v>
      </c>
      <c r="E20" s="348">
        <v>1.9999999552965199E-2</v>
      </c>
      <c r="F20" s="349">
        <v>0</v>
      </c>
      <c r="G20" s="293">
        <v>0.26600000000000001</v>
      </c>
      <c r="H20" s="293">
        <v>8.6999999999999994E-2</v>
      </c>
      <c r="I20" s="293">
        <v>0.23400000000000001</v>
      </c>
      <c r="J20" s="293">
        <v>0.161</v>
      </c>
      <c r="K20" s="293">
        <v>0</v>
      </c>
      <c r="L20" s="293">
        <v>0</v>
      </c>
      <c r="M20" s="293">
        <v>0</v>
      </c>
      <c r="N20" s="293">
        <v>0</v>
      </c>
      <c r="O20" s="293">
        <v>0</v>
      </c>
      <c r="P20" s="293">
        <v>0</v>
      </c>
      <c r="Q20" s="293">
        <v>0</v>
      </c>
      <c r="R20" s="293">
        <v>0</v>
      </c>
      <c r="S20" s="293">
        <v>0</v>
      </c>
      <c r="T20" s="293">
        <v>0</v>
      </c>
      <c r="U20" s="293">
        <v>0</v>
      </c>
      <c r="V20" s="293">
        <v>0</v>
      </c>
      <c r="W20" s="293">
        <v>0</v>
      </c>
      <c r="X20" s="293">
        <v>0</v>
      </c>
      <c r="Y20" s="293">
        <v>0</v>
      </c>
      <c r="Z20" s="293">
        <v>0</v>
      </c>
      <c r="AA20" s="293">
        <v>0</v>
      </c>
      <c r="AB20" s="293">
        <v>0</v>
      </c>
      <c r="AC20" s="293">
        <v>0</v>
      </c>
      <c r="AD20" s="293">
        <v>0</v>
      </c>
      <c r="AE20" s="293">
        <v>0</v>
      </c>
      <c r="AF20" s="293">
        <v>0</v>
      </c>
      <c r="AG20" s="293">
        <v>0</v>
      </c>
      <c r="AH20" s="293">
        <v>0</v>
      </c>
      <c r="AI20" s="293">
        <v>0</v>
      </c>
      <c r="AJ20" s="293">
        <v>0</v>
      </c>
      <c r="AK20" s="293" t="s">
        <v>41</v>
      </c>
    </row>
    <row r="21" spans="1:38">
      <c r="A21" s="6" t="s">
        <v>176</v>
      </c>
      <c r="B21" s="348">
        <v>15.2430009841919</v>
      </c>
      <c r="C21" s="348">
        <v>15.158999443054199</v>
      </c>
      <c r="D21" s="348">
        <v>14.625</v>
      </c>
      <c r="E21" s="348">
        <v>14.3919486999512</v>
      </c>
      <c r="F21" s="349">
        <v>13.9286651611328</v>
      </c>
      <c r="G21" s="248">
        <v>14.811999999999999</v>
      </c>
      <c r="H21" s="248">
        <v>15.012999000000001</v>
      </c>
      <c r="I21" s="248">
        <v>15.317</v>
      </c>
      <c r="J21" s="248">
        <v>15.141800999999999</v>
      </c>
      <c r="K21" s="248">
        <v>15.203478</v>
      </c>
      <c r="L21" s="248">
        <v>15.309505</v>
      </c>
      <c r="M21" s="248">
        <v>15.371171</v>
      </c>
      <c r="N21" s="248">
        <v>15.384200999999999</v>
      </c>
      <c r="O21" s="248">
        <v>15.367167</v>
      </c>
      <c r="P21" s="248">
        <v>15.339613999999999</v>
      </c>
      <c r="Q21" s="248">
        <v>15.305448999999999</v>
      </c>
      <c r="R21" s="248">
        <v>15.231005</v>
      </c>
      <c r="S21" s="248">
        <v>15.165613</v>
      </c>
      <c r="T21" s="248">
        <v>15.108777</v>
      </c>
      <c r="U21" s="248">
        <v>15.05687</v>
      </c>
      <c r="V21" s="248">
        <v>15.020941000000001</v>
      </c>
      <c r="W21" s="248">
        <v>15.002621</v>
      </c>
      <c r="X21" s="248">
        <v>14.971308000000001</v>
      </c>
      <c r="Y21" s="248">
        <v>14.947302000000001</v>
      </c>
      <c r="Z21" s="248">
        <v>14.940206</v>
      </c>
      <c r="AA21" s="248">
        <v>14.939088999999999</v>
      </c>
      <c r="AB21" s="248">
        <v>14.935063</v>
      </c>
      <c r="AC21" s="248">
        <v>14.942383</v>
      </c>
      <c r="AD21" s="248">
        <v>14.982934999999999</v>
      </c>
      <c r="AE21" s="248">
        <v>15.021611999999999</v>
      </c>
      <c r="AF21" s="248">
        <v>15.058424</v>
      </c>
      <c r="AG21" s="248">
        <v>15.105885000000001</v>
      </c>
      <c r="AH21" s="248">
        <v>15.176966</v>
      </c>
      <c r="AI21" s="248">
        <v>15.192781</v>
      </c>
      <c r="AJ21" s="248">
        <v>15.222968</v>
      </c>
      <c r="AK21" s="249">
        <v>0</v>
      </c>
    </row>
    <row r="23" spans="1:38">
      <c r="A23" s="6" t="s">
        <v>175</v>
      </c>
    </row>
    <row r="24" spans="1:38" s="251" customFormat="1">
      <c r="A24" s="250" t="s">
        <v>174</v>
      </c>
      <c r="B24" s="348">
        <v>1.7380001544952399</v>
      </c>
      <c r="C24" s="348">
        <v>1.7829999923706099</v>
      </c>
      <c r="D24" s="348">
        <v>1.82499992847443</v>
      </c>
      <c r="E24" s="348">
        <v>1.81299996376038</v>
      </c>
      <c r="F24" s="349">
        <v>1.86609554290771</v>
      </c>
      <c r="G24" s="295">
        <v>2.2160000000000002</v>
      </c>
      <c r="H24" s="295">
        <v>2.4</v>
      </c>
      <c r="I24" s="295">
        <v>2.4900000000000002</v>
      </c>
      <c r="J24" s="295">
        <v>2.5089999999999999</v>
      </c>
      <c r="K24" s="295">
        <v>2.5561180000000001</v>
      </c>
      <c r="L24" s="295">
        <v>2.6337290000000002</v>
      </c>
      <c r="M24" s="295">
        <v>2.6633930000000001</v>
      </c>
      <c r="N24" s="295">
        <v>2.6705079999999999</v>
      </c>
      <c r="O24" s="295">
        <v>2.669905</v>
      </c>
      <c r="P24" s="295">
        <v>2.6458759999999999</v>
      </c>
      <c r="Q24" s="295">
        <v>2.60798</v>
      </c>
      <c r="R24" s="295">
        <v>2.7045080000000001</v>
      </c>
      <c r="S24" s="295">
        <v>2.7930269999999999</v>
      </c>
      <c r="T24" s="295">
        <v>2.8390249999999999</v>
      </c>
      <c r="U24" s="295">
        <v>2.8728980000000002</v>
      </c>
      <c r="V24" s="295">
        <v>2.9033150000000001</v>
      </c>
      <c r="W24" s="295">
        <v>2.9228930000000002</v>
      </c>
      <c r="X24" s="295">
        <v>2.9406509999999999</v>
      </c>
      <c r="Y24" s="295">
        <v>2.9505080000000001</v>
      </c>
      <c r="Z24" s="295">
        <v>2.978853</v>
      </c>
      <c r="AA24" s="295">
        <v>3.0103460000000002</v>
      </c>
      <c r="AB24" s="295">
        <v>3.0288490000000001</v>
      </c>
      <c r="AC24" s="295">
        <v>3.0383969999999998</v>
      </c>
      <c r="AD24" s="295">
        <v>3.0546120000000001</v>
      </c>
      <c r="AE24" s="295">
        <v>3.0492400000000002</v>
      </c>
      <c r="AF24" s="295">
        <v>3.0289980000000001</v>
      </c>
      <c r="AG24" s="295">
        <v>3.058621</v>
      </c>
      <c r="AH24" s="295">
        <v>3.037477</v>
      </c>
      <c r="AI24" s="295">
        <v>3.013617</v>
      </c>
      <c r="AJ24" s="295">
        <v>2.983552</v>
      </c>
      <c r="AK24" s="296">
        <v>8.0000000000000002E-3</v>
      </c>
    </row>
    <row r="25" spans="1:38">
      <c r="A25" s="6" t="s">
        <v>173</v>
      </c>
      <c r="B25" s="348">
        <v>2.3140001296997101</v>
      </c>
      <c r="C25" s="348">
        <v>2.0869998931884801</v>
      </c>
      <c r="D25" s="348">
        <v>1.29999995231628</v>
      </c>
      <c r="E25" s="348">
        <v>1.3280000686645499</v>
      </c>
      <c r="F25" s="349">
        <v>1.6039888858795199</v>
      </c>
      <c r="G25" s="293">
        <v>-0.252</v>
      </c>
      <c r="H25" s="293">
        <v>-0.91600000000000004</v>
      </c>
      <c r="I25" s="293">
        <v>-0.98799999999999999</v>
      </c>
      <c r="J25" s="293">
        <v>-1.0289999999999999</v>
      </c>
      <c r="K25" s="293">
        <v>-0.96462499999999995</v>
      </c>
      <c r="L25" s="293">
        <v>-0.94448699999999997</v>
      </c>
      <c r="M25" s="293">
        <v>-0.93183700000000003</v>
      </c>
      <c r="N25" s="293">
        <v>-0.91123600000000005</v>
      </c>
      <c r="O25" s="293">
        <v>-0.88706300000000005</v>
      </c>
      <c r="P25" s="293">
        <v>-0.85573100000000002</v>
      </c>
      <c r="Q25" s="293">
        <v>-0.83163799999999999</v>
      </c>
      <c r="R25" s="293">
        <v>-0.89107099999999995</v>
      </c>
      <c r="S25" s="293">
        <v>-0.94251600000000002</v>
      </c>
      <c r="T25" s="293">
        <v>-0.97565599999999997</v>
      </c>
      <c r="U25" s="293">
        <v>-1.0068220000000001</v>
      </c>
      <c r="V25" s="293">
        <v>-1.068271</v>
      </c>
      <c r="W25" s="293">
        <v>-1.122708</v>
      </c>
      <c r="X25" s="293">
        <v>-1.1588719999999999</v>
      </c>
      <c r="Y25" s="293">
        <v>-1.2142729999999999</v>
      </c>
      <c r="Z25" s="293">
        <v>-1.293569</v>
      </c>
      <c r="AA25" s="293">
        <v>-1.3683129999999999</v>
      </c>
      <c r="AB25" s="293">
        <v>-1.4270320000000001</v>
      </c>
      <c r="AC25" s="293">
        <v>-1.482378</v>
      </c>
      <c r="AD25" s="293">
        <v>-1.563064</v>
      </c>
      <c r="AE25" s="293">
        <v>-1.613156</v>
      </c>
      <c r="AF25" s="293">
        <v>-1.650264</v>
      </c>
      <c r="AG25" s="293">
        <v>-1.716191</v>
      </c>
      <c r="AH25" s="293">
        <v>-1.7615620000000001</v>
      </c>
      <c r="AI25" s="293">
        <v>-1.7771790000000001</v>
      </c>
      <c r="AJ25" s="293">
        <v>-1.816797</v>
      </c>
      <c r="AK25" s="294">
        <v>2.5000000000000001E-2</v>
      </c>
    </row>
    <row r="26" spans="1:38">
      <c r="A26" s="6" t="s">
        <v>172</v>
      </c>
      <c r="B26" s="348">
        <v>2.1710000038146999</v>
      </c>
      <c r="C26" s="348">
        <v>1.93800008296967</v>
      </c>
      <c r="D26" s="348">
        <v>1.0240000486373899</v>
      </c>
      <c r="E26" s="348">
        <v>1.06200003623962</v>
      </c>
      <c r="F26" s="349">
        <v>1.54514491558075</v>
      </c>
      <c r="G26" s="293">
        <v>1.151</v>
      </c>
      <c r="H26" s="293">
        <v>0.84799999999999998</v>
      </c>
      <c r="I26" s="293">
        <v>0.70899999999999996</v>
      </c>
      <c r="J26" s="293">
        <v>0.72</v>
      </c>
      <c r="K26" s="293">
        <v>0.81863200000000003</v>
      </c>
      <c r="L26" s="293">
        <v>0.88173000000000001</v>
      </c>
      <c r="M26" s="293">
        <v>0.906914</v>
      </c>
      <c r="N26" s="293">
        <v>0.93180099999999999</v>
      </c>
      <c r="O26" s="293">
        <v>0.95816500000000004</v>
      </c>
      <c r="P26" s="293">
        <v>0.97589599999999999</v>
      </c>
      <c r="Q26" s="293">
        <v>0.98990599999999995</v>
      </c>
      <c r="R26" s="293">
        <v>1.006778</v>
      </c>
      <c r="S26" s="293">
        <v>1.0199199999999999</v>
      </c>
      <c r="T26" s="293">
        <v>1.03091</v>
      </c>
      <c r="U26" s="293">
        <v>1.05515</v>
      </c>
      <c r="V26" s="293">
        <v>1.0587679999999999</v>
      </c>
      <c r="W26" s="293">
        <v>1.0657570000000001</v>
      </c>
      <c r="X26" s="293">
        <v>1.0659179999999999</v>
      </c>
      <c r="Y26" s="293">
        <v>1.061431</v>
      </c>
      <c r="Z26" s="293">
        <v>1.0560160000000001</v>
      </c>
      <c r="AA26" s="293">
        <v>1.05697</v>
      </c>
      <c r="AB26" s="293">
        <v>1.0702149999999999</v>
      </c>
      <c r="AC26" s="293">
        <v>1.072165</v>
      </c>
      <c r="AD26" s="293">
        <v>1.0766100000000001</v>
      </c>
      <c r="AE26" s="293">
        <v>1.0822270000000001</v>
      </c>
      <c r="AF26" s="293">
        <v>1.093154</v>
      </c>
      <c r="AG26" s="293">
        <v>1.095712</v>
      </c>
      <c r="AH26" s="293">
        <v>1.0972550000000001</v>
      </c>
      <c r="AI26" s="293">
        <v>1.1087450000000001</v>
      </c>
      <c r="AJ26" s="293">
        <v>1.0974060000000001</v>
      </c>
      <c r="AK26" s="294">
        <v>8.9999999999999993E-3</v>
      </c>
    </row>
    <row r="27" spans="1:38">
      <c r="A27" s="6" t="s">
        <v>171</v>
      </c>
      <c r="B27" s="348">
        <v>0.68900001049041704</v>
      </c>
      <c r="C27" s="348">
        <v>0.71700000762939498</v>
      </c>
      <c r="D27" s="348">
        <v>0.60663330554962203</v>
      </c>
      <c r="E27" s="348">
        <v>0.60996818542480502</v>
      </c>
      <c r="F27" s="349">
        <v>0.60277581214904796</v>
      </c>
      <c r="G27" s="293">
        <v>0.68700000000000006</v>
      </c>
      <c r="H27" s="293">
        <v>0.60299999999999998</v>
      </c>
      <c r="I27" s="293">
        <v>0.58599999999999997</v>
      </c>
      <c r="J27" s="293">
        <v>0.54400000000000004</v>
      </c>
      <c r="K27" s="293">
        <v>0.540385</v>
      </c>
      <c r="L27" s="293">
        <v>0.53676900000000005</v>
      </c>
      <c r="M27" s="293">
        <v>0.53315299999999999</v>
      </c>
      <c r="N27" s="293">
        <v>0.52953899999999998</v>
      </c>
      <c r="O27" s="293">
        <v>0.52592300000000003</v>
      </c>
      <c r="P27" s="293">
        <v>0.52230699999999997</v>
      </c>
      <c r="Q27" s="293">
        <v>0.51869299999999996</v>
      </c>
      <c r="R27" s="293">
        <v>0.51507700000000001</v>
      </c>
      <c r="S27" s="293">
        <v>0.51146100000000005</v>
      </c>
      <c r="T27" s="293">
        <v>0.50784600000000002</v>
      </c>
      <c r="U27" s="293">
        <v>0.50423099999999998</v>
      </c>
      <c r="V27" s="293">
        <v>0.50061500000000003</v>
      </c>
      <c r="W27" s="293">
        <v>0.497</v>
      </c>
      <c r="X27" s="293">
        <v>0.49338500000000002</v>
      </c>
      <c r="Y27" s="293">
        <v>0.48976900000000001</v>
      </c>
      <c r="Z27" s="293">
        <v>0.48615399999999998</v>
      </c>
      <c r="AA27" s="293">
        <v>0.48253800000000002</v>
      </c>
      <c r="AB27" s="293">
        <v>0.47892299999999999</v>
      </c>
      <c r="AC27" s="293">
        <v>0.47530800000000001</v>
      </c>
      <c r="AD27" s="293">
        <v>0.471692</v>
      </c>
      <c r="AE27" s="293">
        <v>0.46807700000000002</v>
      </c>
      <c r="AF27" s="293">
        <v>0.46446199999999999</v>
      </c>
      <c r="AG27" s="293">
        <v>0.46084599999999998</v>
      </c>
      <c r="AH27" s="293">
        <v>0.45723000000000003</v>
      </c>
      <c r="AI27" s="293">
        <v>0.45361600000000002</v>
      </c>
      <c r="AJ27" s="293">
        <v>0.45</v>
      </c>
      <c r="AK27" s="294">
        <v>-0.01</v>
      </c>
    </row>
    <row r="28" spans="1:38">
      <c r="A28" s="6" t="s">
        <v>170</v>
      </c>
      <c r="B28" s="348">
        <v>0.67700004577636697</v>
      </c>
      <c r="C28" s="348">
        <v>0.75300002098083496</v>
      </c>
      <c r="D28" s="348">
        <v>0.73199999332428001</v>
      </c>
      <c r="E28" s="348">
        <v>0.71799999475479104</v>
      </c>
      <c r="F28" s="349">
        <v>0.62520116567611705</v>
      </c>
      <c r="G28" s="293">
        <v>0.71799999999999997</v>
      </c>
      <c r="H28" s="293">
        <v>0.61599999999999999</v>
      </c>
      <c r="I28" s="293">
        <v>0.61</v>
      </c>
      <c r="J28" s="293">
        <v>0.6</v>
      </c>
      <c r="K28" s="293">
        <v>0.67105999999999999</v>
      </c>
      <c r="L28" s="293">
        <v>0.66229499999999997</v>
      </c>
      <c r="M28" s="293">
        <v>0.65169100000000002</v>
      </c>
      <c r="N28" s="293">
        <v>0.64020900000000003</v>
      </c>
      <c r="O28" s="293">
        <v>0.62541100000000005</v>
      </c>
      <c r="P28" s="293">
        <v>0.61513700000000004</v>
      </c>
      <c r="Q28" s="293">
        <v>0.606742</v>
      </c>
      <c r="R28" s="293">
        <v>0.595522</v>
      </c>
      <c r="S28" s="293">
        <v>0.58620099999999997</v>
      </c>
      <c r="T28" s="293">
        <v>0.57591400000000004</v>
      </c>
      <c r="U28" s="293">
        <v>0.55055799999999999</v>
      </c>
      <c r="V28" s="293">
        <v>0.53803599999999996</v>
      </c>
      <c r="W28" s="293">
        <v>0.524864</v>
      </c>
      <c r="X28" s="293">
        <v>0.51505000000000001</v>
      </c>
      <c r="Y28" s="293">
        <v>0.50508799999999998</v>
      </c>
      <c r="Z28" s="293">
        <v>0.49612200000000001</v>
      </c>
      <c r="AA28" s="293">
        <v>0.48664200000000002</v>
      </c>
      <c r="AB28" s="293">
        <v>0.47747699999999998</v>
      </c>
      <c r="AC28" s="293">
        <v>0.46830300000000002</v>
      </c>
      <c r="AD28" s="293">
        <v>0.45679599999999998</v>
      </c>
      <c r="AE28" s="293">
        <v>0.44836500000000001</v>
      </c>
      <c r="AF28" s="293">
        <v>0.43787900000000002</v>
      </c>
      <c r="AG28" s="293">
        <v>0.42837799999999998</v>
      </c>
      <c r="AH28" s="293">
        <v>0.41841600000000001</v>
      </c>
      <c r="AI28" s="293">
        <v>0.40845399999999998</v>
      </c>
      <c r="AJ28" s="293">
        <v>0.39849099999999998</v>
      </c>
      <c r="AK28" s="294">
        <v>-1.4999999999999999E-2</v>
      </c>
    </row>
    <row r="29" spans="1:38">
      <c r="A29" s="6" t="s">
        <v>169</v>
      </c>
      <c r="B29" s="348">
        <v>1.2150000333786</v>
      </c>
      <c r="C29" s="348">
        <v>1.32100009918213</v>
      </c>
      <c r="D29" s="348">
        <v>1.2150000333786</v>
      </c>
      <c r="E29" s="348">
        <v>1.2150000333786</v>
      </c>
      <c r="F29" s="349">
        <v>1.16913342475891</v>
      </c>
      <c r="G29" s="293">
        <v>2.8079999999999998</v>
      </c>
      <c r="H29" s="293">
        <v>2.9830000000000001</v>
      </c>
      <c r="I29" s="293">
        <v>2.8929999999999998</v>
      </c>
      <c r="J29" s="293">
        <v>2.8929999999999998</v>
      </c>
      <c r="K29" s="293">
        <v>2.9947010000000001</v>
      </c>
      <c r="L29" s="293">
        <v>3.0252810000000001</v>
      </c>
      <c r="M29" s="293">
        <v>3.023596</v>
      </c>
      <c r="N29" s="293">
        <v>3.0127839999999999</v>
      </c>
      <c r="O29" s="293">
        <v>2.9965619999999999</v>
      </c>
      <c r="P29" s="293">
        <v>2.9690720000000002</v>
      </c>
      <c r="Q29" s="293">
        <v>2.9469789999999998</v>
      </c>
      <c r="R29" s="293">
        <v>3.0084490000000002</v>
      </c>
      <c r="S29" s="293">
        <v>3.0600990000000001</v>
      </c>
      <c r="T29" s="293">
        <v>3.090325</v>
      </c>
      <c r="U29" s="293">
        <v>3.1167609999999999</v>
      </c>
      <c r="V29" s="293">
        <v>3.1656900000000001</v>
      </c>
      <c r="W29" s="293">
        <v>3.2103290000000002</v>
      </c>
      <c r="X29" s="293">
        <v>3.2332260000000002</v>
      </c>
      <c r="Y29" s="293">
        <v>3.2705609999999998</v>
      </c>
      <c r="Z29" s="293">
        <v>3.331861</v>
      </c>
      <c r="AA29" s="293">
        <v>3.3944640000000001</v>
      </c>
      <c r="AB29" s="293">
        <v>3.4536470000000001</v>
      </c>
      <c r="AC29" s="293">
        <v>3.498154</v>
      </c>
      <c r="AD29" s="293">
        <v>3.5681620000000001</v>
      </c>
      <c r="AE29" s="293">
        <v>3.6118250000000001</v>
      </c>
      <c r="AF29" s="293">
        <v>3.6457579999999998</v>
      </c>
      <c r="AG29" s="293">
        <v>3.7011270000000001</v>
      </c>
      <c r="AH29" s="293">
        <v>3.7344629999999999</v>
      </c>
      <c r="AI29" s="293">
        <v>3.7479930000000001</v>
      </c>
      <c r="AJ29" s="293">
        <v>3.7626949999999999</v>
      </c>
      <c r="AK29" s="294">
        <v>8.0000000000000002E-3</v>
      </c>
    </row>
    <row r="30" spans="1:38">
      <c r="A30" s="6" t="s">
        <v>168</v>
      </c>
      <c r="B30" s="348">
        <v>0.99400001764297496</v>
      </c>
      <c r="C30" s="348">
        <v>0.99599999189376798</v>
      </c>
      <c r="D30" s="348">
        <v>0.99699997901916504</v>
      </c>
      <c r="E30" s="348">
        <v>0.97899997234344505</v>
      </c>
      <c r="F30" s="349">
        <v>0.97222220897674605</v>
      </c>
      <c r="G30" s="293">
        <v>1.0760000000000001</v>
      </c>
      <c r="H30" s="293">
        <v>1.077</v>
      </c>
      <c r="I30" s="293">
        <v>1.0620000000000001</v>
      </c>
      <c r="J30" s="293">
        <v>1.0549999999999999</v>
      </c>
      <c r="K30" s="293">
        <v>1.1173770000000001</v>
      </c>
      <c r="L30" s="293">
        <v>1.107977</v>
      </c>
      <c r="M30" s="293">
        <v>1.1068800000000001</v>
      </c>
      <c r="N30" s="293">
        <v>1.1013949999999999</v>
      </c>
      <c r="O30" s="293">
        <v>1.0899559999999999</v>
      </c>
      <c r="P30" s="293">
        <v>1.0810919999999999</v>
      </c>
      <c r="Q30" s="293">
        <v>1.070587</v>
      </c>
      <c r="R30" s="293">
        <v>1.0513539999999999</v>
      </c>
      <c r="S30" s="293">
        <v>1.032008</v>
      </c>
      <c r="T30" s="293">
        <v>1.0139609999999999</v>
      </c>
      <c r="U30" s="293">
        <v>0.99733000000000005</v>
      </c>
      <c r="V30" s="293">
        <v>0.98163100000000003</v>
      </c>
      <c r="W30" s="293">
        <v>0.97328499999999996</v>
      </c>
      <c r="X30" s="293">
        <v>0.96382100000000004</v>
      </c>
      <c r="Y30" s="293">
        <v>0.95674199999999998</v>
      </c>
      <c r="Z30" s="293">
        <v>0.95704199999999995</v>
      </c>
      <c r="AA30" s="293">
        <v>0.95328999999999997</v>
      </c>
      <c r="AB30" s="293">
        <v>0.95369499999999996</v>
      </c>
      <c r="AC30" s="293">
        <v>0.949291</v>
      </c>
      <c r="AD30" s="293">
        <v>0.94474999999999998</v>
      </c>
      <c r="AE30" s="293">
        <v>0.94433999999999996</v>
      </c>
      <c r="AF30" s="293">
        <v>0.94618999999999998</v>
      </c>
      <c r="AG30" s="293">
        <v>0.94669300000000001</v>
      </c>
      <c r="AH30" s="293">
        <v>0.95018899999999995</v>
      </c>
      <c r="AI30" s="293">
        <v>0.95436399999999999</v>
      </c>
      <c r="AJ30" s="293">
        <v>0.95464199999999999</v>
      </c>
      <c r="AK30" s="294">
        <v>-4.0000000000000001E-3</v>
      </c>
    </row>
    <row r="31" spans="1:38">
      <c r="A31" s="6" t="s">
        <v>690</v>
      </c>
      <c r="B31" s="348">
        <v>0.40835106372833302</v>
      </c>
      <c r="C31" s="348">
        <v>0.74303030967712402</v>
      </c>
      <c r="D31" s="348">
        <v>0.90019965171813998</v>
      </c>
      <c r="E31" s="348">
        <v>0.90936332941055298</v>
      </c>
      <c r="F31" s="349">
        <v>1.2169610261917101</v>
      </c>
      <c r="G31" s="293">
        <v>0.87458199999999997</v>
      </c>
      <c r="H31" s="293">
        <v>0.88629000000000002</v>
      </c>
      <c r="I31" s="293">
        <v>0.91131799999999996</v>
      </c>
      <c r="J31" s="293">
        <v>0.94543999999999995</v>
      </c>
      <c r="K31" s="293">
        <v>0.95931299999999997</v>
      </c>
      <c r="L31" s="293">
        <v>0.96406000000000003</v>
      </c>
      <c r="M31" s="293">
        <v>0.97751200000000005</v>
      </c>
      <c r="N31" s="293">
        <v>0.98974300000000004</v>
      </c>
      <c r="O31" s="293">
        <v>1.0016430000000001</v>
      </c>
      <c r="P31" s="293">
        <v>1.014486</v>
      </c>
      <c r="Q31" s="293">
        <v>1.026421</v>
      </c>
      <c r="R31" s="293">
        <v>1.04257</v>
      </c>
      <c r="S31" s="293">
        <v>1.0409060000000001</v>
      </c>
      <c r="T31" s="293">
        <v>1.042815</v>
      </c>
      <c r="U31" s="293">
        <v>1.0410189999999999</v>
      </c>
      <c r="V31" s="293">
        <v>1.0405869999999999</v>
      </c>
      <c r="W31" s="293">
        <v>1.0406690000000001</v>
      </c>
      <c r="X31" s="293">
        <v>1.0407820000000001</v>
      </c>
      <c r="Y31" s="293">
        <v>1.0402199999999999</v>
      </c>
      <c r="Z31" s="293">
        <v>1.0406690000000001</v>
      </c>
      <c r="AA31" s="293">
        <v>1.0418559999999999</v>
      </c>
      <c r="AB31" s="293">
        <v>1.0410980000000001</v>
      </c>
      <c r="AC31" s="293">
        <v>1.041115</v>
      </c>
      <c r="AD31" s="293">
        <v>1.0421020000000001</v>
      </c>
      <c r="AE31" s="293">
        <v>1.0415099999999999</v>
      </c>
      <c r="AF31" s="293">
        <v>1.039404</v>
      </c>
      <c r="AG31" s="293">
        <v>1.038624</v>
      </c>
      <c r="AH31" s="293">
        <v>1.041671</v>
      </c>
      <c r="AI31" s="293">
        <v>1.0532999999999999</v>
      </c>
      <c r="AJ31" s="293">
        <v>1.0676890000000001</v>
      </c>
      <c r="AK31" s="294">
        <v>7.0000000000000001E-3</v>
      </c>
    </row>
    <row r="32" spans="1:38" s="18" customFormat="1">
      <c r="A32" s="17" t="s">
        <v>167</v>
      </c>
      <c r="B32" s="350">
        <v>0.31900000572204601</v>
      </c>
      <c r="C32" s="350">
        <v>0.42500001192092901</v>
      </c>
      <c r="D32" s="350">
        <v>0.60299998521804798</v>
      </c>
      <c r="E32" s="350">
        <v>0.68500006198883101</v>
      </c>
      <c r="F32" s="351">
        <v>0.84147453308105502</v>
      </c>
      <c r="G32" s="293">
        <v>0.81834200000000001</v>
      </c>
      <c r="H32" s="293">
        <v>0.82725800000000005</v>
      </c>
      <c r="I32" s="293">
        <v>0.825187</v>
      </c>
      <c r="J32" s="293">
        <v>0.85004199999999996</v>
      </c>
      <c r="K32" s="293">
        <v>0.865282</v>
      </c>
      <c r="L32" s="293">
        <v>0.869251</v>
      </c>
      <c r="M32" s="293">
        <v>0.88145200000000001</v>
      </c>
      <c r="N32" s="293">
        <v>0.88586200000000004</v>
      </c>
      <c r="O32" s="293">
        <v>0.88890000000000002</v>
      </c>
      <c r="P32" s="293">
        <v>0.89585899999999996</v>
      </c>
      <c r="Q32" s="293">
        <v>0.89987200000000001</v>
      </c>
      <c r="R32" s="293">
        <v>0.91550900000000002</v>
      </c>
      <c r="S32" s="293">
        <v>0.91492399999999996</v>
      </c>
      <c r="T32" s="293">
        <v>0.91555299999999995</v>
      </c>
      <c r="U32" s="293">
        <v>0.91523600000000005</v>
      </c>
      <c r="V32" s="293">
        <v>0.91508800000000001</v>
      </c>
      <c r="W32" s="293">
        <v>0.91518600000000006</v>
      </c>
      <c r="X32" s="293">
        <v>0.91533399999999998</v>
      </c>
      <c r="Y32" s="293">
        <v>0.91476000000000002</v>
      </c>
      <c r="Z32" s="293">
        <v>0.91483099999999995</v>
      </c>
      <c r="AA32" s="293">
        <v>0.91463499999999998</v>
      </c>
      <c r="AB32" s="293">
        <v>0.91389500000000001</v>
      </c>
      <c r="AC32" s="293">
        <v>0.91388999999999998</v>
      </c>
      <c r="AD32" s="293">
        <v>0.91484699999999997</v>
      </c>
      <c r="AE32" s="293">
        <v>0.91425800000000002</v>
      </c>
      <c r="AF32" s="293">
        <v>0.91217999999999999</v>
      </c>
      <c r="AG32" s="293">
        <v>0.91165499999999999</v>
      </c>
      <c r="AH32" s="293">
        <v>0.91445399999999999</v>
      </c>
      <c r="AI32" s="293">
        <v>0.92887299999999995</v>
      </c>
      <c r="AJ32" s="293">
        <v>0.94600499999999998</v>
      </c>
      <c r="AK32" s="294">
        <v>5.0000000000000001E-3</v>
      </c>
      <c r="AL32" s="51">
        <f>C32*(1+AK32)^23</f>
        <v>0.4766596202229666</v>
      </c>
    </row>
    <row r="33" spans="1:38" s="18" customFormat="1">
      <c r="A33" s="17" t="s">
        <v>165</v>
      </c>
      <c r="B33" s="350">
        <v>0.273288995027542</v>
      </c>
      <c r="C33" s="350">
        <v>0.40336400270461997</v>
      </c>
      <c r="D33" s="350">
        <v>0.58252400159835804</v>
      </c>
      <c r="E33" s="350">
        <v>0.68972003459930398</v>
      </c>
      <c r="F33" s="351">
        <v>0.84179353713989302</v>
      </c>
      <c r="G33" s="293">
        <v>0.88597599999999999</v>
      </c>
      <c r="H33" s="293">
        <v>0.84365599999999996</v>
      </c>
      <c r="I33" s="293">
        <v>0.83595299999999995</v>
      </c>
      <c r="J33" s="293">
        <v>0.86998399999999998</v>
      </c>
      <c r="K33" s="293">
        <v>0.82013999999999998</v>
      </c>
      <c r="L33" s="293">
        <v>0.82233599999999996</v>
      </c>
      <c r="M33" s="293">
        <v>0.83316999999999997</v>
      </c>
      <c r="N33" s="293">
        <v>0.834866</v>
      </c>
      <c r="O33" s="293">
        <v>0.83494199999999996</v>
      </c>
      <c r="P33" s="293">
        <v>0.84040599999999999</v>
      </c>
      <c r="Q33" s="293">
        <v>0.83868500000000001</v>
      </c>
      <c r="R33" s="293">
        <v>0.84875</v>
      </c>
      <c r="S33" s="293">
        <v>0.85439200000000004</v>
      </c>
      <c r="T33" s="293">
        <v>0.85437700000000005</v>
      </c>
      <c r="U33" s="293">
        <v>0.85438800000000004</v>
      </c>
      <c r="V33" s="293">
        <v>0.85439200000000004</v>
      </c>
      <c r="W33" s="293">
        <v>0.85523000000000005</v>
      </c>
      <c r="X33" s="293">
        <v>0.85584700000000002</v>
      </c>
      <c r="Y33" s="293">
        <v>0.85583500000000001</v>
      </c>
      <c r="Z33" s="293">
        <v>0.85584700000000002</v>
      </c>
      <c r="AA33" s="293">
        <v>0.85584700000000002</v>
      </c>
      <c r="AB33" s="293">
        <v>0.85583500000000001</v>
      </c>
      <c r="AC33" s="293">
        <v>0.85583500000000001</v>
      </c>
      <c r="AD33" s="293">
        <v>0.85583500000000001</v>
      </c>
      <c r="AE33" s="293">
        <v>0.85358400000000001</v>
      </c>
      <c r="AF33" s="293">
        <v>0.84983299999999995</v>
      </c>
      <c r="AG33" s="293">
        <v>0.84757499999999997</v>
      </c>
      <c r="AH33" s="293">
        <v>0.84855400000000003</v>
      </c>
      <c r="AI33" s="293">
        <v>0.85902400000000001</v>
      </c>
      <c r="AJ33" s="293">
        <v>0.86278500000000002</v>
      </c>
      <c r="AK33" s="294">
        <v>1E-3</v>
      </c>
      <c r="AL33" s="51" t="s">
        <v>0</v>
      </c>
    </row>
    <row r="34" spans="1:38">
      <c r="A34" s="6" t="s">
        <v>164</v>
      </c>
      <c r="B34" s="348">
        <v>4.5710995793342597E-2</v>
      </c>
      <c r="C34" s="348">
        <v>2.1635998040437698E-2</v>
      </c>
      <c r="D34" s="348">
        <v>2.0475998520851101E-2</v>
      </c>
      <c r="E34" s="348">
        <v>-4.7199996188283001E-3</v>
      </c>
      <c r="F34" s="349">
        <v>-3.1897879671305402E-4</v>
      </c>
      <c r="G34" s="293">
        <v>-6.6753999999999994E-2</v>
      </c>
      <c r="H34" s="293">
        <v>-1.6397999999999999E-2</v>
      </c>
      <c r="I34" s="293">
        <v>-1.0766E-2</v>
      </c>
      <c r="J34" s="293">
        <v>-1.9942000000000001E-2</v>
      </c>
      <c r="K34" s="293">
        <v>4.5142000000000002E-2</v>
      </c>
      <c r="L34" s="293">
        <v>4.6915999999999999E-2</v>
      </c>
      <c r="M34" s="293">
        <v>4.8281999999999999E-2</v>
      </c>
      <c r="N34" s="293">
        <v>5.0996E-2</v>
      </c>
      <c r="O34" s="293">
        <v>5.3957999999999999E-2</v>
      </c>
      <c r="P34" s="293">
        <v>5.5452000000000001E-2</v>
      </c>
      <c r="Q34" s="293">
        <v>6.1186999999999998E-2</v>
      </c>
      <c r="R34" s="293">
        <v>6.6758999999999999E-2</v>
      </c>
      <c r="S34" s="293">
        <v>6.0532000000000002E-2</v>
      </c>
      <c r="T34" s="293">
        <v>6.1176000000000001E-2</v>
      </c>
      <c r="U34" s="293">
        <v>6.0847999999999999E-2</v>
      </c>
      <c r="V34" s="293">
        <v>6.0696E-2</v>
      </c>
      <c r="W34" s="293">
        <v>5.9957000000000003E-2</v>
      </c>
      <c r="X34" s="293">
        <v>5.9486999999999998E-2</v>
      </c>
      <c r="Y34" s="293">
        <v>5.8924999999999998E-2</v>
      </c>
      <c r="Z34" s="293">
        <v>5.8984000000000002E-2</v>
      </c>
      <c r="AA34" s="293">
        <v>5.8788E-2</v>
      </c>
      <c r="AB34" s="293">
        <v>5.806E-2</v>
      </c>
      <c r="AC34" s="293">
        <v>5.8056000000000003E-2</v>
      </c>
      <c r="AD34" s="293">
        <v>5.9012000000000002E-2</v>
      </c>
      <c r="AE34" s="293">
        <v>6.0673999999999999E-2</v>
      </c>
      <c r="AF34" s="293">
        <v>6.2348000000000001E-2</v>
      </c>
      <c r="AG34" s="293">
        <v>6.4079999999999998E-2</v>
      </c>
      <c r="AH34" s="293">
        <v>6.59E-2</v>
      </c>
      <c r="AI34" s="293">
        <v>6.9848999999999994E-2</v>
      </c>
      <c r="AJ34" s="293">
        <v>8.3220000000000002E-2</v>
      </c>
      <c r="AK34" s="293" t="s">
        <v>41</v>
      </c>
    </row>
    <row r="35" spans="1:38" s="18" customFormat="1">
      <c r="A35" s="17" t="s">
        <v>166</v>
      </c>
      <c r="B35" s="350">
        <v>1.6338998451829002E-2</v>
      </c>
      <c r="C35" s="350">
        <v>3.2029997557401699E-2</v>
      </c>
      <c r="D35" s="350">
        <v>5.1199223846197101E-2</v>
      </c>
      <c r="E35" s="350">
        <v>6.0358572751283597E-2</v>
      </c>
      <c r="F35" s="351">
        <v>6.3932694494724301E-2</v>
      </c>
      <c r="G35" s="293">
        <v>5.6239999999999998E-2</v>
      </c>
      <c r="H35" s="293">
        <v>5.9032000000000001E-2</v>
      </c>
      <c r="I35" s="293">
        <v>8.6099999999999996E-2</v>
      </c>
      <c r="J35" s="293">
        <v>9.0199000000000001E-2</v>
      </c>
      <c r="K35" s="293">
        <v>9.0070999999999998E-2</v>
      </c>
      <c r="L35" s="293">
        <v>8.6830000000000004E-2</v>
      </c>
      <c r="M35" s="293">
        <v>8.6858000000000005E-2</v>
      </c>
      <c r="N35" s="293">
        <v>8.5750999999999994E-2</v>
      </c>
      <c r="O35" s="293">
        <v>8.7317000000000006E-2</v>
      </c>
      <c r="P35" s="293">
        <v>8.8449E-2</v>
      </c>
      <c r="Q35" s="293">
        <v>8.8486999999999996E-2</v>
      </c>
      <c r="R35" s="293">
        <v>8.8999999999999996E-2</v>
      </c>
      <c r="S35" s="293">
        <v>8.8025000000000006E-2</v>
      </c>
      <c r="T35" s="293">
        <v>8.9304999999999995E-2</v>
      </c>
      <c r="U35" s="293">
        <v>8.7721999999999994E-2</v>
      </c>
      <c r="V35" s="293">
        <v>8.7541999999999995E-2</v>
      </c>
      <c r="W35" s="293">
        <v>8.7525000000000006E-2</v>
      </c>
      <c r="X35" s="293">
        <v>8.7489999999999998E-2</v>
      </c>
      <c r="Y35" s="293">
        <v>8.7501999999999996E-2</v>
      </c>
      <c r="Z35" s="293">
        <v>8.788E-2</v>
      </c>
      <c r="AA35" s="293">
        <v>8.9262999999999995E-2</v>
      </c>
      <c r="AB35" s="293">
        <v>8.9245000000000005E-2</v>
      </c>
      <c r="AC35" s="293">
        <v>8.9370000000000005E-2</v>
      </c>
      <c r="AD35" s="293">
        <v>8.9401999999999995E-2</v>
      </c>
      <c r="AE35" s="293">
        <v>8.9397000000000004E-2</v>
      </c>
      <c r="AF35" s="293">
        <v>8.9370000000000005E-2</v>
      </c>
      <c r="AG35" s="293">
        <v>8.9115E-2</v>
      </c>
      <c r="AH35" s="293">
        <v>8.9362999999999998E-2</v>
      </c>
      <c r="AI35" s="293">
        <v>8.9108000000000007E-2</v>
      </c>
      <c r="AJ35" s="293">
        <v>8.9448E-2</v>
      </c>
      <c r="AK35" s="293" t="s">
        <v>41</v>
      </c>
    </row>
    <row r="36" spans="1:38" s="18" customFormat="1">
      <c r="A36" s="17" t="s">
        <v>165</v>
      </c>
      <c r="B36" s="350">
        <v>1.6338998451829002E-2</v>
      </c>
      <c r="C36" s="350">
        <v>3.2029997557401699E-2</v>
      </c>
      <c r="D36" s="350">
        <v>5.1199223846197101E-2</v>
      </c>
      <c r="E36" s="350">
        <v>6.0358572751283597E-2</v>
      </c>
      <c r="F36" s="351">
        <v>6.3932694494724301E-2</v>
      </c>
      <c r="G36" s="293">
        <v>6.3100000000000003E-2</v>
      </c>
      <c r="H36" s="293">
        <v>6.3100000000000003E-2</v>
      </c>
      <c r="I36" s="293">
        <v>8.1100000000000005E-2</v>
      </c>
      <c r="J36" s="293">
        <v>8.7099999999999997E-2</v>
      </c>
      <c r="K36" s="293">
        <v>7.9580999999999999E-2</v>
      </c>
      <c r="L36" s="293">
        <v>7.6044E-2</v>
      </c>
      <c r="M36" s="293">
        <v>7.5939000000000006E-2</v>
      </c>
      <c r="N36" s="293">
        <v>7.4647000000000005E-2</v>
      </c>
      <c r="O36" s="293">
        <v>7.6071E-2</v>
      </c>
      <c r="P36" s="293">
        <v>7.6998999999999998E-2</v>
      </c>
      <c r="Q36" s="293">
        <v>7.6729000000000006E-2</v>
      </c>
      <c r="R36" s="293">
        <v>7.7030000000000001E-2</v>
      </c>
      <c r="S36" s="293">
        <v>7.5851000000000002E-2</v>
      </c>
      <c r="T36" s="293">
        <v>7.7146000000000006E-2</v>
      </c>
      <c r="U36" s="293">
        <v>7.5544E-2</v>
      </c>
      <c r="V36" s="293">
        <v>7.5385999999999995E-2</v>
      </c>
      <c r="W36" s="293">
        <v>7.5385999999999995E-2</v>
      </c>
      <c r="X36" s="293">
        <v>7.5385999999999995E-2</v>
      </c>
      <c r="Y36" s="293">
        <v>7.5385999999999995E-2</v>
      </c>
      <c r="Z36" s="293">
        <v>7.5749999999999998E-2</v>
      </c>
      <c r="AA36" s="293">
        <v>7.7146000000000006E-2</v>
      </c>
      <c r="AB36" s="293">
        <v>7.7146000000000006E-2</v>
      </c>
      <c r="AC36" s="293">
        <v>7.7260999999999996E-2</v>
      </c>
      <c r="AD36" s="293">
        <v>7.7260999999999996E-2</v>
      </c>
      <c r="AE36" s="293">
        <v>7.7260999999999996E-2</v>
      </c>
      <c r="AF36" s="293">
        <v>7.7260999999999996E-2</v>
      </c>
      <c r="AG36" s="293">
        <v>7.7010999999999996E-2</v>
      </c>
      <c r="AH36" s="293">
        <v>7.7260999999999996E-2</v>
      </c>
      <c r="AI36" s="293">
        <v>7.7010999999999996E-2</v>
      </c>
      <c r="AJ36" s="293">
        <v>7.7376E-2</v>
      </c>
      <c r="AK36" s="294">
        <v>7.0000000000000001E-3</v>
      </c>
    </row>
    <row r="37" spans="1:38">
      <c r="A37" s="6" t="s">
        <v>164</v>
      </c>
      <c r="B37" s="348">
        <v>0</v>
      </c>
      <c r="C37" s="348">
        <v>0</v>
      </c>
      <c r="D37" s="348">
        <v>0</v>
      </c>
      <c r="E37" s="348">
        <v>0</v>
      </c>
      <c r="F37" s="349">
        <v>0</v>
      </c>
      <c r="G37" s="293">
        <v>-3.4629999999999999E-3</v>
      </c>
      <c r="H37" s="293">
        <v>-4.0679999999999996E-3</v>
      </c>
      <c r="I37" s="293">
        <v>5.0000000000000001E-3</v>
      </c>
      <c r="J37" s="293">
        <v>3.0990000000000002E-3</v>
      </c>
      <c r="K37" s="293">
        <v>1.0489999999999999E-2</v>
      </c>
      <c r="L37" s="293">
        <v>1.0786E-2</v>
      </c>
      <c r="M37" s="293">
        <v>1.0919E-2</v>
      </c>
      <c r="N37" s="293">
        <v>1.1103999999999999E-2</v>
      </c>
      <c r="O37" s="293">
        <v>1.1247E-2</v>
      </c>
      <c r="P37" s="293">
        <v>1.145E-2</v>
      </c>
      <c r="Q37" s="293">
        <v>1.1757999999999999E-2</v>
      </c>
      <c r="R37" s="293">
        <v>1.197E-2</v>
      </c>
      <c r="S37" s="293">
        <v>1.2174000000000001E-2</v>
      </c>
      <c r="T37" s="293">
        <v>1.2159E-2</v>
      </c>
      <c r="U37" s="293">
        <v>1.2178E-2</v>
      </c>
      <c r="V37" s="293">
        <v>1.2154999999999999E-2</v>
      </c>
      <c r="W37" s="293">
        <v>1.2139E-2</v>
      </c>
      <c r="X37" s="293">
        <v>1.2104E-2</v>
      </c>
      <c r="Y37" s="293">
        <v>1.2116E-2</v>
      </c>
      <c r="Z37" s="293">
        <v>1.2130999999999999E-2</v>
      </c>
      <c r="AA37" s="293">
        <v>1.2118E-2</v>
      </c>
      <c r="AB37" s="293">
        <v>1.21E-2</v>
      </c>
      <c r="AC37" s="293">
        <v>1.2109999999999999E-2</v>
      </c>
      <c r="AD37" s="293">
        <v>1.2141000000000001E-2</v>
      </c>
      <c r="AE37" s="293">
        <v>1.2137E-2</v>
      </c>
      <c r="AF37" s="293">
        <v>1.2109E-2</v>
      </c>
      <c r="AG37" s="293">
        <v>1.2102999999999999E-2</v>
      </c>
      <c r="AH37" s="293">
        <v>1.2102E-2</v>
      </c>
      <c r="AI37" s="293">
        <v>1.2096000000000001E-2</v>
      </c>
      <c r="AJ37" s="293">
        <v>1.2071999999999999E-2</v>
      </c>
      <c r="AK37" s="293" t="s">
        <v>41</v>
      </c>
    </row>
    <row r="38" spans="1:38">
      <c r="A38" s="6" t="s">
        <v>163</v>
      </c>
      <c r="B38" s="348">
        <v>0</v>
      </c>
      <c r="C38" s="348">
        <v>0</v>
      </c>
      <c r="D38" s="348">
        <v>0</v>
      </c>
      <c r="E38" s="348">
        <v>0</v>
      </c>
      <c r="F38" s="349">
        <v>0</v>
      </c>
      <c r="G38" s="293">
        <v>2.2160000000000002</v>
      </c>
      <c r="H38" s="293">
        <v>2.4</v>
      </c>
      <c r="I38" s="293">
        <v>2.4900000000000002</v>
      </c>
      <c r="J38" s="293">
        <v>2.5089999999999999</v>
      </c>
      <c r="K38" s="293">
        <v>2.5561180000000001</v>
      </c>
      <c r="L38" s="293">
        <v>2.6337290000000002</v>
      </c>
      <c r="M38" s="293">
        <v>2.6633930000000001</v>
      </c>
      <c r="N38" s="293">
        <v>2.6705079999999999</v>
      </c>
      <c r="O38" s="293">
        <v>2.669905</v>
      </c>
      <c r="P38" s="293">
        <v>2.6458759999999999</v>
      </c>
      <c r="Q38" s="293">
        <v>2.60798</v>
      </c>
      <c r="R38" s="293">
        <v>2.7045080000000001</v>
      </c>
      <c r="S38" s="293">
        <v>2.7930269999999999</v>
      </c>
      <c r="T38" s="293">
        <v>2.8390249999999999</v>
      </c>
      <c r="U38" s="293">
        <v>2.8728980000000002</v>
      </c>
      <c r="V38" s="293">
        <v>2.9033150000000001</v>
      </c>
      <c r="W38" s="293">
        <v>2.9228930000000002</v>
      </c>
      <c r="X38" s="293">
        <v>2.9406509999999999</v>
      </c>
      <c r="Y38" s="293">
        <v>2.9505080000000001</v>
      </c>
      <c r="Z38" s="293">
        <v>2.978853</v>
      </c>
      <c r="AA38" s="293">
        <v>3.0103460000000002</v>
      </c>
      <c r="AB38" s="293">
        <v>3.0288490000000001</v>
      </c>
      <c r="AC38" s="293">
        <v>3.0383969999999998</v>
      </c>
      <c r="AD38" s="293">
        <v>3.0546120000000001</v>
      </c>
      <c r="AE38" s="293">
        <v>3.0492400000000002</v>
      </c>
      <c r="AF38" s="293">
        <v>3.0289980000000001</v>
      </c>
      <c r="AG38" s="293">
        <v>3.058621</v>
      </c>
      <c r="AH38" s="293">
        <v>3.037477</v>
      </c>
      <c r="AI38" s="293">
        <v>3.013617</v>
      </c>
      <c r="AJ38" s="293">
        <v>2.983552</v>
      </c>
      <c r="AK38" s="294">
        <v>8.0000000000000002E-3</v>
      </c>
    </row>
    <row r="39" spans="1:38">
      <c r="A39" s="6" t="s">
        <v>162</v>
      </c>
      <c r="B39" s="348">
        <v>0</v>
      </c>
      <c r="C39" s="348">
        <v>0</v>
      </c>
      <c r="D39" s="348">
        <v>0</v>
      </c>
      <c r="E39" s="348">
        <v>0</v>
      </c>
      <c r="F39" s="349">
        <v>0</v>
      </c>
      <c r="G39" s="293">
        <v>0</v>
      </c>
      <c r="H39" s="293">
        <v>0</v>
      </c>
      <c r="I39" s="293">
        <v>0</v>
      </c>
      <c r="J39" s="293">
        <v>0</v>
      </c>
      <c r="K39" s="293">
        <v>0</v>
      </c>
      <c r="L39" s="293">
        <v>0</v>
      </c>
      <c r="M39" s="293">
        <v>0</v>
      </c>
      <c r="N39" s="293">
        <v>0</v>
      </c>
      <c r="O39" s="293">
        <v>0</v>
      </c>
      <c r="P39" s="293">
        <v>0</v>
      </c>
      <c r="Q39" s="293">
        <v>0</v>
      </c>
      <c r="R39" s="293">
        <v>0</v>
      </c>
      <c r="S39" s="293">
        <v>0</v>
      </c>
      <c r="T39" s="293">
        <v>0</v>
      </c>
      <c r="U39" s="293">
        <v>0</v>
      </c>
      <c r="V39" s="293">
        <v>0</v>
      </c>
      <c r="W39" s="293">
        <v>0</v>
      </c>
      <c r="X39" s="293">
        <v>0</v>
      </c>
      <c r="Y39" s="293">
        <v>0</v>
      </c>
      <c r="Z39" s="293">
        <v>0</v>
      </c>
      <c r="AA39" s="293">
        <v>0</v>
      </c>
      <c r="AB39" s="293">
        <v>0</v>
      </c>
      <c r="AC39" s="293">
        <v>0</v>
      </c>
      <c r="AD39" s="293">
        <v>0</v>
      </c>
      <c r="AE39" s="293">
        <v>0</v>
      </c>
      <c r="AF39" s="293">
        <v>0</v>
      </c>
      <c r="AG39" s="293">
        <v>0</v>
      </c>
      <c r="AH39" s="293">
        <v>0</v>
      </c>
      <c r="AI39" s="293">
        <v>0</v>
      </c>
      <c r="AJ39" s="293">
        <v>0</v>
      </c>
      <c r="AK39" s="293" t="s">
        <v>41</v>
      </c>
    </row>
    <row r="40" spans="1:38" s="270" customFormat="1">
      <c r="A40" s="269" t="s">
        <v>161</v>
      </c>
      <c r="B40" s="350">
        <v>0</v>
      </c>
      <c r="C40" s="350">
        <v>0</v>
      </c>
      <c r="D40" s="350">
        <v>0</v>
      </c>
      <c r="E40" s="350">
        <v>0</v>
      </c>
      <c r="F40" s="351">
        <v>0</v>
      </c>
      <c r="G40" s="301">
        <v>0</v>
      </c>
      <c r="H40" s="301">
        <v>3.4809526987373799E-3</v>
      </c>
      <c r="I40" s="301">
        <v>5.2319555543363103E-3</v>
      </c>
      <c r="J40" s="301">
        <v>7.8436248004436493E-3</v>
      </c>
      <c r="K40" s="301">
        <v>1.17142805829644E-2</v>
      </c>
      <c r="L40" s="301">
        <v>1.7396988347172699E-2</v>
      </c>
      <c r="M40" s="301">
        <v>2.5625614449381801E-2</v>
      </c>
      <c r="N40" s="301">
        <v>3.7305567413568497E-2</v>
      </c>
      <c r="O40" s="301">
        <v>5.34236840903759E-2</v>
      </c>
      <c r="P40" s="301">
        <v>7.4822284281253801E-2</v>
      </c>
      <c r="Q40" s="301">
        <v>0.10181753337383299</v>
      </c>
      <c r="R40" s="301">
        <v>0.133762747049332</v>
      </c>
      <c r="S40" s="301">
        <v>0.16882437467575101</v>
      </c>
      <c r="T40" s="301">
        <v>0.204265296459198</v>
      </c>
      <c r="U40" s="301">
        <v>0.237230360507965</v>
      </c>
      <c r="V40" s="301">
        <v>0.26560345292091397</v>
      </c>
      <c r="W40" s="301">
        <v>0.28843852877616899</v>
      </c>
      <c r="X40" s="301">
        <v>0.30584391951561002</v>
      </c>
      <c r="Y40" s="301">
        <v>0.31856861710548401</v>
      </c>
      <c r="Z40" s="301">
        <v>0.32759037613868702</v>
      </c>
      <c r="AA40" s="301"/>
      <c r="AB40" s="301"/>
      <c r="AC40" s="301"/>
      <c r="AD40" s="301"/>
      <c r="AE40" s="301"/>
      <c r="AF40" s="301"/>
      <c r="AG40" s="301"/>
      <c r="AH40" s="301"/>
      <c r="AI40" s="301"/>
      <c r="AJ40" s="301"/>
      <c r="AK40" s="302" t="s">
        <v>41</v>
      </c>
    </row>
    <row r="41" spans="1:38">
      <c r="A41" s="6" t="s">
        <v>691</v>
      </c>
      <c r="B41" s="348">
        <v>7.3012053966522203E-2</v>
      </c>
      <c r="C41" s="348">
        <v>0.28600034117698703</v>
      </c>
      <c r="D41" s="348">
        <v>0.24600045382976499</v>
      </c>
      <c r="E41" s="348">
        <v>0.16400466859340701</v>
      </c>
      <c r="F41" s="349">
        <v>0.31155380606651301</v>
      </c>
      <c r="G41" s="293">
        <v>0.182</v>
      </c>
      <c r="H41" s="293">
        <v>0.191</v>
      </c>
      <c r="I41" s="293">
        <v>0.193</v>
      </c>
      <c r="J41" s="293">
        <v>0.193</v>
      </c>
      <c r="K41" s="293">
        <v>0.28578500000000001</v>
      </c>
      <c r="L41" s="293">
        <v>0.28816599999999998</v>
      </c>
      <c r="M41" s="293">
        <v>0.290412</v>
      </c>
      <c r="N41" s="293">
        <v>0.29299799999999998</v>
      </c>
      <c r="O41" s="293">
        <v>0.293852</v>
      </c>
      <c r="P41" s="293">
        <v>0.29503000000000001</v>
      </c>
      <c r="Q41" s="293">
        <v>0.298292</v>
      </c>
      <c r="R41" s="293">
        <v>0.29944399999999999</v>
      </c>
      <c r="S41" s="293">
        <v>0.29972700000000002</v>
      </c>
      <c r="T41" s="293">
        <v>0.301095</v>
      </c>
      <c r="U41" s="293">
        <v>0.30102299999999999</v>
      </c>
      <c r="V41" s="293">
        <v>0.30064000000000002</v>
      </c>
      <c r="W41" s="293">
        <v>0.30251600000000001</v>
      </c>
      <c r="X41" s="293">
        <v>0.30219699999999999</v>
      </c>
      <c r="Y41" s="293">
        <v>0.30013899999999999</v>
      </c>
      <c r="Z41" s="293">
        <v>0.30297200000000002</v>
      </c>
      <c r="AA41" s="293">
        <v>0.30451</v>
      </c>
      <c r="AB41" s="293">
        <v>0.306419</v>
      </c>
      <c r="AC41" s="293">
        <v>0.30664000000000002</v>
      </c>
      <c r="AD41" s="293">
        <v>0.30698399999999998</v>
      </c>
      <c r="AE41" s="293">
        <v>0.308342</v>
      </c>
      <c r="AF41" s="293">
        <v>0.30915900000000002</v>
      </c>
      <c r="AG41" s="293">
        <v>0.30972699999999997</v>
      </c>
      <c r="AH41" s="293">
        <v>0.31073899999999999</v>
      </c>
      <c r="AI41" s="293">
        <v>0.31163999999999997</v>
      </c>
      <c r="AJ41" s="293">
        <v>0.31290899999999999</v>
      </c>
      <c r="AK41" s="294">
        <v>1.7999999999999999E-2</v>
      </c>
    </row>
    <row r="42" spans="1:3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row>
    <row r="43" spans="1:38" s="18" customFormat="1">
      <c r="A43" s="17" t="s">
        <v>692</v>
      </c>
      <c r="B43" s="350">
        <v>20.697353363037099</v>
      </c>
      <c r="C43" s="350">
        <v>20.768030166626001</v>
      </c>
      <c r="D43" s="350">
        <v>19.647199630737301</v>
      </c>
      <c r="E43" s="350">
        <v>19.421310424804702</v>
      </c>
      <c r="F43" s="351">
        <v>19.587932586669901</v>
      </c>
      <c r="G43" s="248">
        <v>18.938583000000001</v>
      </c>
      <c r="H43" s="248">
        <v>18.592289000000001</v>
      </c>
      <c r="I43" s="248">
        <v>18.985319</v>
      </c>
      <c r="J43" s="248">
        <v>18.815241</v>
      </c>
      <c r="K43" s="248">
        <v>19.157446</v>
      </c>
      <c r="L43" s="248">
        <v>19.35895</v>
      </c>
      <c r="M43" s="248">
        <v>19.477530000000002</v>
      </c>
      <c r="N43" s="248">
        <v>19.527609000000002</v>
      </c>
      <c r="O43" s="248">
        <v>19.535461000000002</v>
      </c>
      <c r="P43" s="248">
        <v>19.520367</v>
      </c>
      <c r="Q43" s="248">
        <v>19.477088999999999</v>
      </c>
      <c r="R43" s="248">
        <v>19.437809000000001</v>
      </c>
      <c r="S43" s="248">
        <v>19.388767000000001</v>
      </c>
      <c r="T43" s="248">
        <v>19.330017000000002</v>
      </c>
      <c r="U43" s="248">
        <v>19.262318</v>
      </c>
      <c r="V43" s="248">
        <v>19.178843000000001</v>
      </c>
      <c r="W43" s="248">
        <v>19.119274000000001</v>
      </c>
      <c r="X43" s="248">
        <v>19.059887</v>
      </c>
      <c r="Y43" s="248">
        <v>18.980637000000002</v>
      </c>
      <c r="Z43" s="248">
        <v>18.926172000000001</v>
      </c>
      <c r="AA43" s="248">
        <v>18.880776999999998</v>
      </c>
      <c r="AB43" s="248">
        <v>18.838093000000001</v>
      </c>
      <c r="AC43" s="248">
        <v>18.795445999999998</v>
      </c>
      <c r="AD43" s="248">
        <v>18.768318000000001</v>
      </c>
      <c r="AE43" s="248">
        <v>18.751888000000001</v>
      </c>
      <c r="AF43" s="248">
        <v>18.731911</v>
      </c>
      <c r="AG43" s="248">
        <v>18.743359000000002</v>
      </c>
      <c r="AH43" s="248">
        <v>18.755479999999999</v>
      </c>
      <c r="AI43" s="248">
        <v>18.748524</v>
      </c>
      <c r="AJ43" s="248">
        <v>18.724962000000001</v>
      </c>
      <c r="AK43" s="249">
        <v>0</v>
      </c>
    </row>
    <row r="44" spans="1:38" s="259" customFormat="1">
      <c r="A44" s="258" t="s">
        <v>196</v>
      </c>
      <c r="B44" s="352">
        <f t="shared" ref="B44:H44" si="0">B43*365</f>
        <v>7554.5339775085413</v>
      </c>
      <c r="C44" s="352">
        <f t="shared" si="0"/>
        <v>7580.3310108184905</v>
      </c>
      <c r="D44" s="352">
        <f t="shared" si="0"/>
        <v>7171.2278652191153</v>
      </c>
      <c r="E44" s="352">
        <f t="shared" si="0"/>
        <v>7088.7783050537164</v>
      </c>
      <c r="F44" s="353">
        <f t="shared" si="0"/>
        <v>7149.5953941345133</v>
      </c>
      <c r="G44" s="303">
        <f t="shared" si="0"/>
        <v>6912.5827950000003</v>
      </c>
      <c r="H44" s="303">
        <f t="shared" si="0"/>
        <v>6786.185485</v>
      </c>
      <c r="I44" s="303">
        <f t="shared" ref="I44:AJ44" si="1">I43*365</f>
        <v>6929.6414350000005</v>
      </c>
      <c r="J44" s="303">
        <f t="shared" si="1"/>
        <v>6867.5629650000001</v>
      </c>
      <c r="K44" s="303">
        <f t="shared" si="1"/>
        <v>6992.4677899999997</v>
      </c>
      <c r="L44" s="303">
        <f t="shared" si="1"/>
        <v>7066.0167499999998</v>
      </c>
      <c r="M44" s="303">
        <f t="shared" si="1"/>
        <v>7109.2984500000002</v>
      </c>
      <c r="N44" s="303">
        <f t="shared" si="1"/>
        <v>7127.5772850000003</v>
      </c>
      <c r="O44" s="303">
        <f t="shared" si="1"/>
        <v>7130.4432650000008</v>
      </c>
      <c r="P44" s="303">
        <f t="shared" si="1"/>
        <v>7124.9339550000004</v>
      </c>
      <c r="Q44" s="303">
        <f t="shared" si="1"/>
        <v>7109.1374850000002</v>
      </c>
      <c r="R44" s="303">
        <f t="shared" si="1"/>
        <v>7094.8002850000003</v>
      </c>
      <c r="S44" s="303">
        <f t="shared" si="1"/>
        <v>7076.8999550000008</v>
      </c>
      <c r="T44" s="303">
        <f t="shared" si="1"/>
        <v>7055.4562050000004</v>
      </c>
      <c r="U44" s="303">
        <f t="shared" si="1"/>
        <v>7030.7460700000001</v>
      </c>
      <c r="V44" s="303">
        <f t="shared" si="1"/>
        <v>7000.2776949999998</v>
      </c>
      <c r="W44" s="303">
        <f t="shared" si="1"/>
        <v>6978.5350100000005</v>
      </c>
      <c r="X44" s="303">
        <f t="shared" si="1"/>
        <v>6956.8587550000002</v>
      </c>
      <c r="Y44" s="303">
        <f t="shared" si="1"/>
        <v>6927.9325050000007</v>
      </c>
      <c r="Z44" s="303">
        <f t="shared" si="1"/>
        <v>6908.05278</v>
      </c>
      <c r="AA44" s="303">
        <f t="shared" si="1"/>
        <v>6891.4836049999994</v>
      </c>
      <c r="AB44" s="303">
        <f t="shared" si="1"/>
        <v>6875.903945</v>
      </c>
      <c r="AC44" s="303">
        <f t="shared" si="1"/>
        <v>6860.3377899999996</v>
      </c>
      <c r="AD44" s="303">
        <f t="shared" si="1"/>
        <v>6850.4360700000007</v>
      </c>
      <c r="AE44" s="303">
        <f t="shared" si="1"/>
        <v>6844.43912</v>
      </c>
      <c r="AF44" s="303">
        <f t="shared" si="1"/>
        <v>6837.1475149999997</v>
      </c>
      <c r="AG44" s="303">
        <f t="shared" si="1"/>
        <v>6841.326035000001</v>
      </c>
      <c r="AH44" s="303">
        <f t="shared" si="1"/>
        <v>6845.7501999999995</v>
      </c>
      <c r="AI44" s="303">
        <f t="shared" si="1"/>
        <v>6843.21126</v>
      </c>
      <c r="AJ44" s="303">
        <f t="shared" si="1"/>
        <v>6834.6111300000002</v>
      </c>
      <c r="AK44" s="304"/>
    </row>
    <row r="45" spans="1:38" s="263" customFormat="1">
      <c r="A45" s="262" t="s">
        <v>187</v>
      </c>
      <c r="B45" s="354">
        <f>SUM(B33,B36,B40)</f>
        <v>0.28962799347937102</v>
      </c>
      <c r="C45" s="354">
        <f t="shared" ref="C45:AJ45" si="2">SUM(C33,C36,C40)</f>
        <v>0.43539400026202169</v>
      </c>
      <c r="D45" s="354">
        <f t="shared" si="2"/>
        <v>0.63372322544455517</v>
      </c>
      <c r="E45" s="354">
        <f t="shared" si="2"/>
        <v>0.75007860735058762</v>
      </c>
      <c r="F45" s="355">
        <f t="shared" si="2"/>
        <v>0.9057262316346173</v>
      </c>
      <c r="G45" s="305">
        <f t="shared" si="2"/>
        <v>0.94907600000000003</v>
      </c>
      <c r="H45" s="305">
        <f t="shared" si="2"/>
        <v>0.91023695269873739</v>
      </c>
      <c r="I45" s="305">
        <f t="shared" si="2"/>
        <v>0.92228495555433621</v>
      </c>
      <c r="J45" s="305">
        <f t="shared" si="2"/>
        <v>0.96492762480044358</v>
      </c>
      <c r="K45" s="305">
        <f t="shared" si="2"/>
        <v>0.91143528058296441</v>
      </c>
      <c r="L45" s="305">
        <f t="shared" si="2"/>
        <v>0.91577698834717269</v>
      </c>
      <c r="M45" s="305">
        <f t="shared" si="2"/>
        <v>0.93473461444938177</v>
      </c>
      <c r="N45" s="305">
        <f t="shared" si="2"/>
        <v>0.94681856741356851</v>
      </c>
      <c r="O45" s="305">
        <f t="shared" si="2"/>
        <v>0.96443668409037586</v>
      </c>
      <c r="P45" s="305">
        <f t="shared" si="2"/>
        <v>0.99222728428125384</v>
      </c>
      <c r="Q45" s="305">
        <f t="shared" si="2"/>
        <v>1.0172315333738331</v>
      </c>
      <c r="R45" s="305">
        <f t="shared" si="2"/>
        <v>1.0595427470493322</v>
      </c>
      <c r="S45" s="305">
        <f t="shared" si="2"/>
        <v>1.0990673746757511</v>
      </c>
      <c r="T45" s="305">
        <f t="shared" si="2"/>
        <v>1.1357882964591981</v>
      </c>
      <c r="U45" s="305">
        <f t="shared" si="2"/>
        <v>1.1671623605079651</v>
      </c>
      <c r="V45" s="305">
        <f t="shared" si="2"/>
        <v>1.1953814529209139</v>
      </c>
      <c r="W45" s="305">
        <f t="shared" si="2"/>
        <v>1.2190545287761689</v>
      </c>
      <c r="X45" s="305">
        <f t="shared" si="2"/>
        <v>1.2370769195156099</v>
      </c>
      <c r="Y45" s="305">
        <f t="shared" si="2"/>
        <v>1.2497896171054839</v>
      </c>
      <c r="Z45" s="305">
        <f t="shared" si="2"/>
        <v>1.2591873761386871</v>
      </c>
      <c r="AA45" s="305">
        <f t="shared" si="2"/>
        <v>0.93299300000000007</v>
      </c>
      <c r="AB45" s="305">
        <f t="shared" si="2"/>
        <v>0.93298100000000006</v>
      </c>
      <c r="AC45" s="305">
        <f t="shared" si="2"/>
        <v>0.93309600000000004</v>
      </c>
      <c r="AD45" s="305">
        <f t="shared" si="2"/>
        <v>0.93309600000000004</v>
      </c>
      <c r="AE45" s="305">
        <f t="shared" si="2"/>
        <v>0.93084500000000003</v>
      </c>
      <c r="AF45" s="305">
        <f t="shared" si="2"/>
        <v>0.92709399999999997</v>
      </c>
      <c r="AG45" s="305">
        <f t="shared" si="2"/>
        <v>0.92458599999999991</v>
      </c>
      <c r="AH45" s="305">
        <f t="shared" si="2"/>
        <v>0.92581500000000005</v>
      </c>
      <c r="AI45" s="305">
        <f t="shared" si="2"/>
        <v>0.93603499999999995</v>
      </c>
      <c r="AJ45" s="305">
        <f t="shared" si="2"/>
        <v>0.94016100000000002</v>
      </c>
      <c r="AK45" s="306"/>
    </row>
    <row r="46" spans="1:38" s="259" customFormat="1">
      <c r="A46" s="264" t="s">
        <v>193</v>
      </c>
      <c r="B46" s="350">
        <f>B45*365</f>
        <v>105.71421761997043</v>
      </c>
      <c r="C46" s="350">
        <f t="shared" ref="C46:AJ46" si="3">C45*365</f>
        <v>158.91881009563792</v>
      </c>
      <c r="D46" s="350">
        <f t="shared" si="3"/>
        <v>231.30897728726265</v>
      </c>
      <c r="E46" s="350">
        <f t="shared" si="3"/>
        <v>273.77869168296451</v>
      </c>
      <c r="F46" s="351">
        <f t="shared" si="3"/>
        <v>330.59007454663532</v>
      </c>
      <c r="G46" s="307">
        <f t="shared" si="3"/>
        <v>346.41273999999999</v>
      </c>
      <c r="H46" s="307">
        <f t="shared" si="3"/>
        <v>332.23648773503913</v>
      </c>
      <c r="I46" s="307">
        <f t="shared" si="3"/>
        <v>336.63400877733272</v>
      </c>
      <c r="J46" s="307">
        <f t="shared" si="3"/>
        <v>352.19858305216189</v>
      </c>
      <c r="K46" s="307">
        <f t="shared" si="3"/>
        <v>332.67387741278202</v>
      </c>
      <c r="L46" s="307">
        <f t="shared" si="3"/>
        <v>334.25860074671806</v>
      </c>
      <c r="M46" s="307">
        <f t="shared" si="3"/>
        <v>341.17813427402433</v>
      </c>
      <c r="N46" s="307">
        <f t="shared" si="3"/>
        <v>345.58877710595249</v>
      </c>
      <c r="O46" s="307">
        <f t="shared" si="3"/>
        <v>352.0193896929872</v>
      </c>
      <c r="P46" s="307">
        <f t="shared" si="3"/>
        <v>362.16295876265764</v>
      </c>
      <c r="Q46" s="307">
        <f t="shared" si="3"/>
        <v>371.28950968144909</v>
      </c>
      <c r="R46" s="307">
        <f t="shared" si="3"/>
        <v>386.73310267300621</v>
      </c>
      <c r="S46" s="307">
        <f t="shared" si="3"/>
        <v>401.15959175664915</v>
      </c>
      <c r="T46" s="307">
        <f t="shared" si="3"/>
        <v>414.56272820760728</v>
      </c>
      <c r="U46" s="307">
        <f t="shared" si="3"/>
        <v>426.01426158540727</v>
      </c>
      <c r="V46" s="307">
        <f t="shared" si="3"/>
        <v>436.3142303161336</v>
      </c>
      <c r="W46" s="307">
        <f t="shared" si="3"/>
        <v>444.95490300330164</v>
      </c>
      <c r="X46" s="307">
        <f t="shared" si="3"/>
        <v>451.53307562319765</v>
      </c>
      <c r="Y46" s="307">
        <f t="shared" si="3"/>
        <v>456.17321024350161</v>
      </c>
      <c r="Z46" s="307">
        <f t="shared" si="3"/>
        <v>459.60339229062083</v>
      </c>
      <c r="AA46" s="307">
        <f t="shared" si="3"/>
        <v>340.54244500000004</v>
      </c>
      <c r="AB46" s="307">
        <f t="shared" si="3"/>
        <v>340.53806500000002</v>
      </c>
      <c r="AC46" s="307">
        <f t="shared" si="3"/>
        <v>340.58004</v>
      </c>
      <c r="AD46" s="307">
        <f t="shared" si="3"/>
        <v>340.58004</v>
      </c>
      <c r="AE46" s="307">
        <f t="shared" si="3"/>
        <v>339.75842499999999</v>
      </c>
      <c r="AF46" s="307">
        <f t="shared" si="3"/>
        <v>338.38930999999997</v>
      </c>
      <c r="AG46" s="307">
        <f t="shared" si="3"/>
        <v>337.47388999999998</v>
      </c>
      <c r="AH46" s="307">
        <f t="shared" si="3"/>
        <v>337.92247500000002</v>
      </c>
      <c r="AI46" s="307">
        <f t="shared" si="3"/>
        <v>341.65277499999996</v>
      </c>
      <c r="AJ46" s="307">
        <f t="shared" si="3"/>
        <v>343.15876500000002</v>
      </c>
      <c r="AK46" s="304"/>
    </row>
    <row r="47" spans="1:38" s="259" customFormat="1">
      <c r="A47" s="264" t="s">
        <v>192</v>
      </c>
      <c r="B47" s="350"/>
      <c r="C47" s="356">
        <f>C46/B46-1</f>
        <v>0.50328700976562524</v>
      </c>
      <c r="D47" s="356">
        <f t="shared" ref="D47:Z47" si="4">D46/C46-1</f>
        <v>0.45551667010381003</v>
      </c>
      <c r="E47" s="356">
        <f t="shared" si="4"/>
        <v>0.1836059927019551</v>
      </c>
      <c r="F47" s="357">
        <f t="shared" si="4"/>
        <v>0.20750841679621423</v>
      </c>
      <c r="G47" s="308"/>
      <c r="H47" s="308">
        <f t="shared" si="4"/>
        <v>-4.0923010698050155E-2</v>
      </c>
      <c r="I47" s="308">
        <f t="shared" si="4"/>
        <v>1.32361170570785E-2</v>
      </c>
      <c r="J47" s="308">
        <f t="shared" si="4"/>
        <v>4.6235893786727766E-2</v>
      </c>
      <c r="K47" s="308">
        <f t="shared" si="4"/>
        <v>-5.5436638813757488E-2</v>
      </c>
      <c r="L47" s="308">
        <f t="shared" si="4"/>
        <v>4.7635941428900708E-3</v>
      </c>
      <c r="M47" s="308">
        <f t="shared" si="4"/>
        <v>2.0701138315807999E-2</v>
      </c>
      <c r="N47" s="308">
        <f t="shared" si="4"/>
        <v>1.2927683191988004E-2</v>
      </c>
      <c r="O47" s="308">
        <f t="shared" si="4"/>
        <v>1.8607700866001275E-2</v>
      </c>
      <c r="P47" s="308">
        <f t="shared" si="4"/>
        <v>2.8815370308201249E-2</v>
      </c>
      <c r="Q47" s="308">
        <f t="shared" si="4"/>
        <v>2.5200122480699472E-2</v>
      </c>
      <c r="R47" s="308">
        <f t="shared" si="4"/>
        <v>4.1594477055942436E-2</v>
      </c>
      <c r="S47" s="308">
        <f t="shared" si="4"/>
        <v>3.730347618016272E-2</v>
      </c>
      <c r="T47" s="308">
        <f t="shared" si="4"/>
        <v>3.3410983375137038E-2</v>
      </c>
      <c r="U47" s="308">
        <f t="shared" si="4"/>
        <v>2.762316194538661E-2</v>
      </c>
      <c r="V47" s="308">
        <f t="shared" si="4"/>
        <v>2.4177520941188968E-2</v>
      </c>
      <c r="W47" s="308">
        <f t="shared" si="4"/>
        <v>1.9803783802575969E-2</v>
      </c>
      <c r="X47" s="308">
        <f t="shared" si="4"/>
        <v>1.4783908606232909E-2</v>
      </c>
      <c r="Y47" s="308">
        <f t="shared" si="4"/>
        <v>1.0276400270123665E-2</v>
      </c>
      <c r="Z47" s="308">
        <f t="shared" si="4"/>
        <v>7.5194728013252554E-3</v>
      </c>
      <c r="AA47" s="308">
        <f t="shared" ref="AA47:AJ47" si="5">AA46/Z46-1</f>
        <v>-0.25905149806930716</v>
      </c>
      <c r="AB47" s="308">
        <f t="shared" si="5"/>
        <v>-1.2861832832666842E-5</v>
      </c>
      <c r="AC47" s="308">
        <f t="shared" si="5"/>
        <v>1.2326081667257682E-4</v>
      </c>
      <c r="AD47" s="308">
        <f t="shared" si="5"/>
        <v>0</v>
      </c>
      <c r="AE47" s="308">
        <f t="shared" si="5"/>
        <v>-2.412399152927458E-3</v>
      </c>
      <c r="AF47" s="308">
        <f t="shared" si="5"/>
        <v>-4.0296719647202606E-3</v>
      </c>
      <c r="AG47" s="308">
        <f t="shared" si="5"/>
        <v>-2.7052273016543449E-3</v>
      </c>
      <c r="AH47" s="308">
        <f t="shared" si="5"/>
        <v>1.3292435749623355E-3</v>
      </c>
      <c r="AI47" s="308">
        <f t="shared" si="5"/>
        <v>1.1038922462910827E-2</v>
      </c>
      <c r="AJ47" s="308">
        <f t="shared" si="5"/>
        <v>4.4079548307489613E-3</v>
      </c>
      <c r="AK47" s="304"/>
    </row>
    <row r="48" spans="1:38" s="265" customFormat="1">
      <c r="A48" s="262" t="s">
        <v>195</v>
      </c>
      <c r="B48" s="358">
        <f>SUM(B33,B36,B40)/B43</f>
        <v>1.3993479668594277E-2</v>
      </c>
      <c r="C48" s="358">
        <f t="shared" ref="C48:AJ48" si="6">SUM(C33,C36,C40)/C43</f>
        <v>2.0964626725248844E-2</v>
      </c>
      <c r="D48" s="358">
        <f t="shared" si="6"/>
        <v>3.2255142582921545E-2</v>
      </c>
      <c r="E48" s="358">
        <f t="shared" si="6"/>
        <v>3.8621421054708789E-2</v>
      </c>
      <c r="F48" s="359">
        <f t="shared" si="6"/>
        <v>4.6238990645239793E-2</v>
      </c>
      <c r="G48" s="309">
        <f t="shared" si="6"/>
        <v>5.0113358533740354E-2</v>
      </c>
      <c r="H48" s="309">
        <f t="shared" si="6"/>
        <v>4.8957766991398283E-2</v>
      </c>
      <c r="I48" s="309">
        <f t="shared" si="6"/>
        <v>4.8578849560248959E-2</v>
      </c>
      <c r="J48" s="309">
        <f t="shared" si="6"/>
        <v>5.1284361693822764E-2</v>
      </c>
      <c r="K48" s="309">
        <f t="shared" si="6"/>
        <v>4.7576032869045506E-2</v>
      </c>
      <c r="L48" s="309">
        <f t="shared" si="6"/>
        <v>4.7305096007127075E-2</v>
      </c>
      <c r="M48" s="309">
        <f t="shared" si="6"/>
        <v>4.7990408149769591E-2</v>
      </c>
      <c r="N48" s="309">
        <f t="shared" si="6"/>
        <v>4.8486149400757073E-2</v>
      </c>
      <c r="O48" s="309">
        <f t="shared" si="6"/>
        <v>4.9368514215783074E-2</v>
      </c>
      <c r="P48" s="309">
        <f t="shared" si="6"/>
        <v>5.0830360119830421E-2</v>
      </c>
      <c r="Q48" s="309">
        <f t="shared" si="6"/>
        <v>5.2227082464624625E-2</v>
      </c>
      <c r="R48" s="310">
        <f t="shared" si="6"/>
        <v>5.4509371249060634E-2</v>
      </c>
      <c r="S48" s="309">
        <f t="shared" si="6"/>
        <v>5.6685779692733994E-2</v>
      </c>
      <c r="T48" s="309">
        <f t="shared" si="6"/>
        <v>5.8757749486676503E-2</v>
      </c>
      <c r="U48" s="309">
        <f t="shared" si="6"/>
        <v>6.059303768673973E-2</v>
      </c>
      <c r="V48" s="309">
        <f t="shared" si="6"/>
        <v>6.2328131729370427E-2</v>
      </c>
      <c r="W48" s="309">
        <f t="shared" si="6"/>
        <v>6.3760503080617439E-2</v>
      </c>
      <c r="X48" s="309">
        <f t="shared" si="6"/>
        <v>6.4904735244002754E-2</v>
      </c>
      <c r="Y48" s="309">
        <f t="shared" si="6"/>
        <v>6.5845504400378327E-2</v>
      </c>
      <c r="Z48" s="310">
        <f t="shared" si="6"/>
        <v>6.6531540352623181E-2</v>
      </c>
      <c r="AA48" s="310">
        <f t="shared" si="6"/>
        <v>4.9414968462367842E-2</v>
      </c>
      <c r="AB48" s="310">
        <f t="shared" si="6"/>
        <v>4.9526297592861444E-2</v>
      </c>
      <c r="AC48" s="310">
        <f t="shared" si="6"/>
        <v>4.9644791616011673E-2</v>
      </c>
      <c r="AD48" s="310">
        <f t="shared" si="6"/>
        <v>4.9716548920366761E-2</v>
      </c>
      <c r="AE48" s="310">
        <f t="shared" si="6"/>
        <v>4.9640068242728409E-2</v>
      </c>
      <c r="AF48" s="310">
        <f t="shared" si="6"/>
        <v>4.9492761309831122E-2</v>
      </c>
      <c r="AG48" s="310">
        <f t="shared" si="6"/>
        <v>4.932872490998011E-2</v>
      </c>
      <c r="AH48" s="310">
        <f t="shared" si="6"/>
        <v>4.9362373023777592E-2</v>
      </c>
      <c r="AI48" s="310">
        <f t="shared" si="6"/>
        <v>4.9925796825392763E-2</v>
      </c>
      <c r="AJ48" s="310">
        <f t="shared" si="6"/>
        <v>5.0208967046234856E-2</v>
      </c>
      <c r="AK48" s="311"/>
    </row>
    <row r="49" spans="1:37" s="265" customFormat="1">
      <c r="A49" s="265" t="s">
        <v>186</v>
      </c>
      <c r="B49" s="360">
        <f>B33*365 * 42/1000</f>
        <v>4.1895202937722189</v>
      </c>
      <c r="C49" s="360">
        <f t="shared" ref="C49:AJ49" si="7">C33*365 * 42/1000</f>
        <v>6.1835701614618239</v>
      </c>
      <c r="D49" s="360">
        <f t="shared" si="7"/>
        <v>8.9300929445028281</v>
      </c>
      <c r="E49" s="360">
        <f t="shared" si="7"/>
        <v>10.57340813040733</v>
      </c>
      <c r="F49" s="361">
        <f t="shared" si="7"/>
        <v>12.90469492435456</v>
      </c>
      <c r="G49" s="312">
        <f t="shared" si="7"/>
        <v>13.58201208</v>
      </c>
      <c r="H49" s="312">
        <f t="shared" si="7"/>
        <v>12.933246479999999</v>
      </c>
      <c r="I49" s="312">
        <f t="shared" si="7"/>
        <v>12.815159489999999</v>
      </c>
      <c r="J49" s="312">
        <f t="shared" si="7"/>
        <v>13.33685472</v>
      </c>
      <c r="K49" s="312">
        <f t="shared" si="7"/>
        <v>12.572746199999999</v>
      </c>
      <c r="L49" s="312">
        <f t="shared" si="7"/>
        <v>12.606410879999997</v>
      </c>
      <c r="M49" s="312">
        <f t="shared" si="7"/>
        <v>12.7724961</v>
      </c>
      <c r="N49" s="312">
        <f t="shared" si="7"/>
        <v>12.79849578</v>
      </c>
      <c r="O49" s="312">
        <f t="shared" si="7"/>
        <v>12.799660859999999</v>
      </c>
      <c r="P49" s="312">
        <f t="shared" si="7"/>
        <v>12.883423980000002</v>
      </c>
      <c r="Q49" s="312">
        <f t="shared" si="7"/>
        <v>12.857041049999999</v>
      </c>
      <c r="R49" s="312">
        <f t="shared" si="7"/>
        <v>13.0113375</v>
      </c>
      <c r="S49" s="312">
        <f t="shared" si="7"/>
        <v>13.097829360000002</v>
      </c>
      <c r="T49" s="312">
        <f t="shared" si="7"/>
        <v>13.097599410000003</v>
      </c>
      <c r="U49" s="312">
        <f t="shared" si="7"/>
        <v>13.09776804</v>
      </c>
      <c r="V49" s="312">
        <f t="shared" si="7"/>
        <v>13.097829360000002</v>
      </c>
      <c r="W49" s="312">
        <f t="shared" si="7"/>
        <v>13.1106759</v>
      </c>
      <c r="X49" s="312">
        <f t="shared" si="7"/>
        <v>13.120134510000002</v>
      </c>
      <c r="Y49" s="312">
        <f t="shared" si="7"/>
        <v>13.11995055</v>
      </c>
      <c r="Z49" s="312">
        <f t="shared" si="7"/>
        <v>13.120134510000002</v>
      </c>
      <c r="AA49" s="312">
        <f t="shared" si="7"/>
        <v>13.120134510000002</v>
      </c>
      <c r="AB49" s="312">
        <f t="shared" si="7"/>
        <v>13.11995055</v>
      </c>
      <c r="AC49" s="312">
        <f t="shared" si="7"/>
        <v>13.11995055</v>
      </c>
      <c r="AD49" s="312">
        <f t="shared" si="7"/>
        <v>13.11995055</v>
      </c>
      <c r="AE49" s="312">
        <f t="shared" si="7"/>
        <v>13.08544272</v>
      </c>
      <c r="AF49" s="312">
        <f t="shared" si="7"/>
        <v>13.027939889999997</v>
      </c>
      <c r="AG49" s="312">
        <f t="shared" si="7"/>
        <v>12.993324749999999</v>
      </c>
      <c r="AH49" s="312">
        <f t="shared" si="7"/>
        <v>13.008332820000001</v>
      </c>
      <c r="AI49" s="312">
        <f t="shared" si="7"/>
        <v>13.168837920000001</v>
      </c>
      <c r="AJ49" s="312">
        <f t="shared" si="7"/>
        <v>13.226494050000001</v>
      </c>
      <c r="AK49" s="313"/>
    </row>
    <row r="50" spans="1:37">
      <c r="A50" s="6" t="s">
        <v>160</v>
      </c>
      <c r="R50" s="299" t="s">
        <v>0</v>
      </c>
    </row>
    <row r="51" spans="1:37">
      <c r="A51" s="6" t="s">
        <v>159</v>
      </c>
    </row>
    <row r="52" spans="1:37">
      <c r="A52" s="6" t="s">
        <v>694</v>
      </c>
      <c r="B52" s="348">
        <v>2.0520000457763699</v>
      </c>
      <c r="C52" s="348">
        <v>2.08500003814697</v>
      </c>
      <c r="D52" s="348">
        <v>2.02300000190735</v>
      </c>
      <c r="E52" s="348">
        <v>1.9900000095367401</v>
      </c>
      <c r="F52" s="349">
        <v>1.9984494447708101</v>
      </c>
      <c r="G52" s="293">
        <v>2.3039999999999998</v>
      </c>
      <c r="H52" s="293">
        <v>2.3239999999999998</v>
      </c>
      <c r="I52" s="293">
        <v>2.407</v>
      </c>
      <c r="J52" s="293">
        <v>2.4159999999999999</v>
      </c>
      <c r="K52" s="293">
        <v>2.4498690000000001</v>
      </c>
      <c r="L52" s="293">
        <v>2.5403880000000001</v>
      </c>
      <c r="M52" s="293">
        <v>2.599494</v>
      </c>
      <c r="N52" s="293">
        <v>2.6464240000000001</v>
      </c>
      <c r="O52" s="293">
        <v>2.693587</v>
      </c>
      <c r="P52" s="293">
        <v>2.7283230000000001</v>
      </c>
      <c r="Q52" s="293">
        <v>2.742324</v>
      </c>
      <c r="R52" s="293">
        <v>2.7799209999999999</v>
      </c>
      <c r="S52" s="293">
        <v>2.8150529999999998</v>
      </c>
      <c r="T52" s="293">
        <v>2.8347359999999999</v>
      </c>
      <c r="U52" s="293">
        <v>2.8433090000000001</v>
      </c>
      <c r="V52" s="293">
        <v>2.840814</v>
      </c>
      <c r="W52" s="293">
        <v>2.844868</v>
      </c>
      <c r="X52" s="293">
        <v>2.8578079999999999</v>
      </c>
      <c r="Y52" s="293">
        <v>2.8486820000000002</v>
      </c>
      <c r="Z52" s="293">
        <v>2.8402569999999998</v>
      </c>
      <c r="AA52" s="293">
        <v>2.8361179999999999</v>
      </c>
      <c r="AB52" s="293">
        <v>2.8308490000000002</v>
      </c>
      <c r="AC52" s="293">
        <v>2.8180170000000002</v>
      </c>
      <c r="AD52" s="293">
        <v>2.7924669999999998</v>
      </c>
      <c r="AE52" s="293">
        <v>2.7826710000000001</v>
      </c>
      <c r="AF52" s="293">
        <v>2.76675</v>
      </c>
      <c r="AG52" s="293">
        <v>2.7715809999999999</v>
      </c>
      <c r="AH52" s="293">
        <v>2.7629000000000001</v>
      </c>
      <c r="AI52" s="293">
        <v>2.7495129999999999</v>
      </c>
      <c r="AJ52" s="293">
        <v>2.7286790000000001</v>
      </c>
      <c r="AK52" s="294">
        <v>6.0000000000000001E-3</v>
      </c>
    </row>
    <row r="53" spans="1:37">
      <c r="A53" s="6" t="s">
        <v>693</v>
      </c>
      <c r="B53" s="348">
        <v>8.6600880604237296E-4</v>
      </c>
      <c r="C53" s="348">
        <v>1.0510511929169299E-3</v>
      </c>
      <c r="D53" s="348">
        <v>8.0768426414579196E-4</v>
      </c>
      <c r="E53" s="348">
        <v>4.3171385186724403E-4</v>
      </c>
      <c r="F53" s="349">
        <v>1.8219171324744801E-3</v>
      </c>
      <c r="G53" s="293">
        <v>1.882E-3</v>
      </c>
      <c r="H53" s="293">
        <v>9.8740000000000008E-3</v>
      </c>
      <c r="I53" s="293">
        <v>1.3136999999999999E-2</v>
      </c>
      <c r="J53" s="293">
        <v>1.4973999999999999E-2</v>
      </c>
      <c r="K53" s="293">
        <v>1.2047E-2</v>
      </c>
      <c r="L53" s="293">
        <v>2.5141E-2</v>
      </c>
      <c r="M53" s="293">
        <v>5.3563E-2</v>
      </c>
      <c r="N53" s="293">
        <v>8.0305000000000001E-2</v>
      </c>
      <c r="O53" s="293">
        <v>0.10901</v>
      </c>
      <c r="P53" s="293">
        <v>0.13106100000000001</v>
      </c>
      <c r="Q53" s="293">
        <v>0.162138</v>
      </c>
      <c r="R53" s="293">
        <v>0.20447299999999999</v>
      </c>
      <c r="S53" s="293">
        <v>0.22256600000000001</v>
      </c>
      <c r="T53" s="293">
        <v>0.242672</v>
      </c>
      <c r="U53" s="293">
        <v>0.26248500000000002</v>
      </c>
      <c r="V53" s="293">
        <v>0.279335</v>
      </c>
      <c r="W53" s="293">
        <v>0.29406700000000002</v>
      </c>
      <c r="X53" s="293">
        <v>0.30546400000000001</v>
      </c>
      <c r="Y53" s="293">
        <v>0.31323699999999999</v>
      </c>
      <c r="Z53" s="293">
        <v>0.31872699999999998</v>
      </c>
      <c r="AA53" s="293">
        <v>0.321052</v>
      </c>
      <c r="AB53" s="293">
        <v>0.31902700000000001</v>
      </c>
      <c r="AC53" s="293">
        <v>0.31467200000000001</v>
      </c>
      <c r="AD53" s="293">
        <v>0.30996699999999999</v>
      </c>
      <c r="AE53" s="293">
        <v>0.29748400000000003</v>
      </c>
      <c r="AF53" s="293">
        <v>0.28148600000000001</v>
      </c>
      <c r="AG53" s="293">
        <v>0.26450099999999999</v>
      </c>
      <c r="AH53" s="293">
        <v>0.245667</v>
      </c>
      <c r="AI53" s="293">
        <v>0.23741399999999999</v>
      </c>
      <c r="AJ53" s="293">
        <v>0.22813</v>
      </c>
      <c r="AK53" s="294">
        <v>0.11899999999999999</v>
      </c>
    </row>
    <row r="54" spans="1:37">
      <c r="A54" s="6" t="s">
        <v>695</v>
      </c>
      <c r="B54" s="348">
        <v>9.2527751922607404</v>
      </c>
      <c r="C54" s="348">
        <v>9.2857265472412092</v>
      </c>
      <c r="D54" s="348">
        <v>9.0097904205322301</v>
      </c>
      <c r="E54" s="348">
        <v>8.9638872146606392</v>
      </c>
      <c r="F54" s="349">
        <v>9.3608798980712908</v>
      </c>
      <c r="G54" s="293">
        <v>8.7543939999999996</v>
      </c>
      <c r="H54" s="293">
        <v>8.7103070000000002</v>
      </c>
      <c r="I54" s="293">
        <v>8.7047209999999993</v>
      </c>
      <c r="J54" s="293">
        <v>8.6720810000000004</v>
      </c>
      <c r="K54" s="293">
        <v>8.7711889999999997</v>
      </c>
      <c r="L54" s="293">
        <v>8.7249210000000001</v>
      </c>
      <c r="M54" s="293">
        <v>8.665521</v>
      </c>
      <c r="N54" s="293">
        <v>8.5782380000000007</v>
      </c>
      <c r="O54" s="293">
        <v>8.4654989999999994</v>
      </c>
      <c r="P54" s="293">
        <v>8.3493230000000001</v>
      </c>
      <c r="Q54" s="293">
        <v>8.2274130000000003</v>
      </c>
      <c r="R54" s="293">
        <v>8.1002519999999993</v>
      </c>
      <c r="S54" s="293">
        <v>7.9630890000000001</v>
      </c>
      <c r="T54" s="293">
        <v>7.8215009999999996</v>
      </c>
      <c r="U54" s="293">
        <v>7.6724129999999997</v>
      </c>
      <c r="V54" s="293">
        <v>7.5382249999999997</v>
      </c>
      <c r="W54" s="293">
        <v>7.4181600000000003</v>
      </c>
      <c r="X54" s="293">
        <v>7.3157300000000003</v>
      </c>
      <c r="Y54" s="293">
        <v>7.224996</v>
      </c>
      <c r="Z54" s="293">
        <v>7.1462729999999999</v>
      </c>
      <c r="AA54" s="293">
        <v>7.080946</v>
      </c>
      <c r="AB54" s="293">
        <v>7.0268600000000001</v>
      </c>
      <c r="AC54" s="293">
        <v>6.9825390000000001</v>
      </c>
      <c r="AD54" s="293">
        <v>6.943378</v>
      </c>
      <c r="AE54" s="293">
        <v>6.9093359999999997</v>
      </c>
      <c r="AF54" s="293">
        <v>6.8818789999999996</v>
      </c>
      <c r="AG54" s="293">
        <v>6.8622290000000001</v>
      </c>
      <c r="AH54" s="293">
        <v>6.8497510000000004</v>
      </c>
      <c r="AI54" s="293">
        <v>6.8444979999999997</v>
      </c>
      <c r="AJ54" s="293">
        <v>6.8408179999999996</v>
      </c>
      <c r="AK54" s="294">
        <v>-8.9999999999999993E-3</v>
      </c>
    </row>
    <row r="55" spans="1:37">
      <c r="A55" s="6" t="s">
        <v>696</v>
      </c>
      <c r="B55" s="348">
        <v>1.63300001621246</v>
      </c>
      <c r="C55" s="348">
        <v>1.6219999790191699</v>
      </c>
      <c r="D55" s="348">
        <v>1.5329999923706099</v>
      </c>
      <c r="E55" s="348">
        <v>1.47300004959106</v>
      </c>
      <c r="F55" s="349">
        <v>1.45558297634125</v>
      </c>
      <c r="G55" s="293">
        <v>1.425</v>
      </c>
      <c r="H55" s="293">
        <v>1.399</v>
      </c>
      <c r="I55" s="293">
        <v>1.4039999999999999</v>
      </c>
      <c r="J55" s="293">
        <v>1.4059999999999999</v>
      </c>
      <c r="K55" s="293">
        <v>1.459821</v>
      </c>
      <c r="L55" s="293">
        <v>1.466666</v>
      </c>
      <c r="M55" s="293">
        <v>1.4738910000000001</v>
      </c>
      <c r="N55" s="293">
        <v>1.4802960000000001</v>
      </c>
      <c r="O55" s="293">
        <v>1.4860789999999999</v>
      </c>
      <c r="P55" s="293">
        <v>1.491026</v>
      </c>
      <c r="Q55" s="293">
        <v>1.496483</v>
      </c>
      <c r="R55" s="293">
        <v>1.5023390000000001</v>
      </c>
      <c r="S55" s="293">
        <v>1.5080819999999999</v>
      </c>
      <c r="T55" s="293">
        <v>1.514818</v>
      </c>
      <c r="U55" s="293">
        <v>1.5222910000000001</v>
      </c>
      <c r="V55" s="293">
        <v>1.529134</v>
      </c>
      <c r="W55" s="293">
        <v>1.5350699999999999</v>
      </c>
      <c r="X55" s="293">
        <v>1.540705</v>
      </c>
      <c r="Y55" s="293">
        <v>1.5457909999999999</v>
      </c>
      <c r="Z55" s="293">
        <v>1.550583</v>
      </c>
      <c r="AA55" s="293">
        <v>1.555024</v>
      </c>
      <c r="AB55" s="293">
        <v>1.559142</v>
      </c>
      <c r="AC55" s="293">
        <v>1.562889</v>
      </c>
      <c r="AD55" s="293">
        <v>1.5661639999999999</v>
      </c>
      <c r="AE55" s="293">
        <v>1.5691090000000001</v>
      </c>
      <c r="AF55" s="293">
        <v>1.5733360000000001</v>
      </c>
      <c r="AG55" s="293">
        <v>1.577515</v>
      </c>
      <c r="AH55" s="293">
        <v>1.5816300000000001</v>
      </c>
      <c r="AI55" s="293">
        <v>1.585529</v>
      </c>
      <c r="AJ55" s="293">
        <v>1.5896079999999999</v>
      </c>
      <c r="AK55" s="294">
        <v>5.0000000000000001E-3</v>
      </c>
    </row>
    <row r="56" spans="1:37">
      <c r="A56" s="6" t="s">
        <v>697</v>
      </c>
      <c r="B56" s="348">
        <v>4.1690001487731898</v>
      </c>
      <c r="C56" s="348">
        <v>4.1960000991821298</v>
      </c>
      <c r="D56" s="348">
        <v>3.9430000782012899</v>
      </c>
      <c r="E56" s="348">
        <v>3.90199995040894</v>
      </c>
      <c r="F56" s="349">
        <v>4.0923304557800302</v>
      </c>
      <c r="G56" s="293">
        <v>3.899</v>
      </c>
      <c r="H56" s="293">
        <v>3.7429999999999999</v>
      </c>
      <c r="I56" s="293">
        <v>3.859</v>
      </c>
      <c r="J56" s="293">
        <v>3.9089999999999998</v>
      </c>
      <c r="K56" s="293">
        <v>4.0858679999999996</v>
      </c>
      <c r="L56" s="293">
        <v>4.177359</v>
      </c>
      <c r="M56" s="293">
        <v>4.228364</v>
      </c>
      <c r="N56" s="293">
        <v>4.2508220000000003</v>
      </c>
      <c r="O56" s="293">
        <v>4.2730649999999999</v>
      </c>
      <c r="P56" s="293">
        <v>4.295331</v>
      </c>
      <c r="Q56" s="293">
        <v>4.319947</v>
      </c>
      <c r="R56" s="293">
        <v>4.3484850000000002</v>
      </c>
      <c r="S56" s="293">
        <v>4.3784619999999999</v>
      </c>
      <c r="T56" s="293">
        <v>4.4044730000000003</v>
      </c>
      <c r="U56" s="293">
        <v>4.436998</v>
      </c>
      <c r="V56" s="293">
        <v>4.460839</v>
      </c>
      <c r="W56" s="293">
        <v>4.4796500000000004</v>
      </c>
      <c r="X56" s="293">
        <v>4.4870289999999997</v>
      </c>
      <c r="Y56" s="293">
        <v>4.4989540000000003</v>
      </c>
      <c r="Z56" s="293">
        <v>4.5163840000000004</v>
      </c>
      <c r="AA56" s="293">
        <v>4.5280180000000003</v>
      </c>
      <c r="AB56" s="293">
        <v>4.5344899999999999</v>
      </c>
      <c r="AC56" s="293">
        <v>4.5444589999999998</v>
      </c>
      <c r="AD56" s="293">
        <v>4.5662190000000002</v>
      </c>
      <c r="AE56" s="293">
        <v>4.5865479999999996</v>
      </c>
      <c r="AF56" s="293">
        <v>4.5978500000000002</v>
      </c>
      <c r="AG56" s="293">
        <v>4.6070399999999996</v>
      </c>
      <c r="AH56" s="293">
        <v>4.6156879999999996</v>
      </c>
      <c r="AI56" s="293">
        <v>4.6224400000000001</v>
      </c>
      <c r="AJ56" s="293">
        <v>4.6207630000000002</v>
      </c>
      <c r="AK56" s="294">
        <v>8.0000000000000002E-3</v>
      </c>
    </row>
    <row r="57" spans="1:37">
      <c r="A57" s="6" t="s">
        <v>158</v>
      </c>
      <c r="B57" s="348">
        <v>3.21000003814697</v>
      </c>
      <c r="C57" s="348">
        <v>3.4670000076293901</v>
      </c>
      <c r="D57" s="348">
        <v>3.46799993515015</v>
      </c>
      <c r="E57" s="348">
        <v>3.4189999103546098</v>
      </c>
      <c r="F57" s="349">
        <v>3.47832202911377</v>
      </c>
      <c r="G57" s="293">
        <v>3.5059999999999998</v>
      </c>
      <c r="H57" s="293">
        <v>3.448</v>
      </c>
      <c r="I57" s="293">
        <v>3.5550000000000002</v>
      </c>
      <c r="J57" s="293">
        <v>3.601</v>
      </c>
      <c r="K57" s="293">
        <v>3.6780590000000002</v>
      </c>
      <c r="L57" s="293">
        <v>3.788999</v>
      </c>
      <c r="M57" s="293">
        <v>3.841418</v>
      </c>
      <c r="N57" s="293">
        <v>3.888255</v>
      </c>
      <c r="O57" s="293">
        <v>3.9148960000000002</v>
      </c>
      <c r="P57" s="293">
        <v>3.942434</v>
      </c>
      <c r="Q57" s="293">
        <v>3.9721639999999998</v>
      </c>
      <c r="R57" s="293">
        <v>4.005528</v>
      </c>
      <c r="S57" s="293">
        <v>4.0400039999999997</v>
      </c>
      <c r="T57" s="293">
        <v>4.0698509999999999</v>
      </c>
      <c r="U57" s="293">
        <v>4.1063919999999996</v>
      </c>
      <c r="V57" s="293">
        <v>4.1354759999999997</v>
      </c>
      <c r="W57" s="293">
        <v>4.1591009999999997</v>
      </c>
      <c r="X57" s="293">
        <v>4.1709329999999998</v>
      </c>
      <c r="Y57" s="293">
        <v>4.1869290000000001</v>
      </c>
      <c r="Z57" s="293">
        <v>4.2079300000000002</v>
      </c>
      <c r="AA57" s="293">
        <v>4.2245819999999998</v>
      </c>
      <c r="AB57" s="293">
        <v>4.2349610000000002</v>
      </c>
      <c r="AC57" s="293">
        <v>4.2486269999999999</v>
      </c>
      <c r="AD57" s="293">
        <v>4.2736000000000001</v>
      </c>
      <c r="AE57" s="293">
        <v>4.2970110000000004</v>
      </c>
      <c r="AF57" s="293">
        <v>4.3111389999999998</v>
      </c>
      <c r="AG57" s="293">
        <v>4.3229870000000004</v>
      </c>
      <c r="AH57" s="293">
        <v>4.3342970000000003</v>
      </c>
      <c r="AI57" s="293">
        <v>4.3436260000000004</v>
      </c>
      <c r="AJ57" s="293">
        <v>4.344544</v>
      </c>
      <c r="AK57" s="294">
        <v>8.0000000000000002E-3</v>
      </c>
    </row>
    <row r="58" spans="1:37">
      <c r="A58" s="6" t="s">
        <v>157</v>
      </c>
      <c r="B58" s="348">
        <v>0.68900001049041704</v>
      </c>
      <c r="C58" s="348">
        <v>0.72299998998642001</v>
      </c>
      <c r="D58" s="348">
        <v>0.60799998044967696</v>
      </c>
      <c r="E58" s="348">
        <v>0.58099997043609597</v>
      </c>
      <c r="F58" s="349">
        <v>0.63298153877258301</v>
      </c>
      <c r="G58" s="293">
        <v>0.46100000000000002</v>
      </c>
      <c r="H58" s="293">
        <v>0.34499999999999997</v>
      </c>
      <c r="I58" s="293">
        <v>0.32200000000000001</v>
      </c>
      <c r="J58" s="293">
        <v>0.35</v>
      </c>
      <c r="K58" s="293">
        <v>0.38553500000000002</v>
      </c>
      <c r="L58" s="293">
        <v>0.39021600000000001</v>
      </c>
      <c r="M58" s="293">
        <v>0.38447300000000001</v>
      </c>
      <c r="N58" s="293">
        <v>0.390044</v>
      </c>
      <c r="O58" s="293">
        <v>0.38984200000000002</v>
      </c>
      <c r="P58" s="293">
        <v>0.38874799999999998</v>
      </c>
      <c r="Q58" s="293">
        <v>0.38986300000000002</v>
      </c>
      <c r="R58" s="293">
        <v>0.38962000000000002</v>
      </c>
      <c r="S58" s="293">
        <v>0.390509</v>
      </c>
      <c r="T58" s="293">
        <v>0.392071</v>
      </c>
      <c r="U58" s="293">
        <v>0.392706</v>
      </c>
      <c r="V58" s="293">
        <v>0.39272899999999999</v>
      </c>
      <c r="W58" s="293">
        <v>0.39312000000000002</v>
      </c>
      <c r="X58" s="293">
        <v>0.39413599999999999</v>
      </c>
      <c r="Y58" s="293">
        <v>0.39485900000000002</v>
      </c>
      <c r="Z58" s="293">
        <v>0.396202</v>
      </c>
      <c r="AA58" s="293">
        <v>0.39659499999999998</v>
      </c>
      <c r="AB58" s="293">
        <v>0.39696300000000001</v>
      </c>
      <c r="AC58" s="293">
        <v>0.398011</v>
      </c>
      <c r="AD58" s="293">
        <v>0.39871400000000001</v>
      </c>
      <c r="AE58" s="293">
        <v>0.39992499999999997</v>
      </c>
      <c r="AF58" s="293">
        <v>0.40121899999999999</v>
      </c>
      <c r="AG58" s="293">
        <v>0.40172999999999998</v>
      </c>
      <c r="AH58" s="293">
        <v>0.402443</v>
      </c>
      <c r="AI58" s="293">
        <v>0.40342099999999997</v>
      </c>
      <c r="AJ58" s="293">
        <v>0.40445900000000001</v>
      </c>
      <c r="AK58" s="294">
        <v>6.0000000000000001E-3</v>
      </c>
    </row>
    <row r="59" spans="1:37">
      <c r="A59" s="6" t="s">
        <v>698</v>
      </c>
      <c r="B59" s="348">
        <v>2.8580451011657702</v>
      </c>
      <c r="C59" s="348">
        <v>2.73703241348267</v>
      </c>
      <c r="D59" s="348">
        <v>2.4269983768463099</v>
      </c>
      <c r="E59" s="348">
        <v>2.3350048065185498</v>
      </c>
      <c r="F59" s="349">
        <v>2.2457344532012899</v>
      </c>
      <c r="G59" s="293">
        <v>2.0800260000000002</v>
      </c>
      <c r="H59" s="293">
        <v>1.965076</v>
      </c>
      <c r="I59" s="293">
        <v>1.942002</v>
      </c>
      <c r="J59" s="293">
        <v>1.9470000000000001</v>
      </c>
      <c r="K59" s="293">
        <v>2.0148790000000001</v>
      </c>
      <c r="L59" s="293">
        <v>2.0685479999999998</v>
      </c>
      <c r="M59" s="293">
        <v>2.1349170000000002</v>
      </c>
      <c r="N59" s="293">
        <v>2.1911809999999998</v>
      </c>
      <c r="O59" s="293">
        <v>2.2368299999999999</v>
      </c>
      <c r="P59" s="293">
        <v>2.276913</v>
      </c>
      <c r="Q59" s="293">
        <v>2.3108819999999999</v>
      </c>
      <c r="R59" s="293">
        <v>2.3269329999999999</v>
      </c>
      <c r="S59" s="293">
        <v>2.343264</v>
      </c>
      <c r="T59" s="293">
        <v>2.3722750000000001</v>
      </c>
      <c r="U59" s="293">
        <v>2.404312</v>
      </c>
      <c r="V59" s="293">
        <v>2.4265159999999999</v>
      </c>
      <c r="W59" s="293">
        <v>2.458132</v>
      </c>
      <c r="X59" s="293">
        <v>2.474024</v>
      </c>
      <c r="Y59" s="293">
        <v>2.4762659999999999</v>
      </c>
      <c r="Z59" s="293">
        <v>2.4857459999999998</v>
      </c>
      <c r="AA59" s="293">
        <v>2.4935139999999998</v>
      </c>
      <c r="AB59" s="293">
        <v>2.4994040000000002</v>
      </c>
      <c r="AC59" s="293">
        <v>2.4986790000000001</v>
      </c>
      <c r="AD59" s="293">
        <v>2.5103719999999998</v>
      </c>
      <c r="AE59" s="293">
        <v>2.5131139999999998</v>
      </c>
      <c r="AF59" s="293">
        <v>2.519142</v>
      </c>
      <c r="AG59" s="293">
        <v>2.531539</v>
      </c>
      <c r="AH59" s="293">
        <v>2.5507759999999999</v>
      </c>
      <c r="AI59" s="293">
        <v>2.550128</v>
      </c>
      <c r="AJ59" s="293">
        <v>2.5471759999999999</v>
      </c>
      <c r="AK59" s="294">
        <v>8.9999999999999993E-3</v>
      </c>
    </row>
    <row r="60" spans="1:37">
      <c r="A60" s="6" t="s">
        <v>156</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c r="A61" s="6" t="s">
        <v>155</v>
      </c>
      <c r="B61" s="348">
        <v>1.0618205070495601</v>
      </c>
      <c r="C61" s="348">
        <v>1.1093590259552</v>
      </c>
      <c r="D61" s="348">
        <v>1.0993635654449501</v>
      </c>
      <c r="E61" s="348">
        <v>1.10606873035431</v>
      </c>
      <c r="F61" s="349">
        <v>1.0538341999053999</v>
      </c>
      <c r="G61" s="293">
        <v>0.96948900000000005</v>
      </c>
      <c r="H61" s="293">
        <v>0.94076099999999996</v>
      </c>
      <c r="I61" s="293">
        <v>0.95062599999999997</v>
      </c>
      <c r="J61" s="293">
        <v>0.94062699999999999</v>
      </c>
      <c r="K61" s="293">
        <v>0.91689699999999996</v>
      </c>
      <c r="L61" s="293">
        <v>0.91578099999999996</v>
      </c>
      <c r="M61" s="293">
        <v>0.90966899999999995</v>
      </c>
      <c r="N61" s="293">
        <v>0.90114399999999995</v>
      </c>
      <c r="O61" s="293">
        <v>0.89199799999999996</v>
      </c>
      <c r="P61" s="293">
        <v>0.88283199999999995</v>
      </c>
      <c r="Q61" s="293">
        <v>0.87347300000000005</v>
      </c>
      <c r="R61" s="293">
        <v>0.86438899999999996</v>
      </c>
      <c r="S61" s="293">
        <v>0.85625499999999999</v>
      </c>
      <c r="T61" s="293">
        <v>0.84867599999999999</v>
      </c>
      <c r="U61" s="293">
        <v>0.84107299999999996</v>
      </c>
      <c r="V61" s="293">
        <v>0.83371399999999996</v>
      </c>
      <c r="W61" s="293">
        <v>0.82639200000000002</v>
      </c>
      <c r="X61" s="293">
        <v>0.81992799999999999</v>
      </c>
      <c r="Y61" s="293">
        <v>0.81319300000000005</v>
      </c>
      <c r="Z61" s="293">
        <v>0.80710899999999997</v>
      </c>
      <c r="AA61" s="293">
        <v>0.80122000000000004</v>
      </c>
      <c r="AB61" s="293">
        <v>0.795458</v>
      </c>
      <c r="AC61" s="293">
        <v>0.79006900000000002</v>
      </c>
      <c r="AD61" s="293">
        <v>0.78411900000000001</v>
      </c>
      <c r="AE61" s="293">
        <v>0.77970600000000001</v>
      </c>
      <c r="AF61" s="293">
        <v>0.77555200000000002</v>
      </c>
      <c r="AG61" s="293">
        <v>0.771922</v>
      </c>
      <c r="AH61" s="293">
        <v>0.76868800000000004</v>
      </c>
      <c r="AI61" s="293">
        <v>0.76499200000000001</v>
      </c>
      <c r="AJ61" s="293">
        <v>0.76103399999999999</v>
      </c>
      <c r="AK61" s="294">
        <v>-8.0000000000000002E-3</v>
      </c>
    </row>
    <row r="62" spans="1:37">
      <c r="A62" s="6" t="s">
        <v>699</v>
      </c>
      <c r="B62" s="348">
        <v>5.3221449851989702</v>
      </c>
      <c r="C62" s="348">
        <v>5.2595095634460396</v>
      </c>
      <c r="D62" s="348">
        <v>4.9765362739562997</v>
      </c>
      <c r="E62" s="348">
        <v>4.70910596847534</v>
      </c>
      <c r="F62" s="349">
        <v>4.5219602584838903</v>
      </c>
      <c r="G62" s="293">
        <v>4.4511919999999998</v>
      </c>
      <c r="H62" s="293">
        <v>4.421297</v>
      </c>
      <c r="I62" s="293">
        <v>4.5209929999999998</v>
      </c>
      <c r="J62" s="293">
        <v>4.6163509999999999</v>
      </c>
      <c r="K62" s="293">
        <v>4.7672689999999998</v>
      </c>
      <c r="L62" s="293">
        <v>4.940448</v>
      </c>
      <c r="M62" s="293">
        <v>5.0828059999999997</v>
      </c>
      <c r="N62" s="293">
        <v>5.1973799999999999</v>
      </c>
      <c r="O62" s="293">
        <v>5.2962569999999998</v>
      </c>
      <c r="P62" s="293">
        <v>5.3737599999999999</v>
      </c>
      <c r="Q62" s="293">
        <v>5.42516</v>
      </c>
      <c r="R62" s="293">
        <v>5.4817600000000004</v>
      </c>
      <c r="S62" s="293">
        <v>5.536664</v>
      </c>
      <c r="T62" s="293">
        <v>5.5895760000000001</v>
      </c>
      <c r="U62" s="293">
        <v>5.635637</v>
      </c>
      <c r="V62" s="293">
        <v>5.6575449999999998</v>
      </c>
      <c r="W62" s="293">
        <v>5.6945290000000002</v>
      </c>
      <c r="X62" s="293">
        <v>5.724005</v>
      </c>
      <c r="Y62" s="293">
        <v>5.7184200000000001</v>
      </c>
      <c r="Z62" s="293">
        <v>5.7229380000000001</v>
      </c>
      <c r="AA62" s="293">
        <v>5.7270849999999998</v>
      </c>
      <c r="AB62" s="293">
        <v>5.7279549999999997</v>
      </c>
      <c r="AC62" s="293">
        <v>5.7151949999999996</v>
      </c>
      <c r="AD62" s="293">
        <v>5.7039289999999996</v>
      </c>
      <c r="AE62" s="293">
        <v>5.6985010000000003</v>
      </c>
      <c r="AF62" s="293">
        <v>5.6904269999999997</v>
      </c>
      <c r="AG62" s="293">
        <v>5.7088890000000001</v>
      </c>
      <c r="AH62" s="293">
        <v>5.7191020000000004</v>
      </c>
      <c r="AI62" s="293">
        <v>5.7061400000000004</v>
      </c>
      <c r="AJ62" s="293">
        <v>5.6839209999999998</v>
      </c>
      <c r="AK62" s="294">
        <v>8.9999999999999993E-3</v>
      </c>
    </row>
    <row r="63" spans="1:37">
      <c r="A63" s="6" t="s">
        <v>154</v>
      </c>
      <c r="B63" s="348">
        <v>14.205528259277299</v>
      </c>
      <c r="C63" s="348">
        <v>14.253752708435099</v>
      </c>
      <c r="D63" s="348">
        <v>13.661909103393601</v>
      </c>
      <c r="E63" s="348">
        <v>13.477608680725099</v>
      </c>
      <c r="F63" s="349">
        <v>13.9932947158813</v>
      </c>
      <c r="G63" s="293">
        <v>13.653123000000001</v>
      </c>
      <c r="H63" s="293">
        <v>13.443807</v>
      </c>
      <c r="I63" s="293">
        <v>13.46326</v>
      </c>
      <c r="J63" s="293">
        <v>13.410075000000001</v>
      </c>
      <c r="K63" s="293">
        <v>13.391593</v>
      </c>
      <c r="L63" s="293">
        <v>13.423278</v>
      </c>
      <c r="M63" s="293">
        <v>13.416093</v>
      </c>
      <c r="N63" s="293">
        <v>13.359128999999999</v>
      </c>
      <c r="O63" s="293">
        <v>13.277658000000001</v>
      </c>
      <c r="P63" s="293">
        <v>13.193913999999999</v>
      </c>
      <c r="Q63" s="293">
        <v>13.108468</v>
      </c>
      <c r="R63" s="293">
        <v>13.021044</v>
      </c>
      <c r="S63" s="293">
        <v>12.924597</v>
      </c>
      <c r="T63" s="293">
        <v>12.819832</v>
      </c>
      <c r="U63" s="293">
        <v>12.713536</v>
      </c>
      <c r="V63" s="293">
        <v>12.616394</v>
      </c>
      <c r="W63" s="293">
        <v>12.527696000000001</v>
      </c>
      <c r="X63" s="293">
        <v>12.445028000000001</v>
      </c>
      <c r="Y63" s="293">
        <v>12.377145000000001</v>
      </c>
      <c r="Z63" s="293">
        <v>12.324268</v>
      </c>
      <c r="AA63" s="293">
        <v>12.281888</v>
      </c>
      <c r="AB63" s="293">
        <v>12.244210000000001</v>
      </c>
      <c r="AC63" s="293">
        <v>12.219082999999999</v>
      </c>
      <c r="AD63" s="293">
        <v>12.208591999999999</v>
      </c>
      <c r="AE63" s="293">
        <v>12.201549</v>
      </c>
      <c r="AF63" s="293">
        <v>12.192887000000001</v>
      </c>
      <c r="AG63" s="293">
        <v>12.189211999999999</v>
      </c>
      <c r="AH63" s="293">
        <v>12.193395000000001</v>
      </c>
      <c r="AI63" s="293">
        <v>12.201965</v>
      </c>
      <c r="AJ63" s="293">
        <v>12.203708000000001</v>
      </c>
      <c r="AK63" s="294">
        <v>-3.0000000000000001E-3</v>
      </c>
    </row>
    <row r="64" spans="1:37">
      <c r="A64" s="6" t="s">
        <v>700</v>
      </c>
      <c r="B64" s="348">
        <v>0.28576692938804599</v>
      </c>
      <c r="C64" s="348">
        <v>0.295045405626297</v>
      </c>
      <c r="D64" s="348">
        <v>0.215673848986626</v>
      </c>
      <c r="E64" s="348">
        <v>0.21838557720184301</v>
      </c>
      <c r="F64" s="349">
        <v>0.21773074567317999</v>
      </c>
      <c r="G64" s="293">
        <v>0.13995199999999999</v>
      </c>
      <c r="H64" s="293">
        <v>0.10258100000000001</v>
      </c>
      <c r="I64" s="293">
        <v>9.1968999999999995E-2</v>
      </c>
      <c r="J64" s="293">
        <v>9.2428999999999997E-2</v>
      </c>
      <c r="K64" s="293">
        <v>9.2261999999999997E-2</v>
      </c>
      <c r="L64" s="293">
        <v>8.9524000000000006E-2</v>
      </c>
      <c r="M64" s="293">
        <v>7.9076999999999995E-2</v>
      </c>
      <c r="N64" s="293">
        <v>8.0381999999999995E-2</v>
      </c>
      <c r="O64" s="293">
        <v>8.0076999999999995E-2</v>
      </c>
      <c r="P64" s="293">
        <v>8.0298999999999995E-2</v>
      </c>
      <c r="Q64" s="293">
        <v>8.0979999999999996E-2</v>
      </c>
      <c r="R64" s="293">
        <v>8.1548999999999996E-2</v>
      </c>
      <c r="S64" s="293">
        <v>8.2155000000000006E-2</v>
      </c>
      <c r="T64" s="293">
        <v>8.3019999999999997E-2</v>
      </c>
      <c r="U64" s="293">
        <v>8.3024000000000001E-2</v>
      </c>
      <c r="V64" s="293">
        <v>8.1849000000000005E-2</v>
      </c>
      <c r="W64" s="293">
        <v>8.1641000000000005E-2</v>
      </c>
      <c r="X64" s="293">
        <v>8.1735000000000002E-2</v>
      </c>
      <c r="Y64" s="293">
        <v>8.2040000000000002E-2</v>
      </c>
      <c r="Z64" s="293">
        <v>8.2365999999999995E-2</v>
      </c>
      <c r="AA64" s="293">
        <v>8.1250000000000003E-2</v>
      </c>
      <c r="AB64" s="293">
        <v>8.1303E-2</v>
      </c>
      <c r="AC64" s="293">
        <v>8.1448999999999994E-2</v>
      </c>
      <c r="AD64" s="293">
        <v>8.1864999999999993E-2</v>
      </c>
      <c r="AE64" s="293">
        <v>8.2123000000000002E-2</v>
      </c>
      <c r="AF64" s="293">
        <v>8.2472000000000004E-2</v>
      </c>
      <c r="AG64" s="293">
        <v>8.2769999999999996E-2</v>
      </c>
      <c r="AH64" s="293">
        <v>8.3155000000000007E-2</v>
      </c>
      <c r="AI64" s="293">
        <v>8.3571999999999994E-2</v>
      </c>
      <c r="AJ64" s="293">
        <v>8.3961999999999995E-2</v>
      </c>
      <c r="AK64" s="294">
        <v>-7.0000000000000001E-3</v>
      </c>
    </row>
    <row r="65" spans="1:37">
      <c r="A65" s="6" t="s">
        <v>153</v>
      </c>
      <c r="B65" s="348">
        <v>20.654685974121101</v>
      </c>
      <c r="C65" s="348">
        <v>20.6498107910156</v>
      </c>
      <c r="D65" s="348">
        <v>19.5445957183838</v>
      </c>
      <c r="E65" s="348">
        <v>19.245325088501001</v>
      </c>
      <c r="F65" s="349">
        <v>19.787778854370099</v>
      </c>
      <c r="G65" s="248">
        <v>18.92342</v>
      </c>
      <c r="H65" s="248">
        <v>18.486381999999999</v>
      </c>
      <c r="I65" s="248">
        <v>18.638722999999999</v>
      </c>
      <c r="J65" s="248">
        <v>18.700082999999999</v>
      </c>
      <c r="K65" s="248">
        <v>19.167159999999999</v>
      </c>
      <c r="L65" s="248">
        <v>19.368099000000001</v>
      </c>
      <c r="M65" s="248">
        <v>19.486657999999998</v>
      </c>
      <c r="N65" s="248">
        <v>19.537004</v>
      </c>
      <c r="O65" s="248">
        <v>19.544903000000001</v>
      </c>
      <c r="P65" s="248">
        <v>19.529665000000001</v>
      </c>
      <c r="Q65" s="248">
        <v>19.486916000000001</v>
      </c>
      <c r="R65" s="248">
        <v>19.44755</v>
      </c>
      <c r="S65" s="248">
        <v>19.398457000000001</v>
      </c>
      <c r="T65" s="248">
        <v>19.339873999999998</v>
      </c>
      <c r="U65" s="248">
        <v>19.272027999999999</v>
      </c>
      <c r="V65" s="248">
        <v>19.188255000000002</v>
      </c>
      <c r="W65" s="248">
        <v>19.129000000000001</v>
      </c>
      <c r="X65" s="248">
        <v>19.069431000000002</v>
      </c>
      <c r="Y65" s="248">
        <v>18.989547999999999</v>
      </c>
      <c r="Z65" s="248">
        <v>18.935445999999999</v>
      </c>
      <c r="AA65" s="248">
        <v>18.890217</v>
      </c>
      <c r="AB65" s="248">
        <v>18.847709999999999</v>
      </c>
      <c r="AC65" s="248">
        <v>18.804594000000002</v>
      </c>
      <c r="AD65" s="248">
        <v>18.777315000000002</v>
      </c>
      <c r="AE65" s="248">
        <v>18.760704</v>
      </c>
      <c r="AF65" s="248">
        <v>18.740176999999999</v>
      </c>
      <c r="AG65" s="248">
        <v>18.751633000000002</v>
      </c>
      <c r="AH65" s="248">
        <v>18.763190999999999</v>
      </c>
      <c r="AI65" s="248">
        <v>18.755531000000001</v>
      </c>
      <c r="AJ65" s="248">
        <v>18.731504000000001</v>
      </c>
      <c r="AK65" s="249">
        <v>0</v>
      </c>
    </row>
    <row r="66" spans="1:3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6" t="s">
        <v>701</v>
      </c>
      <c r="B67" s="348">
        <v>4.2667388916015597E-2</v>
      </c>
      <c r="C67" s="348">
        <v>0.11821937561035201</v>
      </c>
      <c r="D67" s="348">
        <v>0.102603912353516</v>
      </c>
      <c r="E67" s="348">
        <v>0.17598533630371099</v>
      </c>
      <c r="F67" s="349">
        <v>-0.19984626770019501</v>
      </c>
      <c r="G67" s="293">
        <v>1.5162999999999999E-2</v>
      </c>
      <c r="H67" s="293">
        <v>0.105907</v>
      </c>
      <c r="I67" s="293">
        <v>0.34659600000000002</v>
      </c>
      <c r="J67" s="293">
        <v>0.115158</v>
      </c>
      <c r="K67" s="293">
        <v>-9.7140000000000004E-3</v>
      </c>
      <c r="L67" s="293">
        <v>-9.1500000000000001E-3</v>
      </c>
      <c r="M67" s="293">
        <v>-9.129E-3</v>
      </c>
      <c r="N67" s="293">
        <v>-9.3959999999999998E-3</v>
      </c>
      <c r="O67" s="293">
        <v>-9.4409999999999997E-3</v>
      </c>
      <c r="P67" s="293">
        <v>-9.2980000000000007E-3</v>
      </c>
      <c r="Q67" s="293">
        <v>-9.8270000000000007E-3</v>
      </c>
      <c r="R67" s="293">
        <v>-9.7409999999999997E-3</v>
      </c>
      <c r="S67" s="293">
        <v>-9.6889999999999997E-3</v>
      </c>
      <c r="T67" s="293">
        <v>-9.8569999999999994E-3</v>
      </c>
      <c r="U67" s="293">
        <v>-9.7099999999999999E-3</v>
      </c>
      <c r="V67" s="293">
        <v>-9.4129999999999995E-3</v>
      </c>
      <c r="W67" s="293">
        <v>-9.7260000000000003E-3</v>
      </c>
      <c r="X67" s="293">
        <v>-9.5440000000000004E-3</v>
      </c>
      <c r="Y67" s="293">
        <v>-8.9110000000000005E-3</v>
      </c>
      <c r="Z67" s="293">
        <v>-9.2739999999999993E-3</v>
      </c>
      <c r="AA67" s="293">
        <v>-9.4389999999999995E-3</v>
      </c>
      <c r="AB67" s="293">
        <v>-9.6170000000000005E-3</v>
      </c>
      <c r="AC67" s="293">
        <v>-9.1479999999999999E-3</v>
      </c>
      <c r="AD67" s="293">
        <v>-8.9969999999999998E-3</v>
      </c>
      <c r="AE67" s="293">
        <v>-8.8159999999999992E-3</v>
      </c>
      <c r="AF67" s="293">
        <v>-8.2660000000000008E-3</v>
      </c>
      <c r="AG67" s="293">
        <v>-8.2740000000000001E-3</v>
      </c>
      <c r="AH67" s="293">
        <v>-7.711E-3</v>
      </c>
      <c r="AI67" s="293">
        <v>-7.0080000000000003E-3</v>
      </c>
      <c r="AJ67" s="293">
        <v>-6.5420000000000001E-3</v>
      </c>
      <c r="AK67" s="293" t="s">
        <v>41</v>
      </c>
    </row>
    <row r="68" spans="1:3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6" t="s">
        <v>702</v>
      </c>
      <c r="B69" s="362">
        <v>17.3390007019043</v>
      </c>
      <c r="C69" s="362">
        <v>17.4409999847412</v>
      </c>
      <c r="D69" s="362">
        <v>17.5890007019043</v>
      </c>
      <c r="E69" s="362">
        <v>17.5890007019043</v>
      </c>
      <c r="F69" s="363">
        <v>17.994850158691399</v>
      </c>
      <c r="G69" s="293">
        <v>17.704999999999998</v>
      </c>
      <c r="H69" s="293">
        <v>17.315000999999999</v>
      </c>
      <c r="I69" s="293">
        <v>17.818999999999999</v>
      </c>
      <c r="J69" s="293">
        <v>17.818999999999999</v>
      </c>
      <c r="K69" s="293">
        <v>18.114657999999999</v>
      </c>
      <c r="L69" s="293">
        <v>18.129657999999999</v>
      </c>
      <c r="M69" s="293">
        <v>18.129657999999999</v>
      </c>
      <c r="N69" s="293">
        <v>18.129657999999999</v>
      </c>
      <c r="O69" s="293">
        <v>18.129657999999999</v>
      </c>
      <c r="P69" s="293">
        <v>18.129657999999999</v>
      </c>
      <c r="Q69" s="293">
        <v>18.129657999999999</v>
      </c>
      <c r="R69" s="293">
        <v>18.129657999999999</v>
      </c>
      <c r="S69" s="293">
        <v>18.129657999999999</v>
      </c>
      <c r="T69" s="293">
        <v>18.129657999999999</v>
      </c>
      <c r="U69" s="293">
        <v>18.129657999999999</v>
      </c>
      <c r="V69" s="293">
        <v>18.129657999999999</v>
      </c>
      <c r="W69" s="293">
        <v>18.129657999999999</v>
      </c>
      <c r="X69" s="293">
        <v>18.129657999999999</v>
      </c>
      <c r="Y69" s="293">
        <v>18.129657999999999</v>
      </c>
      <c r="Z69" s="293">
        <v>18.129657999999999</v>
      </c>
      <c r="AA69" s="293">
        <v>18.129657999999999</v>
      </c>
      <c r="AB69" s="293">
        <v>18.129657999999999</v>
      </c>
      <c r="AC69" s="293">
        <v>18.129657999999999</v>
      </c>
      <c r="AD69" s="293">
        <v>18.129657999999999</v>
      </c>
      <c r="AE69" s="293">
        <v>18.129657999999999</v>
      </c>
      <c r="AF69" s="293">
        <v>18.129657999999999</v>
      </c>
      <c r="AG69" s="293">
        <v>18.129657999999999</v>
      </c>
      <c r="AH69" s="293">
        <v>18.129657999999999</v>
      </c>
      <c r="AI69" s="293">
        <v>18.129657999999999</v>
      </c>
      <c r="AJ69" s="293">
        <v>18.129657999999999</v>
      </c>
      <c r="AK69" s="294">
        <v>2E-3</v>
      </c>
    </row>
    <row r="70" spans="1:37">
      <c r="A70" s="6" t="s">
        <v>703</v>
      </c>
      <c r="B70" s="362">
        <v>90</v>
      </c>
      <c r="C70" s="362">
        <v>89</v>
      </c>
      <c r="D70" s="362">
        <v>85</v>
      </c>
      <c r="E70" s="362">
        <v>84</v>
      </c>
      <c r="F70" s="363">
        <v>78.951698303222699</v>
      </c>
      <c r="G70" s="293">
        <v>86</v>
      </c>
      <c r="H70" s="293">
        <v>89</v>
      </c>
      <c r="I70" s="293">
        <v>87</v>
      </c>
      <c r="J70" s="293">
        <v>87</v>
      </c>
      <c r="K70" s="293">
        <v>83.929221999999996</v>
      </c>
      <c r="L70" s="293">
        <v>84.444526999999994</v>
      </c>
      <c r="M70" s="293">
        <v>84.784676000000005</v>
      </c>
      <c r="N70" s="293">
        <v>84.856537000000003</v>
      </c>
      <c r="O70" s="293">
        <v>84.762580999999997</v>
      </c>
      <c r="P70" s="293">
        <v>84.610602999999998</v>
      </c>
      <c r="Q70" s="293">
        <v>84.422150000000002</v>
      </c>
      <c r="R70" s="293">
        <v>84.011527999999998</v>
      </c>
      <c r="S70" s="293">
        <v>83.650841</v>
      </c>
      <c r="T70" s="293">
        <v>83.337349000000003</v>
      </c>
      <c r="U70" s="293">
        <v>83.051040999999998</v>
      </c>
      <c r="V70" s="293">
        <v>82.852858999999995</v>
      </c>
      <c r="W70" s="293">
        <v>82.751807999999997</v>
      </c>
      <c r="X70" s="293">
        <v>82.579086000000004</v>
      </c>
      <c r="Y70" s="293">
        <v>82.446686</v>
      </c>
      <c r="Z70" s="293">
        <v>82.407532000000003</v>
      </c>
      <c r="AA70" s="293">
        <v>82.401390000000006</v>
      </c>
      <c r="AB70" s="293">
        <v>82.379172999999994</v>
      </c>
      <c r="AC70" s="293">
        <v>82.419548000000006</v>
      </c>
      <c r="AD70" s="293">
        <v>82.643226999999996</v>
      </c>
      <c r="AE70" s="293">
        <v>82.856575000000007</v>
      </c>
      <c r="AF70" s="293">
        <v>83.059607999999997</v>
      </c>
      <c r="AG70" s="293">
        <v>83.321395999999993</v>
      </c>
      <c r="AH70" s="293">
        <v>83.713463000000004</v>
      </c>
      <c r="AI70" s="293">
        <v>83.800713000000002</v>
      </c>
      <c r="AJ70" s="293">
        <v>83.967208999999997</v>
      </c>
      <c r="AK70" s="294">
        <v>-2E-3</v>
      </c>
    </row>
    <row r="71" spans="1:37">
      <c r="A71" s="6" t="s">
        <v>152</v>
      </c>
      <c r="B71" s="362">
        <v>60.165718078613303</v>
      </c>
      <c r="C71" s="362">
        <v>58.3234672546387</v>
      </c>
      <c r="D71" s="362">
        <v>56.096931457519503</v>
      </c>
      <c r="E71" s="362">
        <v>53.113201141357401</v>
      </c>
      <c r="F71" s="363">
        <v>50.657768249511697</v>
      </c>
      <c r="G71" s="293">
        <v>45.229275000000001</v>
      </c>
      <c r="H71" s="293">
        <v>40.315280999999999</v>
      </c>
      <c r="I71" s="293">
        <v>33.537674000000003</v>
      </c>
      <c r="J71" s="293">
        <v>28.732861</v>
      </c>
      <c r="K71" s="293">
        <v>27.439371000000001</v>
      </c>
      <c r="L71" s="293">
        <v>25.212821999999999</v>
      </c>
      <c r="M71" s="293">
        <v>25.371447</v>
      </c>
      <c r="N71" s="293">
        <v>25.397780999999998</v>
      </c>
      <c r="O71" s="293">
        <v>25.272306</v>
      </c>
      <c r="P71" s="293">
        <v>25.605276</v>
      </c>
      <c r="Q71" s="293">
        <v>26.339932999999998</v>
      </c>
      <c r="R71" s="293">
        <v>26.391024000000002</v>
      </c>
      <c r="S71" s="293">
        <v>26.330031999999999</v>
      </c>
      <c r="T71" s="293">
        <v>26.557704999999999</v>
      </c>
      <c r="U71" s="293">
        <v>26.574638</v>
      </c>
      <c r="V71" s="293">
        <v>27.074511000000001</v>
      </c>
      <c r="W71" s="293">
        <v>27.628391000000001</v>
      </c>
      <c r="X71" s="293">
        <v>28.164417</v>
      </c>
      <c r="Y71" s="293">
        <v>28.574669</v>
      </c>
      <c r="Z71" s="293">
        <v>28.600802999999999</v>
      </c>
      <c r="AA71" s="293">
        <v>29.035553</v>
      </c>
      <c r="AB71" s="293">
        <v>29.225125999999999</v>
      </c>
      <c r="AC71" s="293">
        <v>29.185209</v>
      </c>
      <c r="AD71" s="293">
        <v>29.338975999999999</v>
      </c>
      <c r="AE71" s="293">
        <v>29.911650000000002</v>
      </c>
      <c r="AF71" s="293">
        <v>30.578768</v>
      </c>
      <c r="AG71" s="293">
        <v>30.764973000000001</v>
      </c>
      <c r="AH71" s="293">
        <v>31.641760000000001</v>
      </c>
      <c r="AI71" s="293">
        <v>31.827915000000001</v>
      </c>
      <c r="AJ71" s="293">
        <v>32.156517000000001</v>
      </c>
      <c r="AK71" s="294">
        <v>-8.0000000000000002E-3</v>
      </c>
    </row>
    <row r="72" spans="1:37" s="268" customFormat="1">
      <c r="A72" s="267" t="s">
        <v>151</v>
      </c>
      <c r="B72" s="348">
        <v>15.605100631713899</v>
      </c>
      <c r="C72" s="348">
        <v>15.522489547729499</v>
      </c>
      <c r="D72" s="348">
        <v>14.950650215148899</v>
      </c>
      <c r="E72" s="348">
        <v>14.7747602462769</v>
      </c>
      <c r="F72" s="349">
        <v>14.2072401046753</v>
      </c>
      <c r="G72" s="314">
        <v>14.3342885971069</v>
      </c>
      <c r="H72" s="314">
        <v>14.411810874939</v>
      </c>
      <c r="I72" s="314">
        <v>14.427806854248001</v>
      </c>
      <c r="J72" s="314">
        <v>14.247616767883301</v>
      </c>
      <c r="K72" s="314">
        <v>14.1760416030884</v>
      </c>
      <c r="L72" s="314">
        <v>14.1692085266113</v>
      </c>
      <c r="M72" s="314">
        <v>14.217811584472701</v>
      </c>
      <c r="N72" s="314">
        <v>14.219580650329601</v>
      </c>
      <c r="O72" s="314">
        <v>14.2103576660156</v>
      </c>
      <c r="P72" s="314">
        <v>14.200039863586399</v>
      </c>
      <c r="Q72" s="314">
        <v>14.1303453445435</v>
      </c>
      <c r="R72" s="314">
        <v>14.095740318298301</v>
      </c>
      <c r="S72" s="314">
        <v>14.0861167907715</v>
      </c>
      <c r="T72" s="314">
        <v>14.1125946044922</v>
      </c>
      <c r="U72" s="314">
        <v>14.163477897644</v>
      </c>
      <c r="V72" s="314">
        <v>14.242433547973601</v>
      </c>
      <c r="W72" s="314">
        <v>14.2973442077637</v>
      </c>
      <c r="X72" s="314">
        <v>14.4011936187744</v>
      </c>
      <c r="Y72" s="314">
        <v>14.4425506591797</v>
      </c>
      <c r="Z72" s="314">
        <v>14.573932647705099</v>
      </c>
      <c r="AA72" s="314"/>
      <c r="AB72" s="314"/>
      <c r="AC72" s="314"/>
      <c r="AD72" s="314"/>
      <c r="AE72" s="314"/>
      <c r="AF72" s="314"/>
      <c r="AG72" s="314"/>
      <c r="AH72" s="314"/>
      <c r="AI72" s="314"/>
      <c r="AJ72" s="314"/>
      <c r="AK72" s="315">
        <v>-2.73776054382324E-3</v>
      </c>
    </row>
    <row r="73" spans="1:37">
      <c r="A73" s="6" t="s">
        <v>150</v>
      </c>
    </row>
    <row r="74" spans="1:37">
      <c r="A74" s="6" t="s">
        <v>594</v>
      </c>
      <c r="B74" s="348">
        <v>272.80218505859398</v>
      </c>
      <c r="C74" s="348">
        <v>280.12564086914102</v>
      </c>
      <c r="D74" s="348">
        <v>321.28717041015602</v>
      </c>
      <c r="E74" s="348">
        <v>195.51596069335901</v>
      </c>
      <c r="F74" s="349">
        <v>246.62348937988301</v>
      </c>
      <c r="G74" s="293">
        <v>494.73007200000001</v>
      </c>
      <c r="H74" s="293">
        <v>313.70205700000002</v>
      </c>
      <c r="I74" s="293">
        <v>257.058716</v>
      </c>
      <c r="J74" s="293">
        <v>219.518845</v>
      </c>
      <c r="K74" s="293">
        <v>213.13346899999999</v>
      </c>
      <c r="L74" s="293">
        <v>192.04028299999999</v>
      </c>
      <c r="M74" s="293">
        <v>190.19305399999999</v>
      </c>
      <c r="N74" s="293">
        <v>190.97583</v>
      </c>
      <c r="O74" s="293">
        <v>193.05748</v>
      </c>
      <c r="P74" s="293">
        <v>198.85289</v>
      </c>
      <c r="Q74" s="293">
        <v>207.326324</v>
      </c>
      <c r="R74" s="293">
        <v>214.50224299999999</v>
      </c>
      <c r="S74" s="293">
        <v>220.992096</v>
      </c>
      <c r="T74" s="293">
        <v>228.38960299999999</v>
      </c>
      <c r="U74" s="293">
        <v>234.269226</v>
      </c>
      <c r="V74" s="293">
        <v>243.98199500000001</v>
      </c>
      <c r="W74" s="293">
        <v>254.790054</v>
      </c>
      <c r="X74" s="293">
        <v>263.61831699999999</v>
      </c>
      <c r="Y74" s="293">
        <v>272.543701</v>
      </c>
      <c r="Z74" s="293">
        <v>278.59802200000001</v>
      </c>
      <c r="AA74" s="293">
        <v>289.04888899999997</v>
      </c>
      <c r="AB74" s="293">
        <v>297.603973</v>
      </c>
      <c r="AC74" s="293">
        <v>305.14331099999998</v>
      </c>
      <c r="AD74" s="293">
        <v>315.75491299999999</v>
      </c>
      <c r="AE74" s="293">
        <v>327.328461</v>
      </c>
      <c r="AF74" s="293">
        <v>338.67947400000003</v>
      </c>
      <c r="AG74" s="293">
        <v>347.810272</v>
      </c>
      <c r="AH74" s="293">
        <v>363.35360700000001</v>
      </c>
      <c r="AI74" s="293">
        <v>372.92919899999998</v>
      </c>
      <c r="AJ74" s="293">
        <v>385.39370700000001</v>
      </c>
      <c r="AK74" s="294">
        <v>7.0000000000000001E-3</v>
      </c>
    </row>
    <row r="78" spans="1:37" s="266" customFormat="1" ht="15" customHeight="1">
      <c r="A78" s="566" t="s">
        <v>595</v>
      </c>
      <c r="B78" s="566"/>
      <c r="C78" s="566"/>
      <c r="D78" s="566"/>
      <c r="E78" s="566"/>
      <c r="F78" s="566"/>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566"/>
      <c r="AF78" s="566"/>
      <c r="AG78" s="298"/>
      <c r="AH78" s="298"/>
      <c r="AI78" s="298"/>
      <c r="AJ78" s="298"/>
      <c r="AK78" s="298"/>
    </row>
    <row r="79" spans="1:37" customFormat="1" ht="15" customHeight="1">
      <c r="A79" s="567" t="s">
        <v>596</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297"/>
      <c r="AH79" s="297"/>
      <c r="AI79" s="297"/>
      <c r="AJ79" s="297"/>
      <c r="AK79" s="297"/>
    </row>
    <row r="80" spans="1:37" customFormat="1" ht="15" customHeight="1">
      <c r="A80" s="567" t="s">
        <v>597</v>
      </c>
      <c r="B80" s="567"/>
      <c r="C80" s="567"/>
      <c r="D80" s="567"/>
      <c r="E80" s="567"/>
      <c r="F80" s="567"/>
      <c r="G80" s="567"/>
      <c r="H80" s="567"/>
      <c r="I80" s="567"/>
      <c r="J80" s="567"/>
      <c r="K80" s="567"/>
      <c r="L80" s="567"/>
      <c r="M80" s="567"/>
      <c r="N80" s="567"/>
      <c r="O80" s="567"/>
      <c r="P80" s="567"/>
      <c r="Q80" s="567"/>
      <c r="R80" s="567"/>
      <c r="S80" s="567"/>
      <c r="T80" s="567"/>
      <c r="U80" s="567"/>
      <c r="V80" s="567"/>
      <c r="W80" s="567"/>
      <c r="X80" s="567"/>
      <c r="Y80" s="567"/>
      <c r="Z80" s="567"/>
      <c r="AA80" s="567"/>
      <c r="AB80" s="567"/>
      <c r="AC80" s="567"/>
      <c r="AD80" s="567"/>
      <c r="AE80" s="567"/>
      <c r="AF80" s="567"/>
      <c r="AG80" s="297"/>
      <c r="AH80" s="297"/>
      <c r="AI80" s="297"/>
      <c r="AJ80" s="297"/>
      <c r="AK80" s="297"/>
    </row>
    <row r="81" spans="1:37" customFormat="1" ht="15" customHeight="1">
      <c r="A81" s="567" t="s">
        <v>598</v>
      </c>
      <c r="B81" s="567"/>
      <c r="C81" s="567"/>
      <c r="D81" s="567"/>
      <c r="E81" s="567"/>
      <c r="F81" s="567"/>
      <c r="G81" s="567"/>
      <c r="H81" s="567"/>
      <c r="I81" s="567"/>
      <c r="J81" s="567"/>
      <c r="K81" s="567"/>
      <c r="L81" s="567"/>
      <c r="M81" s="567"/>
      <c r="N81" s="567"/>
      <c r="O81" s="567"/>
      <c r="P81" s="567"/>
      <c r="Q81" s="567"/>
      <c r="R81" s="567"/>
      <c r="S81" s="567"/>
      <c r="T81" s="567"/>
      <c r="U81" s="567"/>
      <c r="V81" s="567"/>
      <c r="W81" s="567"/>
      <c r="X81" s="567"/>
      <c r="Y81" s="567"/>
      <c r="Z81" s="567"/>
      <c r="AA81" s="567"/>
      <c r="AB81" s="567"/>
      <c r="AC81" s="567"/>
      <c r="AD81" s="567"/>
      <c r="AE81" s="567"/>
      <c r="AF81" s="567"/>
      <c r="AG81" s="297"/>
      <c r="AH81" s="297"/>
      <c r="AI81" s="297"/>
      <c r="AJ81" s="297"/>
      <c r="AK81" s="297"/>
    </row>
    <row r="82" spans="1:37" customFormat="1" ht="15" customHeight="1">
      <c r="A82" s="567" t="s">
        <v>599</v>
      </c>
      <c r="B82" s="567"/>
      <c r="C82" s="567"/>
      <c r="D82" s="567"/>
      <c r="E82" s="567"/>
      <c r="F82" s="567"/>
      <c r="G82" s="567"/>
      <c r="H82" s="567"/>
      <c r="I82" s="567"/>
      <c r="J82" s="567"/>
      <c r="K82" s="567"/>
      <c r="L82" s="567"/>
      <c r="M82" s="567"/>
      <c r="N82" s="567"/>
      <c r="O82" s="567"/>
      <c r="P82" s="567"/>
      <c r="Q82" s="567"/>
      <c r="R82" s="567"/>
      <c r="S82" s="567"/>
      <c r="T82" s="567"/>
      <c r="U82" s="567"/>
      <c r="V82" s="567"/>
      <c r="W82" s="567"/>
      <c r="X82" s="567"/>
      <c r="Y82" s="567"/>
      <c r="Z82" s="567"/>
      <c r="AA82" s="567"/>
      <c r="AB82" s="567"/>
      <c r="AC82" s="567"/>
      <c r="AD82" s="567"/>
      <c r="AE82" s="567"/>
      <c r="AF82" s="567"/>
      <c r="AG82" s="297"/>
      <c r="AH82" s="297"/>
      <c r="AI82" s="297"/>
      <c r="AJ82" s="297"/>
      <c r="AK82" s="297"/>
    </row>
    <row r="83" spans="1:37" customFormat="1" ht="15" customHeight="1">
      <c r="A83" s="567" t="s">
        <v>600</v>
      </c>
      <c r="B83" s="567"/>
      <c r="C83" s="567"/>
      <c r="D83" s="567"/>
      <c r="E83" s="567"/>
      <c r="F83" s="567"/>
      <c r="G83" s="567"/>
      <c r="H83" s="567"/>
      <c r="I83" s="567"/>
      <c r="J83" s="567"/>
      <c r="K83" s="567"/>
      <c r="L83" s="567"/>
      <c r="M83" s="567"/>
      <c r="N83" s="567"/>
      <c r="O83" s="567"/>
      <c r="P83" s="567"/>
      <c r="Q83" s="567"/>
      <c r="R83" s="567"/>
      <c r="S83" s="567"/>
      <c r="T83" s="567"/>
      <c r="U83" s="567"/>
      <c r="V83" s="567"/>
      <c r="W83" s="567"/>
      <c r="X83" s="567"/>
      <c r="Y83" s="567"/>
      <c r="Z83" s="567"/>
      <c r="AA83" s="567"/>
      <c r="AB83" s="567"/>
      <c r="AC83" s="567"/>
      <c r="AD83" s="567"/>
      <c r="AE83" s="567"/>
      <c r="AF83" s="567"/>
      <c r="AG83" s="297"/>
      <c r="AH83" s="297"/>
      <c r="AI83" s="297"/>
      <c r="AJ83" s="297"/>
      <c r="AK83" s="297"/>
    </row>
    <row r="84" spans="1:37" customFormat="1" ht="15" customHeight="1">
      <c r="A84" s="567" t="s">
        <v>601</v>
      </c>
      <c r="B84" s="567"/>
      <c r="C84" s="567"/>
      <c r="D84" s="567"/>
      <c r="E84" s="567"/>
      <c r="F84" s="567"/>
      <c r="G84" s="567"/>
      <c r="H84" s="567"/>
      <c r="I84" s="567"/>
      <c r="J84" s="567"/>
      <c r="K84" s="567"/>
      <c r="L84" s="567"/>
      <c r="M84" s="567"/>
      <c r="N84" s="567"/>
      <c r="O84" s="567"/>
      <c r="P84" s="567"/>
      <c r="Q84" s="567"/>
      <c r="R84" s="567"/>
      <c r="S84" s="567"/>
      <c r="T84" s="567"/>
      <c r="U84" s="567"/>
      <c r="V84" s="567"/>
      <c r="W84" s="567"/>
      <c r="X84" s="567"/>
      <c r="Y84" s="567"/>
      <c r="Z84" s="567"/>
      <c r="AA84" s="567"/>
      <c r="AB84" s="567"/>
      <c r="AC84" s="567"/>
      <c r="AD84" s="567"/>
      <c r="AE84" s="567"/>
      <c r="AF84" s="567"/>
      <c r="AG84" s="297"/>
      <c r="AH84" s="297"/>
      <c r="AI84" s="297"/>
      <c r="AJ84" s="297"/>
      <c r="AK84" s="297"/>
    </row>
    <row r="85" spans="1:37" customFormat="1" ht="15" customHeight="1">
      <c r="A85" s="567" t="s">
        <v>602</v>
      </c>
      <c r="B85" s="567"/>
      <c r="C85" s="567"/>
      <c r="D85" s="567"/>
      <c r="E85" s="567"/>
      <c r="F85" s="567"/>
      <c r="G85" s="567"/>
      <c r="H85" s="567"/>
      <c r="I85" s="567"/>
      <c r="J85" s="567"/>
      <c r="K85" s="567"/>
      <c r="L85" s="567"/>
      <c r="M85" s="567"/>
      <c r="N85" s="567"/>
      <c r="O85" s="567"/>
      <c r="P85" s="567"/>
      <c r="Q85" s="567"/>
      <c r="R85" s="567"/>
      <c r="S85" s="567"/>
      <c r="T85" s="567"/>
      <c r="U85" s="567"/>
      <c r="V85" s="567"/>
      <c r="W85" s="567"/>
      <c r="X85" s="567"/>
      <c r="Y85" s="567"/>
      <c r="Z85" s="567"/>
      <c r="AA85" s="567"/>
      <c r="AB85" s="567"/>
      <c r="AC85" s="567"/>
      <c r="AD85" s="567"/>
      <c r="AE85" s="567"/>
      <c r="AF85" s="567"/>
      <c r="AG85" s="297"/>
      <c r="AH85" s="297"/>
      <c r="AI85" s="297"/>
      <c r="AJ85" s="297"/>
      <c r="AK85" s="297"/>
    </row>
    <row r="86" spans="1:37" customFormat="1" ht="15" customHeight="1">
      <c r="A86" s="567" t="s">
        <v>603</v>
      </c>
      <c r="B86" s="567"/>
      <c r="C86" s="567"/>
      <c r="D86" s="567"/>
      <c r="E86" s="567"/>
      <c r="F86" s="567"/>
      <c r="G86" s="567"/>
      <c r="H86" s="567"/>
      <c r="I86" s="567"/>
      <c r="J86" s="567"/>
      <c r="K86" s="567"/>
      <c r="L86" s="567"/>
      <c r="M86" s="567"/>
      <c r="N86" s="567"/>
      <c r="O86" s="567"/>
      <c r="P86" s="567"/>
      <c r="Q86" s="567"/>
      <c r="R86" s="567"/>
      <c r="S86" s="567"/>
      <c r="T86" s="567"/>
      <c r="U86" s="567"/>
      <c r="V86" s="567"/>
      <c r="W86" s="567"/>
      <c r="X86" s="567"/>
      <c r="Y86" s="567"/>
      <c r="Z86" s="567"/>
      <c r="AA86" s="567"/>
      <c r="AB86" s="567"/>
      <c r="AC86" s="567"/>
      <c r="AD86" s="567"/>
      <c r="AE86" s="567"/>
      <c r="AF86" s="567"/>
      <c r="AG86" s="297"/>
      <c r="AH86" s="297"/>
      <c r="AI86" s="297"/>
      <c r="AJ86" s="297"/>
      <c r="AK86" s="297"/>
    </row>
    <row r="87" spans="1:37" customFormat="1" ht="15" customHeight="1">
      <c r="A87" s="567" t="s">
        <v>604</v>
      </c>
      <c r="B87" s="567"/>
      <c r="C87" s="567"/>
      <c r="D87" s="567"/>
      <c r="E87" s="567"/>
      <c r="F87" s="567"/>
      <c r="G87" s="567"/>
      <c r="H87" s="567"/>
      <c r="I87" s="567"/>
      <c r="J87" s="567"/>
      <c r="K87" s="567"/>
      <c r="L87" s="567"/>
      <c r="M87" s="567"/>
      <c r="N87" s="567"/>
      <c r="O87" s="567"/>
      <c r="P87" s="567"/>
      <c r="Q87" s="567"/>
      <c r="R87" s="567"/>
      <c r="S87" s="567"/>
      <c r="T87" s="567"/>
      <c r="U87" s="567"/>
      <c r="V87" s="567"/>
      <c r="W87" s="567"/>
      <c r="X87" s="567"/>
      <c r="Y87" s="567"/>
      <c r="Z87" s="567"/>
      <c r="AA87" s="567"/>
      <c r="AB87" s="567"/>
      <c r="AC87" s="567"/>
      <c r="AD87" s="567"/>
      <c r="AE87" s="567"/>
      <c r="AF87" s="567"/>
      <c r="AG87" s="297"/>
      <c r="AH87" s="297"/>
      <c r="AI87" s="297"/>
      <c r="AJ87" s="297"/>
      <c r="AK87" s="297"/>
    </row>
    <row r="88" spans="1:37" customFormat="1" ht="15" customHeight="1">
      <c r="A88" s="567" t="s">
        <v>605</v>
      </c>
      <c r="B88" s="567"/>
      <c r="C88" s="567"/>
      <c r="D88" s="567"/>
      <c r="E88" s="567"/>
      <c r="F88" s="567"/>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c r="AG88" s="297"/>
      <c r="AH88" s="297"/>
      <c r="AI88" s="297"/>
      <c r="AJ88" s="297"/>
      <c r="AK88" s="297"/>
    </row>
    <row r="89" spans="1:37" customFormat="1" ht="15" customHeight="1">
      <c r="A89" s="567" t="s">
        <v>606</v>
      </c>
      <c r="B89" s="567"/>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297"/>
      <c r="AH89" s="297"/>
      <c r="AI89" s="297"/>
      <c r="AJ89" s="297"/>
      <c r="AK89" s="297"/>
    </row>
    <row r="90" spans="1:37" customFormat="1" ht="15" customHeight="1">
      <c r="A90" s="567" t="s">
        <v>607</v>
      </c>
      <c r="B90" s="567"/>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297"/>
      <c r="AH90" s="297"/>
      <c r="AI90" s="297"/>
      <c r="AJ90" s="297"/>
      <c r="AK90" s="297"/>
    </row>
    <row r="91" spans="1:37" customFormat="1" ht="15" customHeight="1">
      <c r="A91" s="567" t="s">
        <v>608</v>
      </c>
      <c r="B91" s="567"/>
      <c r="C91" s="567"/>
      <c r="D91" s="567"/>
      <c r="E91" s="567"/>
      <c r="F91" s="567"/>
      <c r="G91" s="567"/>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c r="AG91" s="297"/>
      <c r="AH91" s="297"/>
      <c r="AI91" s="297"/>
      <c r="AJ91" s="297"/>
      <c r="AK91" s="297"/>
    </row>
    <row r="92" spans="1:37" customFormat="1" ht="15" customHeight="1">
      <c r="A92" s="567" t="s">
        <v>609</v>
      </c>
      <c r="B92" s="567"/>
      <c r="C92" s="567"/>
      <c r="D92" s="567"/>
      <c r="E92" s="567"/>
      <c r="F92" s="567"/>
      <c r="G92" s="567"/>
      <c r="H92" s="567"/>
      <c r="I92" s="567"/>
      <c r="J92" s="567"/>
      <c r="K92" s="567"/>
      <c r="L92" s="567"/>
      <c r="M92" s="567"/>
      <c r="N92" s="567"/>
      <c r="O92" s="567"/>
      <c r="P92" s="567"/>
      <c r="Q92" s="567"/>
      <c r="R92" s="567"/>
      <c r="S92" s="567"/>
      <c r="T92" s="567"/>
      <c r="U92" s="567"/>
      <c r="V92" s="567"/>
      <c r="W92" s="567"/>
      <c r="X92" s="567"/>
      <c r="Y92" s="567"/>
      <c r="Z92" s="567"/>
      <c r="AA92" s="567"/>
      <c r="AB92" s="567"/>
      <c r="AC92" s="567"/>
      <c r="AD92" s="567"/>
      <c r="AE92" s="567"/>
      <c r="AF92" s="567"/>
      <c r="AG92" s="297"/>
      <c r="AH92" s="297"/>
      <c r="AI92" s="297"/>
      <c r="AJ92" s="297"/>
      <c r="AK92" s="297"/>
    </row>
    <row r="93" spans="1:37" customFormat="1" ht="15" customHeight="1">
      <c r="A93" s="567" t="s">
        <v>610</v>
      </c>
      <c r="B93" s="567"/>
      <c r="C93" s="567"/>
      <c r="D93" s="567"/>
      <c r="E93" s="567"/>
      <c r="F93" s="567"/>
      <c r="G93" s="567"/>
      <c r="H93" s="567"/>
      <c r="I93" s="567"/>
      <c r="J93" s="567"/>
      <c r="K93" s="567"/>
      <c r="L93" s="567"/>
      <c r="M93" s="567"/>
      <c r="N93" s="567"/>
      <c r="O93" s="567"/>
      <c r="P93" s="567"/>
      <c r="Q93" s="567"/>
      <c r="R93" s="567"/>
      <c r="S93" s="567"/>
      <c r="T93" s="567"/>
      <c r="U93" s="567"/>
      <c r="V93" s="567"/>
      <c r="W93" s="567"/>
      <c r="X93" s="567"/>
      <c r="Y93" s="567"/>
      <c r="Z93" s="567"/>
      <c r="AA93" s="567"/>
      <c r="AB93" s="567"/>
      <c r="AC93" s="567"/>
      <c r="AD93" s="567"/>
      <c r="AE93" s="567"/>
      <c r="AF93" s="567"/>
      <c r="AG93" s="297"/>
      <c r="AH93" s="297"/>
      <c r="AI93" s="297"/>
      <c r="AJ93" s="297"/>
      <c r="AK93" s="297"/>
    </row>
    <row r="94" spans="1:37" customFormat="1" ht="15" customHeight="1">
      <c r="A94" s="567" t="s">
        <v>611</v>
      </c>
      <c r="B94" s="567"/>
      <c r="C94" s="567"/>
      <c r="D94" s="567"/>
      <c r="E94" s="567"/>
      <c r="F94" s="567"/>
      <c r="G94" s="567"/>
      <c r="H94" s="567"/>
      <c r="I94" s="567"/>
      <c r="J94" s="567"/>
      <c r="K94" s="567"/>
      <c r="L94" s="567"/>
      <c r="M94" s="567"/>
      <c r="N94" s="567"/>
      <c r="O94" s="567"/>
      <c r="P94" s="567"/>
      <c r="Q94" s="567"/>
      <c r="R94" s="567"/>
      <c r="S94" s="567"/>
      <c r="T94" s="567"/>
      <c r="U94" s="567"/>
      <c r="V94" s="567"/>
      <c r="W94" s="567"/>
      <c r="X94" s="567"/>
      <c r="Y94" s="567"/>
      <c r="Z94" s="567"/>
      <c r="AA94" s="567"/>
      <c r="AB94" s="567"/>
      <c r="AC94" s="567"/>
      <c r="AD94" s="567"/>
      <c r="AE94" s="567"/>
      <c r="AF94" s="567"/>
      <c r="AG94" s="297"/>
      <c r="AH94" s="297"/>
      <c r="AI94" s="297"/>
      <c r="AJ94" s="297"/>
      <c r="AK94" s="297"/>
    </row>
    <row r="95" spans="1:37" customFormat="1" ht="15" customHeight="1">
      <c r="A95" s="567" t="s">
        <v>612</v>
      </c>
      <c r="B95" s="567"/>
      <c r="C95" s="567"/>
      <c r="D95" s="567"/>
      <c r="E95" s="567"/>
      <c r="F95" s="567"/>
      <c r="G95" s="567"/>
      <c r="H95" s="567"/>
      <c r="I95" s="567"/>
      <c r="J95" s="567"/>
      <c r="K95" s="567"/>
      <c r="L95" s="567"/>
      <c r="M95" s="567"/>
      <c r="N95" s="567"/>
      <c r="O95" s="567"/>
      <c r="P95" s="567"/>
      <c r="Q95" s="567"/>
      <c r="R95" s="567"/>
      <c r="S95" s="567"/>
      <c r="T95" s="567"/>
      <c r="U95" s="567"/>
      <c r="V95" s="567"/>
      <c r="W95" s="567"/>
      <c r="X95" s="567"/>
      <c r="Y95" s="567"/>
      <c r="Z95" s="567"/>
      <c r="AA95" s="567"/>
      <c r="AB95" s="567"/>
      <c r="AC95" s="567"/>
      <c r="AD95" s="567"/>
      <c r="AE95" s="567"/>
      <c r="AF95" s="567"/>
      <c r="AG95" s="297"/>
      <c r="AH95" s="297"/>
      <c r="AI95" s="297"/>
      <c r="AJ95" s="297"/>
      <c r="AK95" s="297"/>
    </row>
    <row r="96" spans="1:37" customFormat="1" ht="15" customHeight="1">
      <c r="A96" s="567" t="s">
        <v>613</v>
      </c>
      <c r="B96" s="567"/>
      <c r="C96" s="567"/>
      <c r="D96" s="567"/>
      <c r="E96" s="567"/>
      <c r="F96" s="567"/>
      <c r="G96" s="567"/>
      <c r="H96" s="567"/>
      <c r="I96" s="567"/>
      <c r="J96" s="567"/>
      <c r="K96" s="567"/>
      <c r="L96" s="567"/>
      <c r="M96" s="567"/>
      <c r="N96" s="567"/>
      <c r="O96" s="567"/>
      <c r="P96" s="567"/>
      <c r="Q96" s="567"/>
      <c r="R96" s="567"/>
      <c r="S96" s="567"/>
      <c r="T96" s="567"/>
      <c r="U96" s="567"/>
      <c r="V96" s="567"/>
      <c r="W96" s="567"/>
      <c r="X96" s="567"/>
      <c r="Y96" s="567"/>
      <c r="Z96" s="567"/>
      <c r="AA96" s="567"/>
      <c r="AB96" s="567"/>
      <c r="AC96" s="567"/>
      <c r="AD96" s="567"/>
      <c r="AE96" s="567"/>
      <c r="AF96" s="567"/>
      <c r="AG96" s="297"/>
      <c r="AH96" s="297"/>
      <c r="AI96" s="297"/>
      <c r="AJ96" s="297"/>
      <c r="AK96" s="297"/>
    </row>
    <row r="97" spans="1:37" customFormat="1" ht="15" customHeight="1">
      <c r="A97" s="567" t="s">
        <v>614</v>
      </c>
      <c r="B97" s="567"/>
      <c r="C97" s="567"/>
      <c r="D97" s="567"/>
      <c r="E97" s="567"/>
      <c r="F97" s="567"/>
      <c r="G97" s="567"/>
      <c r="H97" s="567"/>
      <c r="I97" s="567"/>
      <c r="J97" s="567"/>
      <c r="K97" s="567"/>
      <c r="L97" s="567"/>
      <c r="M97" s="567"/>
      <c r="N97" s="567"/>
      <c r="O97" s="567"/>
      <c r="P97" s="567"/>
      <c r="Q97" s="567"/>
      <c r="R97" s="567"/>
      <c r="S97" s="567"/>
      <c r="T97" s="567"/>
      <c r="U97" s="567"/>
      <c r="V97" s="567"/>
      <c r="W97" s="567"/>
      <c r="X97" s="567"/>
      <c r="Y97" s="567"/>
      <c r="Z97" s="567"/>
      <c r="AA97" s="567"/>
      <c r="AB97" s="567"/>
      <c r="AC97" s="567"/>
      <c r="AD97" s="567"/>
      <c r="AE97" s="567"/>
      <c r="AF97" s="567"/>
      <c r="AG97" s="297"/>
      <c r="AH97" s="297"/>
      <c r="AI97" s="297"/>
      <c r="AJ97" s="297"/>
      <c r="AK97" s="297"/>
    </row>
    <row r="98" spans="1:37" customFormat="1" ht="15" customHeight="1">
      <c r="A98" s="567" t="s">
        <v>615</v>
      </c>
      <c r="B98" s="567"/>
      <c r="C98" s="567"/>
      <c r="D98" s="567"/>
      <c r="E98" s="567"/>
      <c r="F98" s="567"/>
      <c r="G98" s="567"/>
      <c r="H98" s="567"/>
      <c r="I98" s="567"/>
      <c r="J98" s="567"/>
      <c r="K98" s="567"/>
      <c r="L98" s="567"/>
      <c r="M98" s="567"/>
      <c r="N98" s="567"/>
      <c r="O98" s="567"/>
      <c r="P98" s="567"/>
      <c r="Q98" s="567"/>
      <c r="R98" s="567"/>
      <c r="S98" s="567"/>
      <c r="T98" s="567"/>
      <c r="U98" s="567"/>
      <c r="V98" s="567"/>
      <c r="W98" s="567"/>
      <c r="X98" s="567"/>
      <c r="Y98" s="567"/>
      <c r="Z98" s="567"/>
      <c r="AA98" s="567"/>
      <c r="AB98" s="567"/>
      <c r="AC98" s="567"/>
      <c r="AD98" s="567"/>
      <c r="AE98" s="567"/>
      <c r="AF98" s="567"/>
      <c r="AG98" s="297"/>
      <c r="AH98" s="297"/>
      <c r="AI98" s="297"/>
      <c r="AJ98" s="297"/>
      <c r="AK98" s="297"/>
    </row>
    <row r="99" spans="1:37" customFormat="1" ht="15" customHeight="1">
      <c r="A99" s="567" t="s">
        <v>616</v>
      </c>
      <c r="B99" s="567"/>
      <c r="C99" s="567"/>
      <c r="D99" s="567"/>
      <c r="E99" s="567"/>
      <c r="F99" s="567"/>
      <c r="G99" s="567"/>
      <c r="H99" s="567"/>
      <c r="I99" s="567"/>
      <c r="J99" s="567"/>
      <c r="K99" s="567"/>
      <c r="L99" s="567"/>
      <c r="M99" s="567"/>
      <c r="N99" s="567"/>
      <c r="O99" s="567"/>
      <c r="P99" s="567"/>
      <c r="Q99" s="567"/>
      <c r="R99" s="567"/>
      <c r="S99" s="567"/>
      <c r="T99" s="567"/>
      <c r="U99" s="567"/>
      <c r="V99" s="567"/>
      <c r="W99" s="567"/>
      <c r="X99" s="567"/>
      <c r="Y99" s="567"/>
      <c r="Z99" s="567"/>
      <c r="AA99" s="567"/>
      <c r="AB99" s="567"/>
      <c r="AC99" s="567"/>
      <c r="AD99" s="567"/>
      <c r="AE99" s="567"/>
      <c r="AF99" s="567"/>
      <c r="AG99" s="297"/>
      <c r="AH99" s="297"/>
      <c r="AI99" s="297"/>
      <c r="AJ99" s="297"/>
      <c r="AK99" s="297"/>
    </row>
    <row r="100" spans="1:37" customFormat="1" ht="15" customHeight="1">
      <c r="A100" s="567" t="s">
        <v>617</v>
      </c>
      <c r="B100" s="567"/>
      <c r="C100" s="567"/>
      <c r="D100" s="567"/>
      <c r="E100" s="567"/>
      <c r="F100" s="567"/>
      <c r="G100" s="567"/>
      <c r="H100" s="567"/>
      <c r="I100" s="567"/>
      <c r="J100" s="567"/>
      <c r="K100" s="567"/>
      <c r="L100" s="567"/>
      <c r="M100" s="567"/>
      <c r="N100" s="567"/>
      <c r="O100" s="567"/>
      <c r="P100" s="567"/>
      <c r="Q100" s="567"/>
      <c r="R100" s="567"/>
      <c r="S100" s="567"/>
      <c r="T100" s="567"/>
      <c r="U100" s="567"/>
      <c r="V100" s="567"/>
      <c r="W100" s="567"/>
      <c r="X100" s="567"/>
      <c r="Y100" s="567"/>
      <c r="Z100" s="567"/>
      <c r="AA100" s="567"/>
      <c r="AB100" s="567"/>
      <c r="AC100" s="567"/>
      <c r="AD100" s="567"/>
      <c r="AE100" s="567"/>
      <c r="AF100" s="567"/>
      <c r="AG100" s="297"/>
      <c r="AH100" s="297"/>
      <c r="AI100" s="297"/>
      <c r="AJ100" s="297"/>
      <c r="AK100" s="297"/>
    </row>
    <row r="101" spans="1:37" customFormat="1" ht="15" customHeight="1">
      <c r="A101" s="567" t="s">
        <v>618</v>
      </c>
      <c r="B101" s="567"/>
      <c r="C101" s="567"/>
      <c r="D101" s="567"/>
      <c r="E101" s="567"/>
      <c r="F101" s="567"/>
      <c r="G101" s="567"/>
      <c r="H101" s="567"/>
      <c r="I101" s="567"/>
      <c r="J101" s="567"/>
      <c r="K101" s="567"/>
      <c r="L101" s="567"/>
      <c r="M101" s="567"/>
      <c r="N101" s="567"/>
      <c r="O101" s="567"/>
      <c r="P101" s="567"/>
      <c r="Q101" s="567"/>
      <c r="R101" s="567"/>
      <c r="S101" s="567"/>
      <c r="T101" s="567"/>
      <c r="U101" s="567"/>
      <c r="V101" s="567"/>
      <c r="W101" s="567"/>
      <c r="X101" s="567"/>
      <c r="Y101" s="567"/>
      <c r="Z101" s="567"/>
      <c r="AA101" s="567"/>
      <c r="AB101" s="567"/>
      <c r="AC101" s="567"/>
      <c r="AD101" s="567"/>
      <c r="AE101" s="567"/>
      <c r="AF101" s="567"/>
      <c r="AG101" s="297"/>
      <c r="AH101" s="297"/>
      <c r="AI101" s="297"/>
      <c r="AJ101" s="297"/>
      <c r="AK101" s="297"/>
    </row>
    <row r="102" spans="1:37" customFormat="1" ht="15" customHeight="1">
      <c r="A102" s="567" t="s">
        <v>619</v>
      </c>
      <c r="B102" s="567"/>
      <c r="C102" s="567"/>
      <c r="D102" s="567"/>
      <c r="E102" s="567"/>
      <c r="F102" s="567"/>
      <c r="G102" s="567"/>
      <c r="H102" s="567"/>
      <c r="I102" s="567"/>
      <c r="J102" s="567"/>
      <c r="K102" s="567"/>
      <c r="L102" s="567"/>
      <c r="M102" s="567"/>
      <c r="N102" s="567"/>
      <c r="O102" s="567"/>
      <c r="P102" s="567"/>
      <c r="Q102" s="567"/>
      <c r="R102" s="567"/>
      <c r="S102" s="567"/>
      <c r="T102" s="567"/>
      <c r="U102" s="567"/>
      <c r="V102" s="567"/>
      <c r="W102" s="567"/>
      <c r="X102" s="567"/>
      <c r="Y102" s="567"/>
      <c r="Z102" s="567"/>
      <c r="AA102" s="567"/>
      <c r="AB102" s="567"/>
      <c r="AC102" s="567"/>
      <c r="AD102" s="567"/>
      <c r="AE102" s="567"/>
      <c r="AF102" s="567"/>
      <c r="AG102" s="297"/>
      <c r="AH102" s="297"/>
      <c r="AI102" s="297"/>
      <c r="AJ102" s="297"/>
      <c r="AK102" s="297"/>
    </row>
    <row r="103" spans="1:37" customFormat="1" ht="15" customHeight="1">
      <c r="A103" s="567" t="s">
        <v>620</v>
      </c>
      <c r="B103" s="567"/>
      <c r="C103" s="567"/>
      <c r="D103" s="567"/>
      <c r="E103" s="567"/>
      <c r="F103" s="567"/>
      <c r="G103" s="567"/>
      <c r="H103" s="567"/>
      <c r="I103" s="567"/>
      <c r="J103" s="567"/>
      <c r="K103" s="567"/>
      <c r="L103" s="567"/>
      <c r="M103" s="567"/>
      <c r="N103" s="567"/>
      <c r="O103" s="567"/>
      <c r="P103" s="567"/>
      <c r="Q103" s="567"/>
      <c r="R103" s="567"/>
      <c r="S103" s="567"/>
      <c r="T103" s="567"/>
      <c r="U103" s="567"/>
      <c r="V103" s="567"/>
      <c r="W103" s="567"/>
      <c r="X103" s="567"/>
      <c r="Y103" s="567"/>
      <c r="Z103" s="567"/>
      <c r="AA103" s="567"/>
      <c r="AB103" s="567"/>
      <c r="AC103" s="567"/>
      <c r="AD103" s="567"/>
      <c r="AE103" s="567"/>
      <c r="AF103" s="567"/>
      <c r="AG103" s="297"/>
      <c r="AH103" s="297"/>
      <c r="AI103" s="297"/>
      <c r="AJ103" s="297"/>
      <c r="AK103" s="297"/>
    </row>
    <row r="104" spans="1:37" customFormat="1" ht="15" customHeight="1">
      <c r="A104" s="567" t="s">
        <v>621</v>
      </c>
      <c r="B104" s="567"/>
      <c r="C104" s="567"/>
      <c r="D104" s="567"/>
      <c r="E104" s="567"/>
      <c r="F104" s="567"/>
      <c r="G104" s="567"/>
      <c r="H104" s="567"/>
      <c r="I104" s="567"/>
      <c r="J104" s="567"/>
      <c r="K104" s="567"/>
      <c r="L104" s="567"/>
      <c r="M104" s="567"/>
      <c r="N104" s="567"/>
      <c r="O104" s="567"/>
      <c r="P104" s="567"/>
      <c r="Q104" s="567"/>
      <c r="R104" s="567"/>
      <c r="S104" s="567"/>
      <c r="T104" s="567"/>
      <c r="U104" s="567"/>
      <c r="V104" s="567"/>
      <c r="W104" s="567"/>
      <c r="X104" s="567"/>
      <c r="Y104" s="567"/>
      <c r="Z104" s="567"/>
      <c r="AA104" s="567"/>
      <c r="AB104" s="567"/>
      <c r="AC104" s="567"/>
      <c r="AD104" s="567"/>
      <c r="AE104" s="567"/>
      <c r="AF104" s="567"/>
      <c r="AG104" s="297"/>
      <c r="AH104" s="297"/>
      <c r="AI104" s="297"/>
      <c r="AJ104" s="297"/>
      <c r="AK104" s="297"/>
    </row>
    <row r="105" spans="1:37" customFormat="1" ht="15" customHeight="1">
      <c r="A105" s="567" t="s">
        <v>622</v>
      </c>
      <c r="B105" s="567"/>
      <c r="C105" s="567"/>
      <c r="D105" s="567"/>
      <c r="E105" s="567"/>
      <c r="F105" s="567"/>
      <c r="G105" s="567"/>
      <c r="H105" s="567"/>
      <c r="I105" s="567"/>
      <c r="J105" s="567"/>
      <c r="K105" s="567"/>
      <c r="L105" s="567"/>
      <c r="M105" s="567"/>
      <c r="N105" s="567"/>
      <c r="O105" s="567"/>
      <c r="P105" s="567"/>
      <c r="Q105" s="567"/>
      <c r="R105" s="567"/>
      <c r="S105" s="567"/>
      <c r="T105" s="567"/>
      <c r="U105" s="567"/>
      <c r="V105" s="567"/>
      <c r="W105" s="567"/>
      <c r="X105" s="567"/>
      <c r="Y105" s="567"/>
      <c r="Z105" s="567"/>
      <c r="AA105" s="567"/>
      <c r="AB105" s="567"/>
      <c r="AC105" s="567"/>
      <c r="AD105" s="567"/>
      <c r="AE105" s="567"/>
      <c r="AF105" s="567"/>
      <c r="AG105" s="297"/>
      <c r="AH105" s="297"/>
      <c r="AI105" s="297"/>
      <c r="AJ105" s="297"/>
      <c r="AK105" s="297"/>
    </row>
    <row r="106" spans="1:37" customFormat="1" ht="15" customHeight="1">
      <c r="A106" s="567" t="s">
        <v>623</v>
      </c>
      <c r="B106" s="567"/>
      <c r="C106" s="567"/>
      <c r="D106" s="567"/>
      <c r="E106" s="567"/>
      <c r="F106" s="567"/>
      <c r="G106" s="567"/>
      <c r="H106" s="567"/>
      <c r="I106" s="567"/>
      <c r="J106" s="567"/>
      <c r="K106" s="567"/>
      <c r="L106" s="567"/>
      <c r="M106" s="567"/>
      <c r="N106" s="567"/>
      <c r="O106" s="567"/>
      <c r="P106" s="567"/>
      <c r="Q106" s="567"/>
      <c r="R106" s="567"/>
      <c r="S106" s="567"/>
      <c r="T106" s="567"/>
      <c r="U106" s="567"/>
      <c r="V106" s="567"/>
      <c r="W106" s="567"/>
      <c r="X106" s="567"/>
      <c r="Y106" s="567"/>
      <c r="Z106" s="567"/>
      <c r="AA106" s="567"/>
      <c r="AB106" s="567"/>
      <c r="AC106" s="567"/>
      <c r="AD106" s="567"/>
      <c r="AE106" s="567"/>
      <c r="AF106" s="567"/>
      <c r="AG106" s="297"/>
      <c r="AH106" s="297"/>
      <c r="AI106" s="297"/>
      <c r="AJ106" s="297"/>
      <c r="AK106" s="297"/>
    </row>
    <row r="107" spans="1:37" customFormat="1" ht="15" customHeight="1">
      <c r="A107" s="567" t="s">
        <v>624</v>
      </c>
      <c r="B107" s="567"/>
      <c r="C107" s="567"/>
      <c r="D107" s="567"/>
      <c r="E107" s="567"/>
      <c r="F107" s="567"/>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297"/>
      <c r="AH107" s="297"/>
      <c r="AI107" s="297"/>
      <c r="AJ107" s="297"/>
      <c r="AK107" s="297"/>
    </row>
    <row r="108" spans="1:37" customFormat="1" ht="15" customHeight="1">
      <c r="A108" s="567" t="s">
        <v>625</v>
      </c>
      <c r="B108" s="567"/>
      <c r="C108" s="567"/>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297"/>
      <c r="AH108" s="297"/>
      <c r="AI108" s="297"/>
      <c r="AJ108" s="297"/>
      <c r="AK108" s="297"/>
    </row>
    <row r="109" spans="1:37" customFormat="1" ht="15" customHeight="1">
      <c r="A109" s="567" t="s">
        <v>626</v>
      </c>
      <c r="B109" s="567"/>
      <c r="C109" s="567"/>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67"/>
      <c r="AD109" s="567"/>
      <c r="AE109" s="567"/>
      <c r="AF109" s="567"/>
      <c r="AG109" s="297"/>
      <c r="AH109" s="297"/>
      <c r="AI109" s="297"/>
      <c r="AJ109" s="297"/>
      <c r="AK109" s="297"/>
    </row>
  </sheetData>
  <mergeCells count="32">
    <mergeCell ref="A109:AF109"/>
    <mergeCell ref="A102:AF102"/>
    <mergeCell ref="A103:AF103"/>
    <mergeCell ref="A104:AF104"/>
    <mergeCell ref="A105:AF105"/>
    <mergeCell ref="A106:AF106"/>
    <mergeCell ref="A107:AF107"/>
    <mergeCell ref="A98:AF98"/>
    <mergeCell ref="A99:AF99"/>
    <mergeCell ref="A100:AF100"/>
    <mergeCell ref="A101:AF101"/>
    <mergeCell ref="A108:AF108"/>
    <mergeCell ref="A93:AF93"/>
    <mergeCell ref="A94:AF94"/>
    <mergeCell ref="A95:AF95"/>
    <mergeCell ref="A96:AF96"/>
    <mergeCell ref="A97:AF97"/>
    <mergeCell ref="A88:AF88"/>
    <mergeCell ref="A89:AF89"/>
    <mergeCell ref="A90:AF90"/>
    <mergeCell ref="A91:AF91"/>
    <mergeCell ref="A92:AF92"/>
    <mergeCell ref="A83:AF83"/>
    <mergeCell ref="A84:AF84"/>
    <mergeCell ref="A85:AF85"/>
    <mergeCell ref="A86:AF86"/>
    <mergeCell ref="A87:AF87"/>
    <mergeCell ref="A78:AF78"/>
    <mergeCell ref="A79:AF79"/>
    <mergeCell ref="A80:AF80"/>
    <mergeCell ref="A81:AF81"/>
    <mergeCell ref="A82:AF82"/>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528</v>
      </c>
    </row>
    <row r="4" spans="1:2">
      <c r="A4" t="s">
        <v>551</v>
      </c>
    </row>
    <row r="5" spans="1:2">
      <c r="B5" t="s">
        <v>527</v>
      </c>
    </row>
    <row r="7" spans="1:2">
      <c r="A7" t="s">
        <v>715</v>
      </c>
    </row>
    <row r="9" spans="1:2">
      <c r="A9" t="s">
        <v>526</v>
      </c>
    </row>
    <row r="10" spans="1:2">
      <c r="B10" t="s">
        <v>520</v>
      </c>
    </row>
    <row r="12" spans="1:2">
      <c r="A12" t="s">
        <v>709</v>
      </c>
    </row>
    <row r="14" spans="1:2">
      <c r="A14" t="s">
        <v>519</v>
      </c>
    </row>
    <row r="15" spans="1:2">
      <c r="B15" t="s">
        <v>521</v>
      </c>
    </row>
    <row r="17" spans="1:1">
      <c r="A17" t="s">
        <v>524</v>
      </c>
    </row>
    <row r="19" spans="1:1">
      <c r="A19" t="s">
        <v>525</v>
      </c>
    </row>
    <row r="21" spans="1:1">
      <c r="A21" t="s">
        <v>550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15"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27" customWidth="1"/>
    <col min="6" max="6" width="17" style="327" customWidth="1"/>
    <col min="7" max="7" width="15.5" style="327" customWidth="1"/>
    <col min="8" max="8" width="16.1640625" style="399"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0" customWidth="1"/>
    <col min="35" max="35" width="20.6640625" bestFit="1" customWidth="1"/>
    <col min="36" max="36" width="15.33203125" bestFit="1" customWidth="1"/>
    <col min="37" max="37" width="13.33203125" bestFit="1" customWidth="1"/>
    <col min="38" max="38" width="13.83203125" customWidth="1"/>
  </cols>
  <sheetData>
    <row r="1" spans="1:38" hidden="1">
      <c r="A1" s="537"/>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row>
    <row r="2" spans="1:38" hidden="1">
      <c r="A2" s="537"/>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row>
    <row r="3" spans="1:38" hidden="1">
      <c r="A3" s="537"/>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row>
    <row r="4" spans="1:38" hidden="1">
      <c r="A4" s="537"/>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row>
    <row r="5" spans="1:38" hidden="1">
      <c r="A5" s="537"/>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row>
    <row r="6" spans="1:38" hidden="1">
      <c r="A6" s="537"/>
      <c r="B6" s="537"/>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row>
    <row r="7" spans="1:38" ht="23.25" hidden="1" customHeight="1">
      <c r="A7" s="537"/>
      <c r="B7" s="537"/>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537"/>
      <c r="AK7" s="537"/>
      <c r="AL7" s="537"/>
    </row>
    <row r="8" spans="1:38" s="159" customFormat="1" ht="15.75" hidden="1" customHeight="1">
      <c r="A8" s="537"/>
      <c r="B8" s="537"/>
      <c r="C8" s="537"/>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7"/>
      <c r="AK8" s="537"/>
      <c r="AL8" s="537"/>
    </row>
    <row r="9" spans="1:38" ht="21" hidden="1" customHeight="1">
      <c r="A9" s="537"/>
      <c r="B9" s="537"/>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row>
    <row r="10" spans="1:38">
      <c r="A10" t="s">
        <v>188</v>
      </c>
      <c r="B10" s="33" t="s">
        <v>127</v>
      </c>
      <c r="Y10" s="20"/>
      <c r="Z10" s="20"/>
      <c r="AA10" s="20"/>
      <c r="AB10" s="20"/>
      <c r="AC10" s="20"/>
      <c r="AD10" s="20"/>
      <c r="AE10" s="20"/>
      <c r="AF10" s="20"/>
      <c r="AG10" s="20"/>
      <c r="AH10" s="279"/>
    </row>
    <row r="11" spans="1:38" s="1" customFormat="1">
      <c r="B11" s="13"/>
      <c r="C11" s="328">
        <v>2009</v>
      </c>
      <c r="D11" s="328">
        <v>2010</v>
      </c>
      <c r="E11" s="328">
        <v>2011</v>
      </c>
      <c r="F11" s="328">
        <v>2012</v>
      </c>
      <c r="G11" s="328">
        <v>2013</v>
      </c>
      <c r="H11" s="400">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8"/>
      <c r="D12" s="328"/>
      <c r="E12" s="328"/>
      <c r="F12" s="328"/>
      <c r="G12" s="328"/>
      <c r="H12" s="400"/>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9"/>
    </row>
    <row r="13" spans="1:38" s="20" customFormat="1">
      <c r="A13" s="20" t="s">
        <v>130</v>
      </c>
      <c r="B13" s="33"/>
      <c r="C13" s="330">
        <f>EIA_electricity_aeo2014!E58*1000</f>
        <v>7696.0000000000009</v>
      </c>
      <c r="D13" s="330">
        <f>EIA_electricity_aeo2014!F58*1000</f>
        <v>7739</v>
      </c>
      <c r="E13" s="330">
        <f>EIA_electricity_aeo2014!G58*1000</f>
        <v>8022.0592976381258</v>
      </c>
      <c r="F13" s="330">
        <f>EIA_electricity_aeo2014!H58*1000</f>
        <v>7886.2900050506896</v>
      </c>
      <c r="G13" s="330">
        <f>EIA_electricity_aeo2014!I58*1000</f>
        <v>7682.31813785948</v>
      </c>
      <c r="H13" s="286">
        <f>EIA_electricity_aeo2014!J58*1000</f>
        <v>7980.2639436510108</v>
      </c>
      <c r="I13" s="83">
        <f>EIA_electricity_aeo2014!K58*1000</f>
        <v>8190.7053026668418</v>
      </c>
      <c r="J13" s="83">
        <f>EIA_electricity_aeo2014!L58*1000</f>
        <v>8434.7578565961849</v>
      </c>
      <c r="K13" s="83">
        <f>EIA_electricity_aeo2014!M58*1000</f>
        <v>8656.1679414593309</v>
      </c>
      <c r="L13" s="83">
        <f>EIA_electricity_aeo2014!N58*1000</f>
        <v>8694.8668992976836</v>
      </c>
      <c r="M13" s="83">
        <f>EIA_electricity_aeo2014!O58*1000</f>
        <v>8654.9342089544552</v>
      </c>
      <c r="N13" s="177">
        <f>EIA_electricity_aeo2014!P58*1000</f>
        <v>8479.3960074364622</v>
      </c>
      <c r="O13" s="83">
        <f>EIA_electricity_aeo2014!Q58*1000</f>
        <v>8376.911352521056</v>
      </c>
      <c r="P13" s="83">
        <f>EIA_electricity_aeo2014!R58*1000</f>
        <v>8142.7855011058</v>
      </c>
      <c r="Q13" s="83">
        <f>EIA_electricity_aeo2014!S58*1000</f>
        <v>7971.5162870506829</v>
      </c>
      <c r="R13" s="83">
        <f>EIA_electricity_aeo2014!T58*1000</f>
        <v>7903.7574061015985</v>
      </c>
      <c r="S13" s="83">
        <f>EIA_electricity_aeo2014!U58*1000</f>
        <v>7876.067009555416</v>
      </c>
      <c r="T13" s="83">
        <f>EIA_electricity_aeo2014!V58*1000</f>
        <v>7643.8729274738052</v>
      </c>
      <c r="U13" s="83">
        <f>EIA_electricity_aeo2014!W58*1000</f>
        <v>7303.6894195788836</v>
      </c>
      <c r="V13" s="83">
        <f>EIA_electricity_aeo2014!X58*1000</f>
        <v>7311.8618028486699</v>
      </c>
      <c r="W13" s="83">
        <f>EIA_electricity_aeo2014!Y58*1000</f>
        <v>7059.9554366937591</v>
      </c>
      <c r="X13" s="184">
        <f>EIA_electricity_aeo2014!Z58*1000</f>
        <v>7173.3877650875611</v>
      </c>
      <c r="Y13" s="174">
        <f>EIA_electricity_aeo2014!AA58*1000</f>
        <v>7276.7364015545518</v>
      </c>
      <c r="Z13" s="174">
        <f>EIA_electricity_aeo2014!AB58*1000</f>
        <v>7499.3354826193181</v>
      </c>
      <c r="AA13" s="174">
        <f>EIA_electricity_aeo2014!AC58*1000</f>
        <v>7712.5976141222054</v>
      </c>
      <c r="AB13" s="174">
        <f>EIA_electricity_aeo2014!AD58*1000</f>
        <v>7843.2120037494833</v>
      </c>
      <c r="AC13" s="174">
        <f>EIA_electricity_aeo2014!AE58*1000</f>
        <v>7761.5791731884483</v>
      </c>
      <c r="AD13" s="174">
        <f>EIA_electricity_aeo2014!AF58*1000</f>
        <v>7694.9469187430595</v>
      </c>
      <c r="AE13" s="174">
        <f>EIA_electricity_aeo2014!AG58*1000</f>
        <v>7649.3055866191298</v>
      </c>
      <c r="AF13" s="174">
        <f>EIA_electricity_aeo2014!AH58*1000</f>
        <v>7581.9825353912092</v>
      </c>
      <c r="AG13" s="174">
        <f>EIA_electricity_aeo2014!AI58*1000</f>
        <v>7487.3779432792808</v>
      </c>
      <c r="AH13" s="184">
        <f>EIA_electricity_aeo2014!AJ58*1000</f>
        <v>7250.288765099187</v>
      </c>
      <c r="AI13" s="115">
        <f>X13/C13-1</f>
        <v>-6.7906995180930352E-2</v>
      </c>
      <c r="AJ13" s="165">
        <f>(1+AJ11)^21-1</f>
        <v>0.24007814276920247</v>
      </c>
      <c r="AK13" s="168">
        <f>(1+AK11)^21-1</f>
        <v>0.11389489977934208</v>
      </c>
      <c r="AL13" s="121"/>
    </row>
    <row r="14" spans="1:38" s="20" customFormat="1">
      <c r="A14" s="20" t="s">
        <v>131</v>
      </c>
      <c r="B14" s="33"/>
      <c r="C14" s="330">
        <f>EIA_electricity_aeo2014!E58 * 1000</f>
        <v>7696.0000000000009</v>
      </c>
      <c r="D14" s="330">
        <f>IF(Inputs!$C$7="BAU",'Output -Jobs vs Yr'!D13,C14+($X$14-$C$14)/($X$11-$C$11) )</f>
        <v>7739</v>
      </c>
      <c r="E14" s="330">
        <f>IF(Inputs!$C$7="BAU",'Output -Jobs vs Yr'!E13,D14+($X$14-$C$14)/($X$11-$C$11) )</f>
        <v>8022.0592976381258</v>
      </c>
      <c r="F14" s="330">
        <f>IF(Inputs!$C$7="BAU",'Output -Jobs vs Yr'!F13,E14+($X$14-$C$14)/($X$11-$C$11) )</f>
        <v>7886.2900050506896</v>
      </c>
      <c r="G14" s="330">
        <f>IF(Inputs!$C$7="BAU",'Output -Jobs vs Yr'!G13,F14+($X$14-$C$14)/($X$11-$C$11) )</f>
        <v>7682.31813785948</v>
      </c>
      <c r="H14" s="286">
        <f>EIA_electricity_aeo2014!J58*1000</f>
        <v>7980.2639436510108</v>
      </c>
      <c r="I14" s="83">
        <f>IF(Inputs!$C$7="BAU",'Output -Jobs vs Yr'!I13,H14+($X$14-$C$14)/($X$11-$C$11) )</f>
        <v>8190.7053026668418</v>
      </c>
      <c r="J14" s="83">
        <f>IF(Inputs!$C$7="BAU",'Output -Jobs vs Yr'!J13,I14+($X$14-$C$14)/($X$11-$C$11) )</f>
        <v>8434.7578565961849</v>
      </c>
      <c r="K14" s="83">
        <f>IF(Inputs!$C$7="BAU",'Output -Jobs vs Yr'!K13,J14+($X$14-$C$14)/($X$11-$C$11) )</f>
        <v>8656.1679414593309</v>
      </c>
      <c r="L14" s="83">
        <f>IF(Inputs!$C$7="BAU",'Output -Jobs vs Yr'!L13,K14+($X$14-$C$14)/($X$11-$C$11) )</f>
        <v>8694.8668992976836</v>
      </c>
      <c r="M14" s="83">
        <f>IF(Inputs!$C$7="BAU",'Output -Jobs vs Yr'!M13,L14+($X$14-$C$14)/($X$11-$C$11) )</f>
        <v>8654.9342089544552</v>
      </c>
      <c r="N14" s="177">
        <f>IF(Inputs!$C$7="BAU",'Output -Jobs vs Yr'!N13,M14+($X$14-$C$14)/($X$11-$C$11) )</f>
        <v>8479.3960074364622</v>
      </c>
      <c r="O14" s="83">
        <f>IF(Inputs!$C$7="BAU",'Output -Jobs vs Yr'!O13,N14+($X$14-$C$14)/($X$11-$C$11) )</f>
        <v>8376.911352521056</v>
      </c>
      <c r="P14" s="83">
        <f>IF(Inputs!$C$7="BAU",'Output -Jobs vs Yr'!P13,O14+($X$14-$C$14)/($X$11-$C$11) )</f>
        <v>8142.7855011058</v>
      </c>
      <c r="Q14" s="83">
        <f>IF(Inputs!$C$7="BAU",'Output -Jobs vs Yr'!Q13,P14+($X$14-$C$14)/($X$11-$C$11) )</f>
        <v>7971.5162870506829</v>
      </c>
      <c r="R14" s="83">
        <f>IF(Inputs!$C$7="BAU",'Output -Jobs vs Yr'!R13,Q14+($X$14-$C$14)/($X$11-$C$11) )</f>
        <v>7903.7574061015985</v>
      </c>
      <c r="S14" s="83">
        <f>IF(Inputs!$C$7="BAU",'Output -Jobs vs Yr'!S13,R14+($X$14-$C$14)/($X$11-$C$11) )</f>
        <v>7876.067009555416</v>
      </c>
      <c r="T14" s="83">
        <f>IF(Inputs!$C$7="BAU",'Output -Jobs vs Yr'!T13,S14+($X$14-$C$14)/($X$11-$C$11) )</f>
        <v>7643.8729274738052</v>
      </c>
      <c r="U14" s="83">
        <f>IF(Inputs!$C$7="BAU",'Output -Jobs vs Yr'!U13,T14+($X$14-$C$14)/($X$11-$C$11) )</f>
        <v>7303.6894195788836</v>
      </c>
      <c r="V14" s="83">
        <f>IF(Inputs!$C$7="BAU",'Output -Jobs vs Yr'!V13,U14+($X$14-$C$14)/($X$11-$C$11) )</f>
        <v>7311.8618028486699</v>
      </c>
      <c r="W14" s="83">
        <f>IF(Inputs!$C$7="BAU",'Output -Jobs vs Yr'!W13,V14+($X$14-$C$14)/($X$11-$C$11) )</f>
        <v>7059.9554366937591</v>
      </c>
      <c r="X14" s="184">
        <f>IF(Inputs!$C$7="BAU",'Output -Jobs vs Yr'!X13,C14*(1+Inputs!C7) )</f>
        <v>7173.3877650875611</v>
      </c>
      <c r="Y14" s="174">
        <f>IF(Inputs!$C$7="BAU",'Output -Jobs vs Yr'!Y13,D14*(1+Inputs!D7) )</f>
        <v>7276.7364015545518</v>
      </c>
      <c r="Z14" s="174">
        <f>IF(Inputs!$C$7="BAU",'Output -Jobs vs Yr'!Z13,E14*(1+Inputs!E7) )</f>
        <v>7499.3354826193181</v>
      </c>
      <c r="AA14" s="174">
        <f>IF(Inputs!$C$7="BAU",'Output -Jobs vs Yr'!AA13,F14*(1+Inputs!F7) )</f>
        <v>7712.5976141222054</v>
      </c>
      <c r="AB14" s="174">
        <f>IF(Inputs!$C$7="BAU",'Output -Jobs vs Yr'!AB13,G14*(1+Inputs!G7) )</f>
        <v>7843.2120037494833</v>
      </c>
      <c r="AC14" s="174">
        <f>IF(Inputs!$C$7="BAU",'Output -Jobs vs Yr'!AC13,H14*(1+Inputs!H7) )</f>
        <v>7761.5791731884483</v>
      </c>
      <c r="AD14" s="174">
        <f>IF(Inputs!$C$7="BAU",'Output -Jobs vs Yr'!AD13,I14*(1+Inputs!L7) )</f>
        <v>7694.9469187430595</v>
      </c>
      <c r="AE14" s="174">
        <f>IF(Inputs!$C$7="BAU",'Output -Jobs vs Yr'!AE13,J14*(1+Inputs!M7) )</f>
        <v>7649.3055866191298</v>
      </c>
      <c r="AF14" s="174">
        <f>IF(Inputs!$C$7="BAU",'Output -Jobs vs Yr'!AF13,K14*(1+Inputs!N7) )</f>
        <v>7581.9825353912092</v>
      </c>
      <c r="AG14" s="174">
        <f>IF(Inputs!$C$7="BAU",'Output -Jobs vs Yr'!AG13,L14*(1+Inputs!O7) )</f>
        <v>7487.3779432792808</v>
      </c>
      <c r="AH14" s="184">
        <f>IF(Inputs!$C$7="BAU",'Output -Jobs vs Yr'!AH13,M14*(1+Inputs!P7) )</f>
        <v>7250.288765099187</v>
      </c>
      <c r="AI14" s="99"/>
      <c r="AJ14" s="165" t="s">
        <v>0</v>
      </c>
      <c r="AK14" s="30" t="s">
        <v>0</v>
      </c>
      <c r="AL14" s="121"/>
    </row>
    <row r="15" spans="1:38" s="20" customFormat="1">
      <c r="A15" s="20" t="s">
        <v>208</v>
      </c>
      <c r="B15" s="33"/>
      <c r="C15" s="330">
        <f>C14-C13</f>
        <v>0</v>
      </c>
      <c r="D15" s="330">
        <f>D13-D14</f>
        <v>0</v>
      </c>
      <c r="E15" s="330">
        <f t="shared" ref="E15:AH15" si="0">E13-E14</f>
        <v>0</v>
      </c>
      <c r="F15" s="330">
        <f t="shared" si="0"/>
        <v>0</v>
      </c>
      <c r="G15" s="330">
        <f t="shared" si="0"/>
        <v>0</v>
      </c>
      <c r="H15" s="286">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9" customFormat="1">
      <c r="A16" s="379" t="s">
        <v>123</v>
      </c>
      <c r="B16" s="380"/>
      <c r="C16" s="381">
        <f t="shared" ref="C16:M16" si="1">C95</f>
        <v>1.8842255717255719E-2</v>
      </c>
      <c r="D16" s="381">
        <f t="shared" si="1"/>
        <v>4.3423767981066855E-2</v>
      </c>
      <c r="E16" s="381">
        <f t="shared" si="1"/>
        <v>4.8905756207399634E-2</v>
      </c>
      <c r="F16" s="381">
        <f t="shared" si="1"/>
        <v>5.5248455226487483E-2</v>
      </c>
      <c r="G16" s="381">
        <f t="shared" si="1"/>
        <v>6.2933811959977548E-2</v>
      </c>
      <c r="H16" s="381">
        <f t="shared" si="1"/>
        <v>4.2865344168008752E-2</v>
      </c>
      <c r="I16" s="381">
        <f t="shared" si="1"/>
        <v>5.3109583609170473E-2</v>
      </c>
      <c r="J16" s="381">
        <f t="shared" si="1"/>
        <v>6.5444121821590817E-2</v>
      </c>
      <c r="K16" s="381">
        <f t="shared" si="1"/>
        <v>8.0331918152339921E-2</v>
      </c>
      <c r="L16" s="381">
        <f t="shared" si="1"/>
        <v>9.9049058664751111E-2</v>
      </c>
      <c r="M16" s="381">
        <f t="shared" si="1"/>
        <v>0.12218309498231053</v>
      </c>
      <c r="N16" s="381">
        <f>Inputs!C11</f>
        <v>0.15</v>
      </c>
      <c r="O16" s="381">
        <f t="shared" ref="O16:W16" si="2">O95</f>
        <v>0.15284425160490564</v>
      </c>
      <c r="P16" s="381">
        <f t="shared" si="2"/>
        <v>0.15490755923086683</v>
      </c>
      <c r="Q16" s="381">
        <f t="shared" si="2"/>
        <v>0.15699388819544161</v>
      </c>
      <c r="R16" s="381">
        <f t="shared" si="2"/>
        <v>0.15909269836150181</v>
      </c>
      <c r="S16" s="381">
        <f t="shared" si="2"/>
        <v>0.16121079731254781</v>
      </c>
      <c r="T16" s="381">
        <f t="shared" si="2"/>
        <v>0.16339915838010347</v>
      </c>
      <c r="U16" s="381">
        <f t="shared" si="2"/>
        <v>0.16565187659977126</v>
      </c>
      <c r="V16" s="381">
        <f t="shared" si="2"/>
        <v>0.16784873631729832</v>
      </c>
      <c r="W16" s="381">
        <f t="shared" si="2"/>
        <v>0.17015179038512293</v>
      </c>
      <c r="X16" s="382">
        <f>Inputs!C12</f>
        <v>0.17</v>
      </c>
      <c r="Y16" s="383">
        <f>Y95</f>
        <v>0.17247363639504026</v>
      </c>
      <c r="Z16" s="383">
        <f t="shared" ref="Z16:AG16" si="3">Z95</f>
        <v>0.1725335578124268</v>
      </c>
      <c r="AA16" s="383">
        <f t="shared" si="3"/>
        <v>0.17259316004809827</v>
      </c>
      <c r="AB16" s="383">
        <f t="shared" si="3"/>
        <v>0.17267747448238815</v>
      </c>
      <c r="AC16" s="383">
        <f t="shared" si="3"/>
        <v>0.17283447472596761</v>
      </c>
      <c r="AD16" s="383">
        <f t="shared" si="3"/>
        <v>0.17298897448453832</v>
      </c>
      <c r="AE16" s="383">
        <f t="shared" si="3"/>
        <v>0.1731375397058241</v>
      </c>
      <c r="AF16" s="383">
        <f t="shared" si="3"/>
        <v>0.17329729063385527</v>
      </c>
      <c r="AG16" s="383">
        <f t="shared" si="3"/>
        <v>0.17347251069693062</v>
      </c>
      <c r="AH16" s="382">
        <f>Inputs!C13</f>
        <v>0.17</v>
      </c>
      <c r="AI16" s="384" t="s">
        <v>0</v>
      </c>
      <c r="AJ16" s="385"/>
      <c r="AK16" s="386"/>
      <c r="AL16" s="387"/>
    </row>
    <row r="17" spans="1:37" s="281" customFormat="1">
      <c r="A17" s="281" t="s">
        <v>115</v>
      </c>
      <c r="B17" s="282"/>
      <c r="C17" s="337"/>
      <c r="D17" s="332">
        <f>D16/C16-1</f>
        <v>1.3045949822928797</v>
      </c>
      <c r="E17" s="332">
        <f t="shared" ref="E17:M17" si="4">E16/D16-1</f>
        <v>0.12624395535465682</v>
      </c>
      <c r="F17" s="332">
        <f t="shared" si="4"/>
        <v>0.12969227982468401</v>
      </c>
      <c r="G17" s="332">
        <f t="shared" si="4"/>
        <v>0.13910536868378376</v>
      </c>
      <c r="H17" s="284"/>
      <c r="I17" s="284">
        <f t="shared" si="4"/>
        <v>0.23898652022971967</v>
      </c>
      <c r="J17" s="284">
        <f t="shared" si="4"/>
        <v>0.23224693876700875</v>
      </c>
      <c r="K17" s="284">
        <f t="shared" si="4"/>
        <v>0.22748867150108865</v>
      </c>
      <c r="L17" s="284">
        <f t="shared" si="4"/>
        <v>0.23299755493098484</v>
      </c>
      <c r="M17" s="284">
        <f t="shared" si="4"/>
        <v>0.23356139502406204</v>
      </c>
      <c r="N17" s="284">
        <f>N16/M16-1</f>
        <v>0.22766574231661707</v>
      </c>
      <c r="O17" s="284">
        <f>O16/N16-1</f>
        <v>1.896167736603771E-2</v>
      </c>
      <c r="P17" s="284">
        <f t="shared" ref="P17:X17" si="5">P16/O16-1</f>
        <v>1.3499412665480826E-2</v>
      </c>
      <c r="Q17" s="284">
        <f t="shared" si="5"/>
        <v>1.346821920720731E-2</v>
      </c>
      <c r="R17" s="284">
        <f t="shared" si="5"/>
        <v>1.3368738045696382E-2</v>
      </c>
      <c r="S17" s="284">
        <f t="shared" si="5"/>
        <v>1.3313615098997866E-2</v>
      </c>
      <c r="T17" s="284">
        <f t="shared" si="5"/>
        <v>1.3574531632102538E-2</v>
      </c>
      <c r="U17" s="284">
        <f t="shared" si="5"/>
        <v>1.3786596222408187E-2</v>
      </c>
      <c r="V17" s="284">
        <f t="shared" si="5"/>
        <v>1.3261906611748531E-2</v>
      </c>
      <c r="W17" s="284">
        <f t="shared" si="5"/>
        <v>1.3721009275106777E-2</v>
      </c>
      <c r="X17" s="283">
        <f t="shared" si="5"/>
        <v>-8.9208808663931993E-4</v>
      </c>
      <c r="Y17" s="288">
        <v>2.9000000000000001E-2</v>
      </c>
      <c r="Z17" s="288">
        <v>2.9000000000000001E-2</v>
      </c>
      <c r="AA17" s="288">
        <v>2.9000000000000001E-2</v>
      </c>
      <c r="AB17" s="288">
        <v>2.9000000000000001E-2</v>
      </c>
      <c r="AC17" s="288">
        <v>2.9000000000000001E-2</v>
      </c>
      <c r="AD17" s="288">
        <v>2.9000000000000001E-2</v>
      </c>
      <c r="AE17" s="288">
        <v>2.9000000000000001E-2</v>
      </c>
      <c r="AF17" s="288">
        <v>2.9000000000000001E-2</v>
      </c>
      <c r="AG17" s="288">
        <v>2.9000000000000001E-2</v>
      </c>
      <c r="AH17" s="372">
        <v>2.9000000000000001E-2</v>
      </c>
    </row>
    <row r="18" spans="1:37" s="20" customFormat="1">
      <c r="A18" s="20" t="s">
        <v>135</v>
      </c>
      <c r="B18" s="33"/>
      <c r="C18" s="332">
        <f>C32/C14</f>
        <v>0</v>
      </c>
      <c r="D18" s="332">
        <f t="shared" ref="D18:G18" si="6">($N$18-$C$18)/($N$11-$C$11)+C18</f>
        <v>0</v>
      </c>
      <c r="E18" s="332">
        <f t="shared" si="6"/>
        <v>0</v>
      </c>
      <c r="F18" s="332">
        <f t="shared" si="6"/>
        <v>0</v>
      </c>
      <c r="G18" s="332">
        <f t="shared" si="6"/>
        <v>0</v>
      </c>
      <c r="H18" s="284">
        <f>H32/H14</f>
        <v>0</v>
      </c>
      <c r="I18" s="172">
        <f>($N$18-$H$18)/($N$11-$H$11)+H18</f>
        <v>0</v>
      </c>
      <c r="J18" s="172">
        <f t="shared" ref="J18:M18" si="7">($N$18-$H$18)/($N$11-$H$11)+I18</f>
        <v>0</v>
      </c>
      <c r="K18" s="172">
        <f t="shared" si="7"/>
        <v>0</v>
      </c>
      <c r="L18" s="172">
        <f t="shared" si="7"/>
        <v>0</v>
      </c>
      <c r="M18" s="172">
        <f t="shared" si="7"/>
        <v>0</v>
      </c>
      <c r="N18" s="180">
        <f>Inputs!C36</f>
        <v>0</v>
      </c>
      <c r="O18" s="91">
        <f t="shared" ref="O18:W18" si="8">($X$18-$N$18)/($X$11-$N$11)+N18</f>
        <v>0</v>
      </c>
      <c r="P18" s="91">
        <f t="shared" si="8"/>
        <v>0</v>
      </c>
      <c r="Q18" s="91">
        <f t="shared" si="8"/>
        <v>0</v>
      </c>
      <c r="R18" s="91">
        <f t="shared" si="8"/>
        <v>0</v>
      </c>
      <c r="S18" s="22">
        <f t="shared" si="8"/>
        <v>0</v>
      </c>
      <c r="T18" s="91">
        <f t="shared" si="8"/>
        <v>0</v>
      </c>
      <c r="U18" s="91">
        <f t="shared" si="8"/>
        <v>0</v>
      </c>
      <c r="V18" s="91">
        <f t="shared" si="8"/>
        <v>0</v>
      </c>
      <c r="W18" s="91">
        <f t="shared" si="8"/>
        <v>0</v>
      </c>
      <c r="X18" s="185">
        <f>Inputs!F36</f>
        <v>0</v>
      </c>
      <c r="Y18" s="172">
        <f>($AH$18-$X$18)/($AH$11-$X$11)+X18</f>
        <v>0</v>
      </c>
      <c r="Z18" s="172">
        <f t="shared" ref="Z18:AG18" si="9">($AH$18-$X$18)/($AH$11-$X$11)+Y18</f>
        <v>0</v>
      </c>
      <c r="AA18" s="172">
        <f t="shared" si="9"/>
        <v>0</v>
      </c>
      <c r="AB18" s="172">
        <f t="shared" si="9"/>
        <v>0</v>
      </c>
      <c r="AC18" s="172">
        <f t="shared" si="9"/>
        <v>0</v>
      </c>
      <c r="AD18" s="172">
        <f t="shared" si="9"/>
        <v>0</v>
      </c>
      <c r="AE18" s="172">
        <f t="shared" si="9"/>
        <v>0</v>
      </c>
      <c r="AF18" s="172">
        <f t="shared" si="9"/>
        <v>0</v>
      </c>
      <c r="AG18" s="172">
        <f t="shared" si="9"/>
        <v>0</v>
      </c>
      <c r="AH18" s="185">
        <f>Inputs!H36</f>
        <v>0</v>
      </c>
      <c r="AK18"/>
    </row>
    <row r="19" spans="1:37" s="281" customFormat="1">
      <c r="A19" s="281" t="s">
        <v>114</v>
      </c>
      <c r="B19" s="285"/>
      <c r="C19" s="330">
        <f t="shared" ref="C19:AH19" si="10">C16*C14</f>
        <v>145.01000000000002</v>
      </c>
      <c r="D19" s="330">
        <f t="shared" si="10"/>
        <v>336.05654040547637</v>
      </c>
      <c r="E19" s="330">
        <f t="shared" si="10"/>
        <v>392.32487629159374</v>
      </c>
      <c r="F19" s="330">
        <f t="shared" si="10"/>
        <v>435.70534024713879</v>
      </c>
      <c r="G19" s="330">
        <f t="shared" si="10"/>
        <v>483.47756510477336</v>
      </c>
      <c r="H19" s="286">
        <f t="shared" si="10"/>
        <v>342.07676049615139</v>
      </c>
      <c r="I19" s="286">
        <f t="shared" si="10"/>
        <v>435.00494809006057</v>
      </c>
      <c r="J19" s="286">
        <f t="shared" si="10"/>
        <v>552.00532070270094</v>
      </c>
      <c r="K19" s="286">
        <f t="shared" si="10"/>
        <v>695.36657458621971</v>
      </c>
      <c r="L19" s="286">
        <f t="shared" si="10"/>
        <v>861.21838159073889</v>
      </c>
      <c r="M19" s="286">
        <f t="shared" si="10"/>
        <v>1057.4866485183309</v>
      </c>
      <c r="N19" s="287">
        <f t="shared" si="10"/>
        <v>1271.9094011154693</v>
      </c>
      <c r="O19" s="286">
        <f t="shared" si="10"/>
        <v>1280.3627464367187</v>
      </c>
      <c r="P19" s="286">
        <f t="shared" si="10"/>
        <v>1261.3790273167904</v>
      </c>
      <c r="Q19" s="286">
        <f t="shared" si="10"/>
        <v>1251.4793367173768</v>
      </c>
      <c r="R19" s="286">
        <f t="shared" si="10"/>
        <v>1257.4300929314074</v>
      </c>
      <c r="S19" s="286">
        <f t="shared" si="10"/>
        <v>1269.7070422974828</v>
      </c>
      <c r="T19" s="286">
        <f t="shared" si="10"/>
        <v>1249.0024031136775</v>
      </c>
      <c r="U19" s="286">
        <f t="shared" si="10"/>
        <v>1209.8698584551362</v>
      </c>
      <c r="V19" s="286">
        <f t="shared" si="10"/>
        <v>1227.286763734872</v>
      </c>
      <c r="W19" s="286">
        <f t="shared" si="10"/>
        <v>1201.2640575926255</v>
      </c>
      <c r="X19" s="287">
        <f>Inputs!C12*'Output -Jobs vs Yr'!X14</f>
        <v>1219.4759200648855</v>
      </c>
      <c r="Y19" s="286">
        <f t="shared" si="10"/>
        <v>1255.0451882642735</v>
      </c>
      <c r="Z19" s="286">
        <f t="shared" si="10"/>
        <v>1293.8870320452838</v>
      </c>
      <c r="AA19" s="286">
        <f t="shared" si="10"/>
        <v>1331.1415944007747</v>
      </c>
      <c r="AB19" s="286">
        <f t="shared" si="10"/>
        <v>1354.3460406374118</v>
      </c>
      <c r="AC19" s="286">
        <f t="shared" si="10"/>
        <v>1341.4684594420355</v>
      </c>
      <c r="AD19" s="286">
        <f t="shared" si="10"/>
        <v>1331.1409761863199</v>
      </c>
      <c r="AE19" s="286">
        <f t="shared" si="10"/>
        <v>1324.3819497252516</v>
      </c>
      <c r="AF19" s="286">
        <f t="shared" si="10"/>
        <v>1313.9370310165052</v>
      </c>
      <c r="AG19" s="286">
        <f t="shared" si="10"/>
        <v>1298.8542503574774</v>
      </c>
      <c r="AH19" s="287">
        <f t="shared" si="10"/>
        <v>1232.5490900668619</v>
      </c>
    </row>
    <row r="20" spans="1:37" s="20" customFormat="1">
      <c r="A20" s="20" t="s">
        <v>211</v>
      </c>
      <c r="B20" s="33"/>
      <c r="C20" s="330">
        <f>'Output - Jobs vs Yr (BAU)'!C18</f>
        <v>145.01</v>
      </c>
      <c r="D20" s="330">
        <f>'Output - Jobs vs Yr (BAU)'!D18</f>
        <v>294.78999999999996</v>
      </c>
      <c r="E20" s="330">
        <f>'Output - Jobs vs Yr (BAU)'!E18</f>
        <v>316.64441884625177</v>
      </c>
      <c r="F20" s="330">
        <f>'Output - Jobs vs Yr (BAU)'!F18</f>
        <v>320.2825371314002</v>
      </c>
      <c r="G20" s="330">
        <f>'Output - Jobs vs Yr (BAU)'!G18</f>
        <v>335.05871585603256</v>
      </c>
      <c r="H20" s="286">
        <f>'Output - Jobs vs Yr (BAU)'!H18</f>
        <v>341.07676049615139</v>
      </c>
      <c r="I20" s="83">
        <f>'Output - Jobs vs Yr (BAU)'!I18</f>
        <v>348.69177863440694</v>
      </c>
      <c r="J20" s="83">
        <f>'Output - Jobs vs Yr (BAU)'!J18</f>
        <v>356.97503384565351</v>
      </c>
      <c r="K20" s="83">
        <f>'Output - Jobs vs Yr (BAU)'!K18</f>
        <v>361.53666807187716</v>
      </c>
      <c r="L20" s="83">
        <f>'Output - Jobs vs Yr (BAU)'!L18</f>
        <v>362.424713477328</v>
      </c>
      <c r="M20" s="83">
        <f>'Output - Jobs vs Yr (BAU)'!M18</f>
        <v>361.79236799169917</v>
      </c>
      <c r="N20" s="177">
        <f>'Output - Jobs vs Yr (BAU)'!N18</f>
        <v>358.44205820557153</v>
      </c>
      <c r="O20" s="83">
        <f>'Output - Jobs vs Yr (BAU)'!O18</f>
        <v>356.88419689699117</v>
      </c>
      <c r="P20" s="83">
        <f>'Output - Jobs vs Yr (BAU)'!P18</f>
        <v>352.22318274487384</v>
      </c>
      <c r="Q20" s="83">
        <f>'Output - Jobs vs Yr (BAU)'!Q18</f>
        <v>348.80766039632579</v>
      </c>
      <c r="R20" s="83">
        <f>'Output - Jobs vs Yr (BAU)'!R18</f>
        <v>347.52095258962515</v>
      </c>
      <c r="S20" s="83">
        <f>'Output - Jobs vs Yr (BAU)'!S18</f>
        <v>347.47832024965373</v>
      </c>
      <c r="T20" s="83">
        <f>'Output - Jobs vs Yr (BAU)'!T18</f>
        <v>342.9275650025869</v>
      </c>
      <c r="U20" s="83">
        <f>'Output - Jobs vs Yr (BAU)'!U18</f>
        <v>335.91145755277972</v>
      </c>
      <c r="V20" s="83">
        <f>'Output - Jobs vs Yr (BAU)'!V18</f>
        <v>337.09373356532393</v>
      </c>
      <c r="W20" s="83">
        <f>'Output - Jobs vs Yr (BAU)'!W18</f>
        <v>331.61593667365833</v>
      </c>
      <c r="X20" s="184">
        <f>'Output - Jobs vs Yr (BAU)'!X18</f>
        <v>333.92037597762328</v>
      </c>
      <c r="Y20" s="174">
        <f>'Output - Jobs vs Yr (BAU)'!Y18</f>
        <v>336.57243740940845</v>
      </c>
      <c r="Z20" s="174">
        <f>'Output - Jobs vs Yr (BAU)'!Z18</f>
        <v>341.01657856306883</v>
      </c>
      <c r="AA20" s="174">
        <f>'Output - Jobs vs Yr (BAU)'!AA18</f>
        <v>345.46639318151767</v>
      </c>
      <c r="AB20" s="174">
        <f>'Output - Jobs vs Yr (BAU)'!AB18</f>
        <v>347.78064863110859</v>
      </c>
      <c r="AC20" s="174">
        <f>'Output - Jobs vs Yr (BAU)'!AC18</f>
        <v>346.23087691077336</v>
      </c>
      <c r="AD20" s="174">
        <f>'Output - Jobs vs Yr (BAU)'!AD18</f>
        <v>345.42751617770415</v>
      </c>
      <c r="AE20" s="174">
        <f>'Output - Jobs vs Yr (BAU)'!AE18</f>
        <v>345.04223136549535</v>
      </c>
      <c r="AF20" s="174">
        <f>'Output - Jobs vs Yr (BAU)'!AF18</f>
        <v>344.12988765135208</v>
      </c>
      <c r="AG20" s="174">
        <f>'Output - Jobs vs Yr (BAU)'!AG18</f>
        <v>341.87775125670998</v>
      </c>
      <c r="AH20" s="184">
        <f>'Output - Jobs vs Yr (BAU)'!AH18</f>
        <v>337.32298859532074</v>
      </c>
    </row>
    <row r="21" spans="1:37" s="20" customFormat="1">
      <c r="A21" s="20" t="s">
        <v>116</v>
      </c>
      <c r="B21" s="33"/>
      <c r="C21" s="330">
        <f t="shared" ref="C21:AH21" si="11">MAX(C19:C20)</f>
        <v>145.01000000000002</v>
      </c>
      <c r="D21" s="330">
        <f t="shared" si="11"/>
        <v>336.05654040547637</v>
      </c>
      <c r="E21" s="330">
        <f t="shared" si="11"/>
        <v>392.32487629159374</v>
      </c>
      <c r="F21" s="330">
        <f t="shared" si="11"/>
        <v>435.70534024713879</v>
      </c>
      <c r="G21" s="330">
        <f t="shared" si="11"/>
        <v>483.47756510477336</v>
      </c>
      <c r="H21" s="286">
        <f t="shared" si="11"/>
        <v>342.07676049615139</v>
      </c>
      <c r="I21" s="83">
        <f t="shared" si="11"/>
        <v>435.00494809006057</v>
      </c>
      <c r="J21" s="83">
        <f t="shared" si="11"/>
        <v>552.00532070270094</v>
      </c>
      <c r="K21" s="83">
        <f t="shared" si="11"/>
        <v>695.36657458621971</v>
      </c>
      <c r="L21" s="83">
        <f t="shared" si="11"/>
        <v>861.21838159073889</v>
      </c>
      <c r="M21" s="83">
        <f t="shared" si="11"/>
        <v>1057.4866485183309</v>
      </c>
      <c r="N21" s="177">
        <f t="shared" si="11"/>
        <v>1271.9094011154693</v>
      </c>
      <c r="O21" s="83">
        <f t="shared" si="11"/>
        <v>1280.3627464367187</v>
      </c>
      <c r="P21" s="83">
        <f t="shared" si="11"/>
        <v>1261.3790273167904</v>
      </c>
      <c r="Q21" s="83">
        <f t="shared" si="11"/>
        <v>1251.4793367173768</v>
      </c>
      <c r="R21" s="83">
        <f t="shared" si="11"/>
        <v>1257.4300929314074</v>
      </c>
      <c r="S21" s="83">
        <f t="shared" si="11"/>
        <v>1269.7070422974828</v>
      </c>
      <c r="T21" s="83">
        <f t="shared" si="11"/>
        <v>1249.0024031136775</v>
      </c>
      <c r="U21" s="83">
        <f t="shared" si="11"/>
        <v>1209.8698584551362</v>
      </c>
      <c r="V21" s="83">
        <f t="shared" si="11"/>
        <v>1227.286763734872</v>
      </c>
      <c r="W21" s="83">
        <f t="shared" si="11"/>
        <v>1201.2640575926255</v>
      </c>
      <c r="X21" s="184">
        <f t="shared" si="11"/>
        <v>1219.4759200648855</v>
      </c>
      <c r="Y21" s="174">
        <f t="shared" si="11"/>
        <v>1255.0451882642735</v>
      </c>
      <c r="Z21" s="174">
        <f t="shared" si="11"/>
        <v>1293.8870320452838</v>
      </c>
      <c r="AA21" s="174">
        <f t="shared" si="11"/>
        <v>1331.1415944007747</v>
      </c>
      <c r="AB21" s="174">
        <f t="shared" si="11"/>
        <v>1354.3460406374118</v>
      </c>
      <c r="AC21" s="174">
        <f t="shared" si="11"/>
        <v>1341.4684594420355</v>
      </c>
      <c r="AD21" s="174">
        <f t="shared" si="11"/>
        <v>1331.1409761863199</v>
      </c>
      <c r="AE21" s="174">
        <f t="shared" si="11"/>
        <v>1324.3819497252516</v>
      </c>
      <c r="AF21" s="174">
        <f t="shared" si="11"/>
        <v>1313.9370310165052</v>
      </c>
      <c r="AG21" s="174">
        <f t="shared" si="11"/>
        <v>1298.8542503574774</v>
      </c>
      <c r="AH21" s="184">
        <f t="shared" si="11"/>
        <v>1232.5490900668619</v>
      </c>
      <c r="AI21" s="99"/>
    </row>
    <row r="22" spans="1:37" s="20" customFormat="1">
      <c r="A22" s="20" t="s">
        <v>378</v>
      </c>
      <c r="B22" s="33"/>
      <c r="C22" s="330" t="s">
        <v>0</v>
      </c>
      <c r="D22" s="330"/>
      <c r="E22" s="330"/>
      <c r="F22" s="330"/>
      <c r="G22" s="330"/>
      <c r="H22" s="286"/>
      <c r="I22" s="83"/>
      <c r="J22" s="83"/>
      <c r="K22" s="83"/>
      <c r="L22" s="83"/>
      <c r="M22" s="83"/>
      <c r="N22" s="177"/>
      <c r="O22" s="83"/>
      <c r="P22" s="83"/>
      <c r="Q22" s="83"/>
      <c r="R22" s="83"/>
      <c r="S22" s="83"/>
      <c r="T22" s="83"/>
      <c r="U22" s="83"/>
      <c r="V22" s="83"/>
      <c r="W22" s="173" t="s">
        <v>0</v>
      </c>
      <c r="X22" s="184"/>
      <c r="Y22"/>
      <c r="Z22"/>
      <c r="AA22"/>
      <c r="AB22"/>
      <c r="AC22"/>
      <c r="AD22"/>
      <c r="AE22"/>
      <c r="AF22"/>
      <c r="AG22"/>
      <c r="AH22" s="280"/>
      <c r="AI22" s="99"/>
    </row>
    <row r="23" spans="1:37" s="20" customFormat="1">
      <c r="A23" t="s">
        <v>537</v>
      </c>
      <c r="B23" s="33"/>
      <c r="C23" s="330">
        <v>0</v>
      </c>
      <c r="D23" s="332">
        <f t="shared" ref="D23:G23" si="12">C23+($N$23-$C$23)/($N$11-$C$11)</f>
        <v>0</v>
      </c>
      <c r="E23" s="332">
        <f t="shared" si="12"/>
        <v>0</v>
      </c>
      <c r="F23" s="332">
        <f t="shared" si="12"/>
        <v>0</v>
      </c>
      <c r="G23" s="332">
        <f t="shared" si="12"/>
        <v>0</v>
      </c>
      <c r="H23" s="286">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538</v>
      </c>
      <c r="B24" s="33"/>
      <c r="C24" s="330">
        <v>0</v>
      </c>
      <c r="D24" s="332">
        <f t="shared" ref="D24:G24" si="16">C24+($N$24-$C$24)/($N$11-$C$11)</f>
        <v>0</v>
      </c>
      <c r="E24" s="332">
        <f t="shared" si="16"/>
        <v>0</v>
      </c>
      <c r="F24" s="332">
        <f t="shared" si="16"/>
        <v>0</v>
      </c>
      <c r="G24" s="332">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539</v>
      </c>
      <c r="B25" s="33"/>
      <c r="C25" s="330"/>
      <c r="D25" s="332" t="e">
        <f t="shared" ref="D25:AH25" si="20">D30/(D30+D47)</f>
        <v>#DIV/0!</v>
      </c>
      <c r="E25" s="332" t="e">
        <f t="shared" si="20"/>
        <v>#DIV/0!</v>
      </c>
      <c r="F25" s="332" t="e">
        <f t="shared" si="20"/>
        <v>#DIV/0!</v>
      </c>
      <c r="G25" s="332" t="e">
        <f t="shared" si="20"/>
        <v>#DIV/0!</v>
      </c>
      <c r="H25" s="284"/>
      <c r="I25" s="125" t="e">
        <f t="shared" si="20"/>
        <v>#DIV/0!</v>
      </c>
      <c r="J25" s="125" t="e">
        <f t="shared" si="20"/>
        <v>#DIV/0!</v>
      </c>
      <c r="K25" s="125" t="e">
        <f t="shared" si="20"/>
        <v>#DIV/0!</v>
      </c>
      <c r="L25" s="125" t="e">
        <f t="shared" si="20"/>
        <v>#DIV/0!</v>
      </c>
      <c r="M25" s="125" t="e">
        <f t="shared" si="20"/>
        <v>#DIV/0!</v>
      </c>
      <c r="N25" s="180" t="e">
        <f t="shared" si="20"/>
        <v>#DIV/0!</v>
      </c>
      <c r="O25" s="125" t="e">
        <f t="shared" si="20"/>
        <v>#DIV/0!</v>
      </c>
      <c r="P25" s="125" t="e">
        <f t="shared" si="20"/>
        <v>#DIV/0!</v>
      </c>
      <c r="Q25" s="125" t="e">
        <f t="shared" si="20"/>
        <v>#DIV/0!</v>
      </c>
      <c r="R25" s="125" t="e">
        <f t="shared" si="20"/>
        <v>#DIV/0!</v>
      </c>
      <c r="S25" s="125" t="e">
        <f t="shared" si="20"/>
        <v>#DIV/0!</v>
      </c>
      <c r="T25" s="125" t="e">
        <f t="shared" si="20"/>
        <v>#DIV/0!</v>
      </c>
      <c r="U25" s="125" t="e">
        <f t="shared" si="20"/>
        <v>#DIV/0!</v>
      </c>
      <c r="V25" s="125" t="e">
        <f t="shared" si="20"/>
        <v>#DIV/0!</v>
      </c>
      <c r="W25" s="125" t="e">
        <f t="shared" si="20"/>
        <v>#DIV/0!</v>
      </c>
      <c r="X25" s="185" t="e">
        <f t="shared" si="20"/>
        <v>#DIV/0!</v>
      </c>
      <c r="Y25" s="172" t="e">
        <f t="shared" si="20"/>
        <v>#DIV/0!</v>
      </c>
      <c r="Z25" s="172" t="e">
        <f t="shared" si="20"/>
        <v>#DIV/0!</v>
      </c>
      <c r="AA25" s="172" t="e">
        <f t="shared" si="20"/>
        <v>#DIV/0!</v>
      </c>
      <c r="AB25" s="172" t="e">
        <f t="shared" si="20"/>
        <v>#DIV/0!</v>
      </c>
      <c r="AC25" s="172" t="e">
        <f t="shared" si="20"/>
        <v>#DIV/0!</v>
      </c>
      <c r="AD25" s="172" t="e">
        <f t="shared" si="20"/>
        <v>#DIV/0!</v>
      </c>
      <c r="AE25" s="172" t="e">
        <f t="shared" si="20"/>
        <v>#DIV/0!</v>
      </c>
      <c r="AF25" s="172" t="e">
        <f t="shared" si="20"/>
        <v>#DIV/0!</v>
      </c>
      <c r="AG25" s="172" t="e">
        <f t="shared" si="20"/>
        <v>#DIV/0!</v>
      </c>
      <c r="AH25" s="185" t="e">
        <f t="shared" si="20"/>
        <v>#DIV/0!</v>
      </c>
      <c r="AI25" s="99"/>
    </row>
    <row r="26" spans="1:37" s="20" customFormat="1">
      <c r="A26" s="20" t="s">
        <v>381</v>
      </c>
      <c r="B26" s="33"/>
      <c r="C26" s="332">
        <f>C31/C14</f>
        <v>6.4838877338877334E-4</v>
      </c>
      <c r="D26" s="332">
        <f t="shared" ref="D26:G26" si="21">C26+($N$26-$C$26)/($N$11-$C$11)</f>
        <v>6.3533469182594558E-4</v>
      </c>
      <c r="E26" s="332">
        <f t="shared" si="21"/>
        <v>6.2228061026311783E-4</v>
      </c>
      <c r="F26" s="332">
        <f t="shared" si="21"/>
        <v>6.0922652870029007E-4</v>
      </c>
      <c r="G26" s="332">
        <f t="shared" si="21"/>
        <v>5.9617244713746232E-4</v>
      </c>
      <c r="H26" s="284">
        <f>H31/H14</f>
        <v>5.106351996100305E-4</v>
      </c>
      <c r="I26" s="91">
        <f>H26+($N$26-$H$26)/($N$11-$H$11)</f>
        <v>5.0966164570797018E-4</v>
      </c>
      <c r="J26" s="172">
        <f t="shared" ref="J26:M26" si="22">I26+($N$26-$H$26)/($N$11-$H$11)</f>
        <v>5.0868809180590986E-4</v>
      </c>
      <c r="K26" s="172">
        <f t="shared" si="22"/>
        <v>5.0771453790384954E-4</v>
      </c>
      <c r="L26" s="172">
        <f t="shared" si="22"/>
        <v>5.0674098400178922E-4</v>
      </c>
      <c r="M26" s="172">
        <f t="shared" si="22"/>
        <v>5.057674300997289E-4</v>
      </c>
      <c r="N26" s="180">
        <f>Inputs!C35</f>
        <v>5.0479387619766826E-4</v>
      </c>
      <c r="O26" s="91">
        <f t="shared" ref="O26:W26" si="23">N26+($X$26-$N$26)/($X$11-$N$11)</f>
        <v>5.178213966266764E-4</v>
      </c>
      <c r="P26" s="91">
        <f t="shared" si="23"/>
        <v>5.3084891705568453E-4</v>
      </c>
      <c r="Q26" s="91">
        <f t="shared" si="23"/>
        <v>5.4387643748469267E-4</v>
      </c>
      <c r="R26" s="91">
        <f t="shared" si="23"/>
        <v>5.5690395791370081E-4</v>
      </c>
      <c r="S26" s="22">
        <f t="shared" si="23"/>
        <v>5.6993147834270895E-4</v>
      </c>
      <c r="T26" s="91">
        <f t="shared" si="23"/>
        <v>5.8295899877171709E-4</v>
      </c>
      <c r="U26" s="91">
        <f t="shared" si="23"/>
        <v>5.9598651920072523E-4</v>
      </c>
      <c r="V26" s="91">
        <f t="shared" si="23"/>
        <v>6.0901403962973337E-4</v>
      </c>
      <c r="W26" s="91">
        <f t="shared" si="23"/>
        <v>6.2204156005874151E-4</v>
      </c>
      <c r="X26" s="185">
        <f>Inputs!F35</f>
        <v>6.3506908048774997E-4</v>
      </c>
      <c r="Y26" s="172">
        <f>X26+($AH$26-$X$26)/($AH$11-$X$11)</f>
        <v>6.3470928291007645E-4</v>
      </c>
      <c r="Z26" s="172">
        <f t="shared" ref="Z26:AG26" si="24">Y26+($AH$26-$X$26)/($AH$11-$X$11)</f>
        <v>6.3434948533240294E-4</v>
      </c>
      <c r="AA26" s="172">
        <f t="shared" si="24"/>
        <v>6.3398968775472942E-4</v>
      </c>
      <c r="AB26" s="172">
        <f t="shared" si="24"/>
        <v>6.336298901770559E-4</v>
      </c>
      <c r="AC26" s="172">
        <f t="shared" si="24"/>
        <v>6.3327009259938239E-4</v>
      </c>
      <c r="AD26" s="172">
        <f t="shared" si="24"/>
        <v>6.3291029502170887E-4</v>
      </c>
      <c r="AE26" s="172">
        <f t="shared" si="24"/>
        <v>6.3255049744403535E-4</v>
      </c>
      <c r="AF26" s="172">
        <f t="shared" si="24"/>
        <v>6.3219069986636183E-4</v>
      </c>
      <c r="AG26" s="172">
        <f t="shared" si="24"/>
        <v>6.3183090228868832E-4</v>
      </c>
      <c r="AH26" s="185">
        <f>Inputs!H35</f>
        <v>6.3147110471101534E-4</v>
      </c>
      <c r="AI26" s="99"/>
    </row>
    <row r="27" spans="1:37" s="1" customFormat="1">
      <c r="B27" s="33"/>
      <c r="C27" s="338"/>
      <c r="D27" s="329"/>
      <c r="E27" s="392"/>
      <c r="F27" s="392"/>
      <c r="G27" s="392"/>
      <c r="H27" s="401"/>
      <c r="I27" s="25"/>
      <c r="J27" s="25"/>
      <c r="K27" s="24"/>
      <c r="L27" s="24"/>
      <c r="M27" s="24"/>
      <c r="N27" s="181" t="s">
        <v>0</v>
      </c>
      <c r="O27" s="26"/>
      <c r="P27" s="13"/>
      <c r="Q27" s="13"/>
      <c r="R27" s="13"/>
      <c r="S27" s="169">
        <f>SUM(S18,S24,S26)</f>
        <v>5.6993147834270895E-4</v>
      </c>
      <c r="T27" s="13"/>
      <c r="U27" s="13"/>
      <c r="V27" s="13"/>
      <c r="W27" s="13"/>
      <c r="X27" s="176"/>
      <c r="Y27"/>
      <c r="Z27"/>
      <c r="AA27"/>
      <c r="AB27"/>
      <c r="AC27"/>
      <c r="AD27"/>
      <c r="AE27"/>
      <c r="AF27"/>
      <c r="AG27"/>
      <c r="AH27" s="280"/>
      <c r="AI27" s="24"/>
    </row>
    <row r="28" spans="1:37" s="1" customFormat="1">
      <c r="A28" s="1" t="s">
        <v>377</v>
      </c>
      <c r="B28" s="33"/>
      <c r="C28" s="328">
        <v>2009</v>
      </c>
      <c r="D28" s="328">
        <v>2010</v>
      </c>
      <c r="E28" s="328">
        <v>2011</v>
      </c>
      <c r="F28" s="328">
        <v>2012</v>
      </c>
      <c r="G28" s="328">
        <v>2013</v>
      </c>
      <c r="H28" s="400">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30" t="s">
        <v>376</v>
      </c>
      <c r="D29" s="330">
        <f t="shared" ref="D29:AH29" si="25">D13-D14</f>
        <v>0</v>
      </c>
      <c r="E29" s="330">
        <f t="shared" si="25"/>
        <v>0</v>
      </c>
      <c r="F29" s="330">
        <f t="shared" si="25"/>
        <v>0</v>
      </c>
      <c r="G29" s="330">
        <f t="shared" si="25"/>
        <v>0</v>
      </c>
      <c r="H29" s="286">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30">
        <f>C23*C47</f>
        <v>0</v>
      </c>
      <c r="D30" s="330">
        <f t="shared" ref="D30:AH30" si="26">D24*D14</f>
        <v>0</v>
      </c>
      <c r="E30" s="330">
        <f t="shared" si="26"/>
        <v>0</v>
      </c>
      <c r="F30" s="330">
        <f t="shared" si="26"/>
        <v>0</v>
      </c>
      <c r="G30" s="330">
        <f t="shared" si="26"/>
        <v>0</v>
      </c>
      <c r="H30" s="286">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30">
        <f>'Output - Jobs vs Yr (BAU)'!C7</f>
        <v>4.99</v>
      </c>
      <c r="D31" s="330">
        <f t="shared" ref="D31:AH31" si="27">D26*D14</f>
        <v>4.9168551800409928</v>
      </c>
      <c r="E31" s="330">
        <f t="shared" si="27"/>
        <v>4.991971955301171</v>
      </c>
      <c r="F31" s="330">
        <f t="shared" si="27"/>
        <v>4.8045370841008248</v>
      </c>
      <c r="G31" s="330">
        <f t="shared" si="27"/>
        <v>4.579986403936199</v>
      </c>
      <c r="H31" s="286">
        <f>'Output - Jobs vs Yr (BAU)'!H7</f>
        <v>4.0750036718069627</v>
      </c>
      <c r="I31" s="174">
        <f t="shared" si="27"/>
        <v>4.1744883440661802</v>
      </c>
      <c r="J31" s="174">
        <f t="shared" si="27"/>
        <v>4.2906608789168192</v>
      </c>
      <c r="K31" s="174">
        <f t="shared" si="27"/>
        <v>4.3948623064161403</v>
      </c>
      <c r="L31" s="174">
        <f t="shared" si="27"/>
        <v>4.4060454083146938</v>
      </c>
      <c r="M31" s="174">
        <f t="shared" si="27"/>
        <v>4.3773838325451253</v>
      </c>
      <c r="N31" s="184">
        <f t="shared" si="27"/>
        <v>4.280347178408884</v>
      </c>
      <c r="O31" s="174">
        <f t="shared" si="27"/>
        <v>4.3377439359803143</v>
      </c>
      <c r="P31" s="174">
        <f t="shared" si="27"/>
        <v>4.3225888650787434</v>
      </c>
      <c r="Q31" s="174">
        <f t="shared" si="27"/>
        <v>4.3355198795523302</v>
      </c>
      <c r="R31" s="174">
        <f t="shared" si="27"/>
        <v>4.401633781847706</v>
      </c>
      <c r="S31" s="174">
        <f t="shared" si="27"/>
        <v>4.4888185142821566</v>
      </c>
      <c r="T31" s="174">
        <f t="shared" si="27"/>
        <v>4.4560645085383639</v>
      </c>
      <c r="U31" s="174">
        <f t="shared" si="27"/>
        <v>4.3529004344979843</v>
      </c>
      <c r="V31" s="174">
        <f t="shared" si="27"/>
        <v>4.4530264937672133</v>
      </c>
      <c r="W31" s="174">
        <f t="shared" si="27"/>
        <v>4.3915856937861797</v>
      </c>
      <c r="X31" s="184">
        <f t="shared" si="27"/>
        <v>4.5555967719562336</v>
      </c>
      <c r="Y31" s="174">
        <f t="shared" si="27"/>
        <v>4.6186121433563398</v>
      </c>
      <c r="Z31" s="174">
        <f t="shared" si="27"/>
        <v>4.7571996037345921</v>
      </c>
      <c r="AA31" s="174">
        <f t="shared" si="27"/>
        <v>4.8897073531552078</v>
      </c>
      <c r="AB31" s="174">
        <f t="shared" si="27"/>
        <v>4.9696935605711516</v>
      </c>
      <c r="AC31" s="174">
        <f t="shared" si="27"/>
        <v>4.9151759617224862</v>
      </c>
      <c r="AD31" s="174">
        <f t="shared" si="27"/>
        <v>4.8702111245180593</v>
      </c>
      <c r="AE31" s="174">
        <f t="shared" si="27"/>
        <v>4.8385720539173693</v>
      </c>
      <c r="AF31" s="174">
        <f t="shared" si="27"/>
        <v>4.7932588454235008</v>
      </c>
      <c r="AG31" s="174">
        <f t="shared" si="27"/>
        <v>4.7307567616785713</v>
      </c>
      <c r="AH31" s="184">
        <f t="shared" si="27"/>
        <v>4.5783478559710469</v>
      </c>
      <c r="AI31" s="127"/>
    </row>
    <row r="32" spans="1:37">
      <c r="A32" s="9" t="s">
        <v>59</v>
      </c>
      <c r="B32" s="35">
        <v>0</v>
      </c>
      <c r="C32" s="330">
        <f>EIA_electricity_aeo2014!E52*1000</f>
        <v>0</v>
      </c>
      <c r="D32" s="330">
        <f t="shared" ref="D32:AH32" si="28">D18*D14</f>
        <v>0</v>
      </c>
      <c r="E32" s="330">
        <f t="shared" si="28"/>
        <v>0</v>
      </c>
      <c r="F32" s="330">
        <f t="shared" si="28"/>
        <v>0</v>
      </c>
      <c r="G32" s="330">
        <f t="shared" si="28"/>
        <v>0</v>
      </c>
      <c r="H32" s="286">
        <f>EIA_electricity_aeo2014!J52*1000</f>
        <v>0</v>
      </c>
      <c r="I32" s="174">
        <f t="shared" si="28"/>
        <v>0</v>
      </c>
      <c r="J32" s="174">
        <f t="shared" si="28"/>
        <v>0</v>
      </c>
      <c r="K32" s="174">
        <f t="shared" si="28"/>
        <v>0</v>
      </c>
      <c r="L32" s="174">
        <f t="shared" si="28"/>
        <v>0</v>
      </c>
      <c r="M32" s="174">
        <f t="shared" si="28"/>
        <v>0</v>
      </c>
      <c r="N32" s="184">
        <f t="shared" si="28"/>
        <v>0</v>
      </c>
      <c r="O32" s="174">
        <f t="shared" si="28"/>
        <v>0</v>
      </c>
      <c r="P32" s="174">
        <f t="shared" si="28"/>
        <v>0</v>
      </c>
      <c r="Q32" s="174">
        <f t="shared" si="28"/>
        <v>0</v>
      </c>
      <c r="R32" s="174">
        <f t="shared" si="28"/>
        <v>0</v>
      </c>
      <c r="S32" s="174">
        <f t="shared" si="28"/>
        <v>0</v>
      </c>
      <c r="T32" s="174">
        <f t="shared" si="28"/>
        <v>0</v>
      </c>
      <c r="U32" s="174">
        <f t="shared" si="28"/>
        <v>0</v>
      </c>
      <c r="V32" s="174">
        <f t="shared" si="28"/>
        <v>0</v>
      </c>
      <c r="W32" s="174">
        <f t="shared" si="28"/>
        <v>0</v>
      </c>
      <c r="X32" s="184">
        <f t="shared" si="28"/>
        <v>0</v>
      </c>
      <c r="Y32" s="174">
        <f t="shared" si="28"/>
        <v>0</v>
      </c>
      <c r="Z32" s="174">
        <f t="shared" si="28"/>
        <v>0</v>
      </c>
      <c r="AA32" s="174">
        <f t="shared" si="28"/>
        <v>0</v>
      </c>
      <c r="AB32" s="174">
        <f t="shared" si="28"/>
        <v>0</v>
      </c>
      <c r="AC32" s="174">
        <f t="shared" si="28"/>
        <v>0</v>
      </c>
      <c r="AD32" s="174">
        <f t="shared" si="28"/>
        <v>0</v>
      </c>
      <c r="AE32" s="174">
        <f t="shared" si="28"/>
        <v>0</v>
      </c>
      <c r="AF32" s="174">
        <f t="shared" si="28"/>
        <v>0</v>
      </c>
      <c r="AG32" s="174">
        <f t="shared" si="28"/>
        <v>0</v>
      </c>
      <c r="AH32" s="184">
        <f t="shared" si="28"/>
        <v>0</v>
      </c>
      <c r="AI32" s="128"/>
    </row>
    <row r="33" spans="1:36">
      <c r="A33" s="9"/>
      <c r="B33" s="35"/>
      <c r="C33" s="330"/>
      <c r="D33" s="330"/>
      <c r="E33" s="330"/>
      <c r="F33" s="330"/>
      <c r="G33" s="330"/>
      <c r="H33" s="286"/>
      <c r="I33" s="118"/>
      <c r="J33" s="118"/>
      <c r="K33" s="118"/>
      <c r="L33" s="118"/>
      <c r="M33" s="118"/>
      <c r="N33" s="184"/>
      <c r="O33" s="118"/>
      <c r="P33" s="118"/>
      <c r="Q33" s="118"/>
      <c r="R33" s="118"/>
      <c r="S33" s="118"/>
      <c r="T33" s="118"/>
      <c r="U33" s="118"/>
      <c r="V33" s="118"/>
      <c r="W33" s="118"/>
      <c r="X33" s="184"/>
      <c r="AI33" s="128"/>
    </row>
    <row r="34" spans="1:36">
      <c r="A34" s="9" t="s">
        <v>121</v>
      </c>
      <c r="B34" s="35">
        <v>1</v>
      </c>
      <c r="C34" s="330">
        <f>EIA_RE_aeo2014!E76*1000</f>
        <v>0</v>
      </c>
      <c r="D34" s="330">
        <f>MAX(D58*D$14,'Output - Jobs vs Yr (BAU)'!D10)</f>
        <v>0</v>
      </c>
      <c r="E34" s="330">
        <f>MAX(E58*E$14,'Output - Jobs vs Yr (BAU)'!E10)</f>
        <v>4.9026430000000012</v>
      </c>
      <c r="F34" s="330">
        <f>MAX(F58*F$14,'Output - Jobs vs Yr (BAU)'!F10)</f>
        <v>4.9682649999999997</v>
      </c>
      <c r="G34" s="330">
        <f>MAX(G58*G$14,'Output - Jobs vs Yr (BAU)'!G10)</f>
        <v>4.1277520000000001</v>
      </c>
      <c r="H34" s="286">
        <f>'Output - Jobs vs Yr (BAU)'!H10</f>
        <v>4.273466</v>
      </c>
      <c r="I34" s="286">
        <f>MAX(I58*I$14,'Output - Jobs vs Yr (BAU)'!I10)</f>
        <v>5.7341330088577704</v>
      </c>
      <c r="J34" s="286">
        <f>MAX(J58*J$14,'Output - Jobs vs Yr (BAU)'!J10)</f>
        <v>7.7197377373160849</v>
      </c>
      <c r="K34" s="286">
        <f>MAX(K58*K$14,'Output - Jobs vs Yr (BAU)'!K10)</f>
        <v>10.357121364524064</v>
      </c>
      <c r="L34" s="286">
        <f>MAX(L58*L$14,'Output - Jobs vs Yr (BAU)'!L10)</f>
        <v>13.600654069751711</v>
      </c>
      <c r="M34" s="286">
        <f>MAX(M58*M$14,'Output - Jobs vs Yr (BAU)'!M10)</f>
        <v>17.698811015761716</v>
      </c>
      <c r="N34" s="287">
        <f>MAX(Inputs!$E17*N$21,'Output - Jobs vs Yr (BAU)'!N10)</f>
        <v>22.668809044281836</v>
      </c>
      <c r="O34" s="286">
        <f>MAX(O58*O$14,'Output - Jobs vs Yr (BAU)'!O10)</f>
        <v>22.676888863889676</v>
      </c>
      <c r="P34" s="286">
        <f>MAX(P58*P$14,'Output - Jobs vs Yr (BAU)'!P10)</f>
        <v>22.320725828749797</v>
      </c>
      <c r="Q34" s="286">
        <f>MAX(Q58*Q$14,'Output - Jobs vs Yr (BAU)'!Q10)</f>
        <v>22.126464347056871</v>
      </c>
      <c r="R34" s="286">
        <f>MAX(R58*R$14,'Output - Jobs vs Yr (BAU)'!R10)</f>
        <v>22.214699992726466</v>
      </c>
      <c r="S34" s="286">
        <f>MAX(S58*S$14,'Output - Jobs vs Yr (BAU)'!S10)</f>
        <v>22.415685229220045</v>
      </c>
      <c r="T34" s="286">
        <f>MAX(T58*T$14,'Output - Jobs vs Yr (BAU)'!T10)</f>
        <v>22.028850820573318</v>
      </c>
      <c r="U34" s="286">
        <f>MAX(U58*U$14,'Output - Jobs vs Yr (BAU)'!U10)</f>
        <v>21.313582114698725</v>
      </c>
      <c r="V34" s="286">
        <f>MAX(V58*V$14,'Output - Jobs vs Yr (BAU)'!V10)</f>
        <v>21.606175038815813</v>
      </c>
      <c r="W34" s="286">
        <f>MAX(W58*W$14,'Output - Jobs vs Yr (BAU)'!W10)</f>
        <v>21.124558529918961</v>
      </c>
      <c r="X34" s="287">
        <f>Inputs!F17*'Output -Jobs vs Yr'!$X$14</f>
        <v>21.73430492911432</v>
      </c>
      <c r="Y34" s="286">
        <f>MAX(Y58*Y$14,'Output - Jobs vs Yr (BAU)'!Y10)</f>
        <v>22.047436025960071</v>
      </c>
      <c r="Z34" s="286">
        <f>MAX(Z58*Z$14,'Output - Jobs vs Yr (BAU)'!Z10)</f>
        <v>22.721878348505172</v>
      </c>
      <c r="AA34" s="286">
        <f>MAX(AA58*AA$14,'Output - Jobs vs Yr (BAU)'!AA10)</f>
        <v>23.368031093582665</v>
      </c>
      <c r="AB34" s="286">
        <f>MAX(AB58*AB$14,'Output - Jobs vs Yr (BAU)'!AB10)</f>
        <v>23.763773393490908</v>
      </c>
      <c r="AC34" s="286">
        <f>MAX(AC58*AC$14,'Output - Jobs vs Yr (BAU)'!AC10)</f>
        <v>23.516437979633132</v>
      </c>
      <c r="AD34" s="286">
        <f>MAX(AD58*AD$14,'Output - Jobs vs Yr (BAU)'!AD10)</f>
        <v>23.314552094796575</v>
      </c>
      <c r="AE34" s="286">
        <f>MAX(AE58*AE$14,'Output - Jobs vs Yr (BAU)'!AE10)</f>
        <v>23.176265602801763</v>
      </c>
      <c r="AF34" s="286">
        <f>MAX(AF58*AF$14,'Output - Jobs vs Yr (BAU)'!AF10)</f>
        <v>22.972286705791984</v>
      </c>
      <c r="AG34" s="286">
        <f>MAX(AG58*AG$14,'Output - Jobs vs Yr (BAU)'!AG10)</f>
        <v>22.685648771249763</v>
      </c>
      <c r="AH34" s="287">
        <f>Inputs!I17*'Output -Jobs vs Yr'!$AH$14</f>
        <v>21.967303595621804</v>
      </c>
      <c r="AI34" s="127"/>
    </row>
    <row r="35" spans="1:36" s="20" customFormat="1">
      <c r="A35" s="9" t="s">
        <v>50</v>
      </c>
      <c r="B35" s="35">
        <v>1</v>
      </c>
      <c r="C35" s="330">
        <f>EIA_RE_aeo2014!E74*1000</f>
        <v>0</v>
      </c>
      <c r="D35" s="330">
        <f>MAX(D59*D$14,'Output - Jobs vs Yr (BAU)'!D11)</f>
        <v>0</v>
      </c>
      <c r="E35" s="330">
        <f>MAX(E59*E$14,'Output - Jobs vs Yr (BAU)'!E11)</f>
        <v>1.0000000000000001E-7</v>
      </c>
      <c r="F35" s="330">
        <f>MAX(F59*F$14,'Output - Jobs vs Yr (BAU)'!F11)</f>
        <v>1.0000000000000001E-7</v>
      </c>
      <c r="G35" s="330">
        <f>MAX(G59*G$14,'Output - Jobs vs Yr (BAU)'!G11)</f>
        <v>1.0000000000000001E-7</v>
      </c>
      <c r="H35" s="286">
        <f>'Output - Jobs vs Yr (BAU)'!H11</f>
        <v>1.0000000000000001E-7</v>
      </c>
      <c r="I35" s="286">
        <f>MAX(I59*I$14,'Output - Jobs vs Yr (BAU)'!I11)</f>
        <v>1.2548321490909378E-7</v>
      </c>
      <c r="J35" s="286">
        <f>MAX(J59*J$14,'Output - Jobs vs Yr (BAU)'!J11)</f>
        <v>1.5798597978357297E-7</v>
      </c>
      <c r="K35" s="286">
        <f>MAX(K59*K$14,'Output - Jobs vs Yr (BAU)'!K11)</f>
        <v>1.98222611837931E-7</v>
      </c>
      <c r="L35" s="286">
        <f>MAX(L59*L$14,'Output - Jobs vs Yr (BAU)'!L11)</f>
        <v>2.4342885187759095E-7</v>
      </c>
      <c r="M35" s="286">
        <f>MAX(M59*M$14,'Output - Jobs vs Yr (BAU)'!M11)</f>
        <v>2.962473509002417E-7</v>
      </c>
      <c r="N35" s="287">
        <f>MAX(Inputs!$E19*N$21,'Output - Jobs vs Yr (BAU)'!N11)</f>
        <v>3.5484379469387257E-7</v>
      </c>
      <c r="O35" s="286">
        <f>MAX(O59*O$14,'Output - Jobs vs Yr (BAU)'!O11)</f>
        <v>3.5497027129193693E-7</v>
      </c>
      <c r="P35" s="286">
        <f>MAX(P59*P$14,'Output - Jobs vs Yr (BAU)'!P11)</f>
        <v>3.4939511104986847E-7</v>
      </c>
      <c r="Q35" s="286">
        <f>MAX(Q59*Q$14,'Output - Jobs vs Yr (BAU)'!Q11)</f>
        <v>3.4635425957892809E-7</v>
      </c>
      <c r="R35" s="286">
        <f>MAX(R59*R$14,'Output - Jobs vs Yr (BAU)'!R11)</f>
        <v>3.4773544688680571E-7</v>
      </c>
      <c r="S35" s="286">
        <f>MAX(S59*S$14,'Output - Jobs vs Yr (BAU)'!S11)</f>
        <v>3.5088154793938027E-7</v>
      </c>
      <c r="T35" s="286">
        <f>MAX(T59*T$14,'Output - Jobs vs Yr (BAU)'!T11)</f>
        <v>3.4482627660976493E-7</v>
      </c>
      <c r="U35" s="286">
        <f>MAX(U59*U$14,'Output - Jobs vs Yr (BAU)'!U11)</f>
        <v>3.3362989389188502E-7</v>
      </c>
      <c r="V35" s="286">
        <f>MAX(V59*V$14,'Output - Jobs vs Yr (BAU)'!V11)</f>
        <v>3.3820996615291432E-7</v>
      </c>
      <c r="W35" s="286">
        <f>MAX(W59*W$14,'Output - Jobs vs Yr (BAU)'!W11)</f>
        <v>3.3067103328395167E-7</v>
      </c>
      <c r="X35" s="287">
        <f>Inputs!F19*'Output -Jobs vs Yr'!$X$14</f>
        <v>3.4021563378187578E-7</v>
      </c>
      <c r="Y35" s="286">
        <f>MAX(Y59*Y$14,'Output - Jobs vs Yr (BAU)'!Y11)</f>
        <v>3.4511719814832972E-7</v>
      </c>
      <c r="Z35" s="286">
        <f>MAX(Z59*Z$14,'Output - Jobs vs Yr (BAU)'!Z11)</f>
        <v>3.5567450941097944E-7</v>
      </c>
      <c r="AA35" s="286">
        <f>MAX(AA59*AA$14,'Output - Jobs vs Yr (BAU)'!AA11)</f>
        <v>3.6578899277740916E-7</v>
      </c>
      <c r="AB35" s="286">
        <f>MAX(AB59*AB$14,'Output - Jobs vs Yr (BAU)'!AB11)</f>
        <v>3.7198370283676903E-7</v>
      </c>
      <c r="AC35" s="286">
        <f>MAX(AC59*AC$14,'Output - Jobs vs Yr (BAU)'!AC11)</f>
        <v>3.681120642057307E-7</v>
      </c>
      <c r="AD35" s="286">
        <f>MAX(AD59*AD$14,'Output - Jobs vs Yr (BAU)'!AD11)</f>
        <v>3.649518649499783E-7</v>
      </c>
      <c r="AE35" s="286">
        <f>MAX(AE59*AE$14,'Output - Jobs vs Yr (BAU)'!AE11)</f>
        <v>3.6278721203510796E-7</v>
      </c>
      <c r="AF35" s="286">
        <f>MAX(AF59*AF$14,'Output - Jobs vs Yr (BAU)'!AF11)</f>
        <v>3.5959425003560325E-7</v>
      </c>
      <c r="AG35" s="286">
        <f>MAX(AG59*AG$14,'Output - Jobs vs Yr (BAU)'!AG11)</f>
        <v>3.5510739357139776E-7</v>
      </c>
      <c r="AH35" s="287">
        <f>Inputs!I19*'Output -Jobs vs Yr'!$AH$14</f>
        <v>3.4386285366098908E-7</v>
      </c>
      <c r="AI35" s="127"/>
    </row>
    <row r="36" spans="1:36">
      <c r="A36" s="9" t="s">
        <v>119</v>
      </c>
      <c r="B36" s="35">
        <v>1</v>
      </c>
      <c r="C36" s="330">
        <v>0</v>
      </c>
      <c r="D36" s="330">
        <v>0</v>
      </c>
      <c r="E36" s="330">
        <v>0</v>
      </c>
      <c r="F36" s="330">
        <v>0</v>
      </c>
      <c r="G36" s="330">
        <v>0</v>
      </c>
      <c r="H36" s="286">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30">
        <f>EIA_RE_aeo2014!E75*1000</f>
        <v>145</v>
      </c>
      <c r="D37" s="330">
        <f>MAX(D61*D$14,'Output - Jobs vs Yr (BAU)'!D12)</f>
        <v>178.2642461741726</v>
      </c>
      <c r="E37" s="330">
        <f>MAX(E61*E$14,'Output - Jobs vs Yr (BAU)'!E12)</f>
        <v>225.91326143374641</v>
      </c>
      <c r="F37" s="330">
        <f>MAX(F61*F$14,'Output - Jobs vs Yr (BAU)'!F12)</f>
        <v>271.52202136369192</v>
      </c>
      <c r="G37" s="330">
        <f>MAX(G61*G$14,'Output - Jobs vs Yr (BAU)'!G12)</f>
        <v>323.37099269619625</v>
      </c>
      <c r="H37" s="286">
        <f>'Output - Jobs vs Yr (BAU)'!H12</f>
        <v>174.84658229837549</v>
      </c>
      <c r="I37" s="118">
        <f>MAX(I61*I$14,'Output - Jobs vs Yr (BAU)'!I12)</f>
        <v>219.4005185150302</v>
      </c>
      <c r="J37" s="118">
        <f>MAX(J61*J$14,'Output - Jobs vs Yr (BAU)'!J12)</f>
        <v>276.2265541196673</v>
      </c>
      <c r="K37" s="118">
        <f>MAX(K61*K$14,'Output - Jobs vs Yr (BAU)'!K12)</f>
        <v>346.57316873192087</v>
      </c>
      <c r="L37" s="118">
        <f>MAX(L61*L$14,'Output - Jobs vs Yr (BAU)'!L12)</f>
        <v>425.60689859668577</v>
      </c>
      <c r="M37" s="118">
        <f>MAX(M61*M$14,'Output - Jobs vs Yr (BAU)'!M12)</f>
        <v>517.94774734893554</v>
      </c>
      <c r="N37" s="184">
        <f>MAX(Inputs!$E20*N$21,'Output - Jobs vs Yr (BAU)'!N12)</f>
        <v>620.38823475493291</v>
      </c>
      <c r="O37" s="174">
        <f>MAX(O61*O$14,'Output - Jobs vs Yr (BAU)'!O12)</f>
        <v>620.60935907663179</v>
      </c>
      <c r="P37" s="174">
        <f>MAX(P61*P$14,'Output - Jobs vs Yr (BAU)'!P12)</f>
        <v>610.86207344624154</v>
      </c>
      <c r="Q37" s="174">
        <f>MAX(Q61*Q$14,'Output - Jobs vs Yr (BAU)'!Q12)</f>
        <v>605.54562574610304</v>
      </c>
      <c r="R37" s="174">
        <f>MAX(R61*R$14,'Output - Jobs vs Yr (BAU)'!R12)</f>
        <v>607.96041323460713</v>
      </c>
      <c r="S37" s="174">
        <f>MAX(S61*S$14,'Output - Jobs vs Yr (BAU)'!S12)</f>
        <v>613.46087317656895</v>
      </c>
      <c r="T37" s="174">
        <f>MAX(T61*T$14,'Output - Jobs vs Yr (BAU)'!T12)</f>
        <v>602.8741892685606</v>
      </c>
      <c r="U37" s="174">
        <f>MAX(U61*U$14,'Output - Jobs vs Yr (BAU)'!U12)</f>
        <v>583.29908547964249</v>
      </c>
      <c r="V37" s="174">
        <f>MAX(V61*V$14,'Output - Jobs vs Yr (BAU)'!V12)</f>
        <v>591.30661720926264</v>
      </c>
      <c r="W37" s="174">
        <f>MAX(W61*W$14,'Output - Jobs vs Yr (BAU)'!W12)</f>
        <v>578.12598583159775</v>
      </c>
      <c r="X37" s="184">
        <f>Inputs!F20*'Output -Jobs vs Yr'!$X$14</f>
        <v>594.81320973939319</v>
      </c>
      <c r="Y37" s="174">
        <f>MAX(Y61*Y$14,'Output - Jobs vs Yr (BAU)'!Y12)</f>
        <v>603.38281955169225</v>
      </c>
      <c r="Z37" s="174">
        <f>MAX(Z61*Z$14,'Output - Jobs vs Yr (BAU)'!Z12)</f>
        <v>621.84060800941086</v>
      </c>
      <c r="AA37" s="174">
        <f>MAX(AA61*AA$14,'Output - Jobs vs Yr (BAU)'!AA12)</f>
        <v>639.52418195092753</v>
      </c>
      <c r="AB37" s="174">
        <f>MAX(AB61*AB$14,'Output - Jobs vs Yr (BAU)'!AB12)</f>
        <v>650.35465241712348</v>
      </c>
      <c r="AC37" s="174">
        <f>MAX(AC61*AC$14,'Output - Jobs vs Yr (BAU)'!AC12)</f>
        <v>643.58570480739832</v>
      </c>
      <c r="AD37" s="174">
        <f>MAX(AD61*AD$14,'Output - Jobs vs Yr (BAU)'!AD12)</f>
        <v>638.06059638767385</v>
      </c>
      <c r="AE37" s="174">
        <f>MAX(AE61*AE$14,'Output - Jobs vs Yr (BAU)'!AE12)</f>
        <v>634.27604323838727</v>
      </c>
      <c r="AF37" s="174">
        <f>MAX(AF61*AF$14,'Output - Jobs vs Yr (BAU)'!AF12)</f>
        <v>628.69365434464532</v>
      </c>
      <c r="AG37" s="174">
        <f>MAX(AG61*AG$14,'Output - Jobs vs Yr (BAU)'!AG12)</f>
        <v>620.8490956879873</v>
      </c>
      <c r="AH37" s="184">
        <f>Inputs!I20*'Output -Jobs vs Yr'!$AH$14</f>
        <v>601.18979666694042</v>
      </c>
      <c r="AI37" s="127"/>
    </row>
    <row r="38" spans="1:36" s="20" customFormat="1">
      <c r="A38" s="9" t="s">
        <v>347</v>
      </c>
      <c r="B38" s="35">
        <v>1</v>
      </c>
      <c r="C38" s="330">
        <f>'Output - Jobs vs Yr (BAU)'!C13</f>
        <v>0</v>
      </c>
      <c r="D38" s="330">
        <f>MAX(D62*D$14,'Output - Jobs vs Yr (BAU)'!D13)</f>
        <v>154.78</v>
      </c>
      <c r="E38" s="330">
        <f>MAX(E62*E$14,'Output - Jobs vs Yr (BAU)'!E13)</f>
        <v>160.5411859527625</v>
      </c>
      <c r="F38" s="330">
        <f>MAX(F62*F$14,'Output - Jobs vs Yr (BAU)'!F13)</f>
        <v>157.82580010101378</v>
      </c>
      <c r="G38" s="330">
        <f>MAX(G62*G$14,'Output - Jobs vs Yr (BAU)'!G13)</f>
        <v>153.74636275718959</v>
      </c>
      <c r="H38" s="286">
        <f>'Output - Jobs vs Yr (BAU)'!H13</f>
        <v>159.70527887302018</v>
      </c>
      <c r="I38" s="118">
        <f>MAX(I62*I$14,'Output - Jobs vs Yr (BAU)'!I13)</f>
        <v>202.43868965998971</v>
      </c>
      <c r="J38" s="118">
        <f>MAX(J62*J$14,'Output - Jobs vs Yr (BAU)'!J13)</f>
        <v>257.46312586892731</v>
      </c>
      <c r="K38" s="118">
        <f>MAX(K62*K$14,'Output - Jobs vs Yr (BAU)'!K13)</f>
        <v>326.31594328968072</v>
      </c>
      <c r="L38" s="118">
        <f>MAX(L62*L$14,'Output - Jobs vs Yr (BAU)'!L13)</f>
        <v>404.80489827727257</v>
      </c>
      <c r="M38" s="118">
        <f>MAX(M62*M$14,'Output - Jobs vs Yr (BAU)'!M13)</f>
        <v>497.6417319481796</v>
      </c>
      <c r="N38" s="184">
        <f>MAX(Inputs!$E21*N$21,'Output - Jobs vs Yr (BAU)'!N13)</f>
        <v>602.12705499285914</v>
      </c>
      <c r="O38" s="174">
        <f>MAX(O62*O$14,'Output - Jobs vs Yr (BAU)'!O13)</f>
        <v>602.34167050158942</v>
      </c>
      <c r="P38" s="174">
        <f>MAX(P62*P$14,'Output - Jobs vs Yr (BAU)'!P13)</f>
        <v>592.88129704186463</v>
      </c>
      <c r="Q38" s="174">
        <f>MAX(Q62*Q$14,'Output - Jobs vs Yr (BAU)'!Q13)</f>
        <v>587.72133942601374</v>
      </c>
      <c r="R38" s="174">
        <f>MAX(R62*R$14,'Output - Jobs vs Yr (BAU)'!R13)</f>
        <v>590.0650474421094</v>
      </c>
      <c r="S38" s="174">
        <f>MAX(S62*S$14,'Output - Jobs vs Yr (BAU)'!S13)</f>
        <v>595.40360088400053</v>
      </c>
      <c r="T38" s="174">
        <f>MAX(T62*T$14,'Output - Jobs vs Yr (BAU)'!T13)</f>
        <v>585.12853690541385</v>
      </c>
      <c r="U38" s="174">
        <f>MAX(U62*U$14,'Output - Jobs vs Yr (BAU)'!U13)</f>
        <v>566.12962793955171</v>
      </c>
      <c r="V38" s="174">
        <f>MAX(V62*V$14,'Output - Jobs vs Yr (BAU)'!V13)</f>
        <v>573.90145730060124</v>
      </c>
      <c r="W38" s="174">
        <f>MAX(W62*W$14,'Output - Jobs vs Yr (BAU)'!W13)</f>
        <v>561.10879891384945</v>
      </c>
      <c r="X38" s="184">
        <f>Inputs!F21*'Output -Jobs vs Yr'!$X$14</f>
        <v>577.30483298528247</v>
      </c>
      <c r="Y38" s="174">
        <f>MAX(Y62*Y$14,'Output - Jobs vs Yr (BAU)'!Y13)</f>
        <v>585.62219561346933</v>
      </c>
      <c r="Z38" s="174">
        <f>MAX(Z62*Z$14,'Output - Jobs vs Yr (BAU)'!Z13)</f>
        <v>603.53667751868727</v>
      </c>
      <c r="AA38" s="174">
        <f>MAX(AA62*AA$14,'Output - Jobs vs Yr (BAU)'!AA13)</f>
        <v>620.69973397697095</v>
      </c>
      <c r="AB38" s="174">
        <f>MAX(AB62*AB$14,'Output - Jobs vs Yr (BAU)'!AB13)</f>
        <v>631.21140863594292</v>
      </c>
      <c r="AC38" s="174">
        <f>MAX(AC62*AC$14,'Output - Jobs vs Yr (BAU)'!AC13)</f>
        <v>624.64170556725912</v>
      </c>
      <c r="AD38" s="174">
        <f>MAX(AD62*AD$14,'Output - Jobs vs Yr (BAU)'!AD13)</f>
        <v>619.27922917761725</v>
      </c>
      <c r="AE38" s="174">
        <f>MAX(AE62*AE$14,'Output - Jobs vs Yr (BAU)'!AE13)</f>
        <v>615.60607466793499</v>
      </c>
      <c r="AF38" s="174">
        <f>MAX(AF62*AF$14,'Output - Jobs vs Yr (BAU)'!AF13)</f>
        <v>610.18800385983616</v>
      </c>
      <c r="AG38" s="174">
        <f>MAX(AG62*AG$14,'Output - Jobs vs Yr (BAU)'!AG13)</f>
        <v>602.57435044566705</v>
      </c>
      <c r="AH38" s="184">
        <f>Inputs!I21*'Output -Jobs vs Yr'!$AH$14</f>
        <v>583.49372454140075</v>
      </c>
      <c r="AI38" s="127"/>
    </row>
    <row r="39" spans="1:36" s="20" customFormat="1">
      <c r="A39" s="9" t="s">
        <v>348</v>
      </c>
      <c r="B39" s="35">
        <v>1</v>
      </c>
      <c r="C39" s="330">
        <f>'Output - Jobs vs Yr (BAU)'!C14</f>
        <v>0</v>
      </c>
      <c r="D39" s="330">
        <f>MAX(D63*D$14,'Output - Jobs vs Yr (BAU)'!D14)</f>
        <v>0</v>
      </c>
      <c r="E39" s="330">
        <f>MAX(E63*E$14,'Output - Jobs vs Yr (BAU)'!E14)</f>
        <v>0.1</v>
      </c>
      <c r="F39" s="330">
        <f>MAX(F63*F$14,'Output - Jobs vs Yr (BAU)'!F14)</f>
        <v>0.1</v>
      </c>
      <c r="G39" s="330">
        <f>MAX(G63*G$14,'Output - Jobs vs Yr (BAU)'!G14)</f>
        <v>0.1</v>
      </c>
      <c r="H39" s="286">
        <f>'Output - Jobs vs Yr (BAU)'!H14</f>
        <v>0.1</v>
      </c>
      <c r="I39" s="118">
        <f>MAX(I63*I$14,'Output - Jobs vs Yr (BAU)'!I14)</f>
        <v>0.12548321490909375</v>
      </c>
      <c r="J39" s="118">
        <f>MAX(J63*J$14,'Output - Jobs vs Yr (BAU)'!J14)</f>
        <v>0.15798597978357296</v>
      </c>
      <c r="K39" s="118">
        <f>MAX(K63*K$14,'Output - Jobs vs Yr (BAU)'!K14)</f>
        <v>0.19822261183793094</v>
      </c>
      <c r="L39" s="118">
        <f>MAX(L63*L$14,'Output - Jobs vs Yr (BAU)'!L14)</f>
        <v>0.24342885187759092</v>
      </c>
      <c r="M39" s="118">
        <f>MAX(M63*M$14,'Output - Jobs vs Yr (BAU)'!M14)</f>
        <v>0.29624735090024168</v>
      </c>
      <c r="N39" s="184">
        <f>MAX(Inputs!$E22*N$21,'Output - Jobs vs Yr (BAU)'!N14)</f>
        <v>0.35484379469387256</v>
      </c>
      <c r="O39" s="174">
        <f>MAX(O63*O$14,'Output - Jobs vs Yr (BAU)'!O14)</f>
        <v>0.35497027129193687</v>
      </c>
      <c r="P39" s="174">
        <f>MAX(P63*P$14,'Output - Jobs vs Yr (BAU)'!P14)</f>
        <v>0.34939511104986842</v>
      </c>
      <c r="Q39" s="174">
        <f>MAX(Q63*Q$14,'Output - Jobs vs Yr (BAU)'!Q14)</f>
        <v>0.34635425957892801</v>
      </c>
      <c r="R39" s="174">
        <f>MAX(R63*R$14,'Output - Jobs vs Yr (BAU)'!R14)</f>
        <v>0.34773544688680558</v>
      </c>
      <c r="S39" s="174">
        <f>MAX(S63*S$14,'Output - Jobs vs Yr (BAU)'!S14)</f>
        <v>0.35088154793938015</v>
      </c>
      <c r="T39" s="174">
        <f>MAX(T63*T$14,'Output - Jobs vs Yr (BAU)'!T14)</f>
        <v>0.34482627660976478</v>
      </c>
      <c r="U39" s="174">
        <f>MAX(U63*U$14,'Output - Jobs vs Yr (BAU)'!U14)</f>
        <v>0.33362989389188491</v>
      </c>
      <c r="V39" s="174">
        <f>MAX(V63*V$14,'Output - Jobs vs Yr (BAU)'!V14)</f>
        <v>0.33820996615291421</v>
      </c>
      <c r="W39" s="174">
        <f>MAX(W63*W$14,'Output - Jobs vs Yr (BAU)'!W14)</f>
        <v>0.33067103328395153</v>
      </c>
      <c r="X39" s="184">
        <f>Inputs!F22*'Output -Jobs vs Yr'!$X$14</f>
        <v>0.34021563378187586</v>
      </c>
      <c r="Y39" s="174">
        <f>MAX(Y63*Y$14,'Output - Jobs vs Yr (BAU)'!Y14)</f>
        <v>0.34511719814832981</v>
      </c>
      <c r="Z39" s="174">
        <f>MAX(Z63*Z$14,'Output - Jobs vs Yr (BAU)'!Z14)</f>
        <v>0.3556745094109795</v>
      </c>
      <c r="AA39" s="174">
        <f>MAX(AA63*AA$14,'Output - Jobs vs Yr (BAU)'!AA14)</f>
        <v>0.36578899277740923</v>
      </c>
      <c r="AB39" s="174">
        <f>MAX(AB63*AB$14,'Output - Jobs vs Yr (BAU)'!AB14)</f>
        <v>0.37198370283676913</v>
      </c>
      <c r="AC39" s="174">
        <f>MAX(AC63*AC$14,'Output - Jobs vs Yr (BAU)'!AC14)</f>
        <v>0.36811206420573078</v>
      </c>
      <c r="AD39" s="174">
        <f>MAX(AD63*AD$14,'Output - Jobs vs Yr (BAU)'!AD14)</f>
        <v>0.36495186494997833</v>
      </c>
      <c r="AE39" s="174">
        <f>MAX(AE63*AE$14,'Output - Jobs vs Yr (BAU)'!AE14)</f>
        <v>0.36278721203510805</v>
      </c>
      <c r="AF39" s="174">
        <f>MAX(AF63*AF$14,'Output - Jobs vs Yr (BAU)'!AF14)</f>
        <v>0.3595942500356033</v>
      </c>
      <c r="AG39" s="174">
        <f>MAX(AG63*AG$14,'Output - Jobs vs Yr (BAU)'!AG14)</f>
        <v>0.35510739357139781</v>
      </c>
      <c r="AH39" s="184">
        <f>Inputs!I22*'Output -Jobs vs Yr'!$AH$14</f>
        <v>0.34386285366098912</v>
      </c>
      <c r="AI39" s="127"/>
    </row>
    <row r="40" spans="1:36" s="20" customFormat="1">
      <c r="A40" s="9" t="s">
        <v>344</v>
      </c>
      <c r="B40" s="35">
        <v>1</v>
      </c>
      <c r="C40" s="330">
        <f>'Output - Jobs vs Yr (BAU)'!C15</f>
        <v>0.01</v>
      </c>
      <c r="D40" s="330">
        <f>MAX(D64*D$14,'Output - Jobs vs Yr (BAU)'!D15)</f>
        <v>1.2294231303831012E-2</v>
      </c>
      <c r="E40" s="330">
        <f>MAX(E64*E$14,'Output - Jobs vs Yr (BAU)'!E15)</f>
        <v>1.5580593358428291E-2</v>
      </c>
      <c r="F40" s="330">
        <f>MAX(F64*F$14,'Output - Jobs vs Yr (BAU)'!F15)</f>
        <v>1.8726320869612258E-2</v>
      </c>
      <c r="G40" s="330">
        <f>MAX(G64*G$14,'Output - Jobs vs Yr (BAU)'!G15)</f>
        <v>2.2302502527569944E-2</v>
      </c>
      <c r="H40" s="286">
        <f>'Output - Jobs vs Yr (BAU)'!H15</f>
        <v>0.01</v>
      </c>
      <c r="I40" s="118">
        <f>MAX(I64*I$14,'Output - Jobs vs Yr (BAU)'!I15)</f>
        <v>1.2548321490909375E-2</v>
      </c>
      <c r="J40" s="118">
        <f>MAX(J64*J$14,'Output - Jobs vs Yr (BAU)'!J15)</f>
        <v>1.5798597978357296E-2</v>
      </c>
      <c r="K40" s="118">
        <f>MAX(K64*K$14,'Output - Jobs vs Yr (BAU)'!K15)</f>
        <v>1.9822261183793096E-2</v>
      </c>
      <c r="L40" s="118">
        <f>MAX(L64*L$14,'Output - Jobs vs Yr (BAU)'!L15)</f>
        <v>2.4342885187759091E-2</v>
      </c>
      <c r="M40" s="118">
        <f>MAX(M64*M$14,'Output - Jobs vs Yr (BAU)'!M15)</f>
        <v>2.9624735090024168E-2</v>
      </c>
      <c r="N40" s="184">
        <f>MAX(Inputs!$E18*N$21,'Output - Jobs vs Yr (BAU)'!N15)</f>
        <v>3.5484379469387255E-2</v>
      </c>
      <c r="O40" s="174">
        <f>MAX(O64*O$14,'Output - Jobs vs Yr (BAU)'!O15)</f>
        <v>3.5497027129193691E-2</v>
      </c>
      <c r="P40" s="174">
        <f>MAX(P64*P$14,'Output - Jobs vs Yr (BAU)'!P15)</f>
        <v>3.4939511104986845E-2</v>
      </c>
      <c r="Q40" s="174">
        <f>MAX(Q64*Q$14,'Output - Jobs vs Yr (BAU)'!Q15)</f>
        <v>3.4635425957892804E-2</v>
      </c>
      <c r="R40" s="174">
        <f>MAX(R64*R$14,'Output - Jobs vs Yr (BAU)'!R15)</f>
        <v>3.4773544688680567E-2</v>
      </c>
      <c r="S40" s="174">
        <f>MAX(S64*S$14,'Output - Jobs vs Yr (BAU)'!S15)</f>
        <v>3.5088154793938016E-2</v>
      </c>
      <c r="T40" s="174">
        <f>MAX(T64*T$14,'Output - Jobs vs Yr (BAU)'!T15)</f>
        <v>3.4482627660976484E-2</v>
      </c>
      <c r="U40" s="174">
        <f>MAX(U64*U$14,'Output - Jobs vs Yr (BAU)'!U15)</f>
        <v>3.3362989389188497E-2</v>
      </c>
      <c r="V40" s="174">
        <f>MAX(V64*V$14,'Output - Jobs vs Yr (BAU)'!V15)</f>
        <v>3.3820996615291428E-2</v>
      </c>
      <c r="W40" s="174">
        <f>MAX(W64*W$14,'Output - Jobs vs Yr (BAU)'!W15)</f>
        <v>3.3067103328395159E-2</v>
      </c>
      <c r="X40" s="184">
        <f>Inputs!F18*'Output -Jobs vs Yr'!$X$14</f>
        <v>3.4021563378187576E-2</v>
      </c>
      <c r="Y40" s="174">
        <f>MAX(Y64*Y$14,'Output - Jobs vs Yr (BAU)'!Y15)</f>
        <v>3.4511719814832968E-2</v>
      </c>
      <c r="Z40" s="174">
        <f>MAX(Z64*Z$14,'Output - Jobs vs Yr (BAU)'!Z15)</f>
        <v>3.5567450941097943E-2</v>
      </c>
      <c r="AA40" s="174">
        <f>MAX(AA64*AA$14,'Output - Jobs vs Yr (BAU)'!AA15)</f>
        <v>3.6578899277740912E-2</v>
      </c>
      <c r="AB40" s="174">
        <f>MAX(AB64*AB$14,'Output - Jobs vs Yr (BAU)'!AB15)</f>
        <v>3.7198370283676903E-2</v>
      </c>
      <c r="AC40" s="174">
        <f>MAX(AC64*AC$14,'Output - Jobs vs Yr (BAU)'!AC15)</f>
        <v>3.6811206420573069E-2</v>
      </c>
      <c r="AD40" s="174">
        <f>MAX(AD64*AD$14,'Output - Jobs vs Yr (BAU)'!AD15)</f>
        <v>3.6495186494997826E-2</v>
      </c>
      <c r="AE40" s="174">
        <f>MAX(AE64*AE$14,'Output - Jobs vs Yr (BAU)'!AE15)</f>
        <v>3.6278721203510798E-2</v>
      </c>
      <c r="AF40" s="174">
        <f>MAX(AF64*AF$14,'Output - Jobs vs Yr (BAU)'!AF15)</f>
        <v>3.5959425003560322E-2</v>
      </c>
      <c r="AG40" s="174">
        <f>MAX(AG64*AG$14,'Output - Jobs vs Yr (BAU)'!AG15)</f>
        <v>3.5510739357139776E-2</v>
      </c>
      <c r="AH40" s="184">
        <f>Inputs!I18*'Output -Jobs vs Yr'!$AH$14</f>
        <v>3.4386285366098904E-2</v>
      </c>
      <c r="AI40" s="127"/>
    </row>
    <row r="41" spans="1:36" s="252" customFormat="1">
      <c r="A41" s="10" t="s">
        <v>120</v>
      </c>
      <c r="B41" s="37">
        <v>1</v>
      </c>
      <c r="C41" s="330">
        <v>0</v>
      </c>
      <c r="D41" s="330">
        <v>0</v>
      </c>
      <c r="E41" s="330">
        <v>0</v>
      </c>
      <c r="F41" s="330">
        <v>0</v>
      </c>
      <c r="G41" s="330">
        <v>0</v>
      </c>
      <c r="H41" s="286">
        <v>1</v>
      </c>
      <c r="I41" s="286">
        <v>2</v>
      </c>
      <c r="J41" s="286">
        <v>3</v>
      </c>
      <c r="K41" s="286">
        <v>4</v>
      </c>
      <c r="L41" s="286">
        <v>5</v>
      </c>
      <c r="M41" s="286">
        <v>6</v>
      </c>
      <c r="N41" s="287">
        <v>7</v>
      </c>
      <c r="O41" s="286">
        <v>8</v>
      </c>
      <c r="P41" s="286">
        <v>9</v>
      </c>
      <c r="Q41" s="286">
        <v>10</v>
      </c>
      <c r="R41" s="286">
        <v>11</v>
      </c>
      <c r="S41" s="286">
        <v>12</v>
      </c>
      <c r="T41" s="286">
        <v>13</v>
      </c>
      <c r="U41" s="286">
        <v>14</v>
      </c>
      <c r="V41" s="286">
        <v>15</v>
      </c>
      <c r="W41" s="286">
        <v>16</v>
      </c>
      <c r="X41" s="287">
        <v>17</v>
      </c>
      <c r="Y41" s="252">
        <v>18</v>
      </c>
      <c r="Z41" s="252">
        <v>19</v>
      </c>
      <c r="AA41" s="252">
        <v>20</v>
      </c>
      <c r="AB41" s="252">
        <v>21</v>
      </c>
      <c r="AC41" s="252">
        <v>22</v>
      </c>
      <c r="AD41" s="197">
        <v>23</v>
      </c>
      <c r="AE41" s="252">
        <v>24</v>
      </c>
      <c r="AF41" s="252">
        <v>25</v>
      </c>
      <c r="AG41" s="252">
        <v>26</v>
      </c>
      <c r="AH41" s="287">
        <v>27</v>
      </c>
      <c r="AI41" s="252">
        <f>EXP(0.01)</f>
        <v>1.0100501670841679</v>
      </c>
      <c r="AJ41" s="482">
        <v>0.01</v>
      </c>
    </row>
    <row r="42" spans="1:36" s="20" customFormat="1">
      <c r="A42" s="9" t="s">
        <v>53</v>
      </c>
      <c r="B42" s="35">
        <v>1</v>
      </c>
      <c r="C42" s="330">
        <f>EIA_RE_aeo2014!E78*1000</f>
        <v>0</v>
      </c>
      <c r="D42" s="330">
        <f>MAX(D66*D$14,'Output - Jobs vs Yr (BAU)'!D16)</f>
        <v>3</v>
      </c>
      <c r="E42" s="330">
        <f>MAX(E66*E$14,'Output - Jobs vs Yr (BAU)'!E16)</f>
        <v>0.85220521172638419</v>
      </c>
      <c r="F42" s="330">
        <f>MAX(F66*F$14,'Output - Jobs vs Yr (BAU)'!F16)</f>
        <v>1.2705273615635178</v>
      </c>
      <c r="G42" s="330">
        <f>MAX(G66*G$14,'Output - Jobs vs Yr (BAU)'!G16)</f>
        <v>2.1101550488599345</v>
      </c>
      <c r="H42" s="286">
        <f>'Output - Jobs vs Yr (BAU)'!H16</f>
        <v>2.1414332247556995</v>
      </c>
      <c r="I42" s="118">
        <f>MAX(I66*I$14,'Output - Jobs vs Yr (BAU)'!I16)</f>
        <v>5.2935752442996735</v>
      </c>
      <c r="J42" s="118">
        <f>MAX(J66*J$14,'Output - Jobs vs Yr (BAU)'!J16)</f>
        <v>7.4221182410423445</v>
      </c>
      <c r="K42" s="118">
        <f>MAX(K66*K$14,'Output - Jobs vs Yr (BAU)'!K16)</f>
        <v>7.9022961288497164</v>
      </c>
      <c r="L42" s="118">
        <f>MAX(L66*L$14,'Output - Jobs vs Yr (BAU)'!L16)</f>
        <v>11.938158666534617</v>
      </c>
      <c r="M42" s="118">
        <f>MAX(M66*M$14,'Output - Jobs vs Yr (BAU)'!M16)</f>
        <v>17.872485823216511</v>
      </c>
      <c r="N42" s="184">
        <f>MAX(Inputs!$E23*N$21,'Output - Jobs vs Yr (BAU)'!N16)</f>
        <v>26.334973794388457</v>
      </c>
      <c r="O42" s="174">
        <f>MAX(O66*O$14,'Output - Jobs vs Yr (BAU)'!O16)</f>
        <v>26.344360341216749</v>
      </c>
      <c r="P42" s="174">
        <f>MAX(P66*P$14,'Output - Jobs vs Yr (BAU)'!P16)</f>
        <v>25.930596028384244</v>
      </c>
      <c r="Q42" s="174">
        <f>MAX(Q66*Q$14,'Output - Jobs vs Yr (BAU)'!Q16)</f>
        <v>25.704917166312185</v>
      </c>
      <c r="R42" s="174">
        <f>MAX(R66*R$14,'Output - Jobs vs Yr (BAU)'!R16)</f>
        <v>25.807422922653444</v>
      </c>
      <c r="S42" s="174">
        <f>MAX(S66*S$14,'Output - Jobs vs Yr (BAU)'!S16)</f>
        <v>26.040912954078475</v>
      </c>
      <c r="T42" s="174">
        <f>MAX(T66*T$14,'Output - Jobs vs Yr (BAU)'!T16)</f>
        <v>25.591516870032802</v>
      </c>
      <c r="U42" s="174">
        <f>MAX(U66*U$14,'Output - Jobs vs Yr (BAU)'!U16)</f>
        <v>24.760569704332227</v>
      </c>
      <c r="V42" s="174">
        <f>MAX(V66*V$14,'Output - Jobs vs Yr (BAU)'!V16)</f>
        <v>25.100482885214163</v>
      </c>
      <c r="W42" s="174">
        <f>MAX(W66*W$14,'Output - Jobs vs Yr (BAU)'!W16)</f>
        <v>24.540975849976121</v>
      </c>
      <c r="X42" s="184">
        <f>Inputs!F23*'Output -Jobs vs Yr'!$X$14</f>
        <v>25.249334873719505</v>
      </c>
      <c r="Y42" s="174">
        <f>MAX(Y66*Y$14,'Output - Jobs vs Yr (BAU)'!Y16)</f>
        <v>25.613107810071497</v>
      </c>
      <c r="Z42" s="174">
        <f>MAX(Z66*Z$14,'Output - Jobs vs Yr (BAU)'!Z16)</f>
        <v>26.396625852653976</v>
      </c>
      <c r="AA42" s="174">
        <f>MAX(AA66*AA$14,'Output - Jobs vs Yr (BAU)'!AA16)</f>
        <v>27.147279121449337</v>
      </c>
      <c r="AB42" s="174">
        <f>MAX(AB66*AB$14,'Output - Jobs vs Yr (BAU)'!AB16)</f>
        <v>27.607023745750343</v>
      </c>
      <c r="AC42" s="174">
        <f>MAX(AC66*AC$14,'Output - Jobs vs Yr (BAU)'!AC16)</f>
        <v>27.319687449006871</v>
      </c>
      <c r="AD42" s="174">
        <f>MAX(AD66*AD$14,'Output - Jobs vs Yr (BAU)'!AD16)</f>
        <v>27.085151109835198</v>
      </c>
      <c r="AE42" s="174">
        <f>MAX(AE66*AE$14,'Output - Jobs vs Yr (BAU)'!AE16)</f>
        <v>26.92449992010188</v>
      </c>
      <c r="AF42" s="174">
        <f>MAX(AF66*AF$14,'Output - Jobs vs Yr (BAU)'!AF16)</f>
        <v>26.687532071598351</v>
      </c>
      <c r="AG42" s="174">
        <f>MAX(AG66*AG$14,'Output - Jobs vs Yr (BAU)'!AG16)</f>
        <v>26.354536964537306</v>
      </c>
      <c r="AH42" s="184">
        <f>Inputs!I23*'Output -Jobs vs Yr'!$AH$14</f>
        <v>25.520015780008663</v>
      </c>
      <c r="AI42" s="127"/>
    </row>
    <row r="43" spans="1:36">
      <c r="A43" s="10" t="s">
        <v>332</v>
      </c>
      <c r="B43" s="37"/>
      <c r="C43" s="330">
        <f>SUM(C31:C42)</f>
        <v>150</v>
      </c>
      <c r="D43" s="330">
        <f t="shared" ref="D43:AG43" si="29">SUM(D31:D42)</f>
        <v>340.97339558551744</v>
      </c>
      <c r="E43" s="330">
        <f t="shared" si="29"/>
        <v>397.31684824689489</v>
      </c>
      <c r="F43" s="330">
        <f t="shared" si="29"/>
        <v>440.50987733123969</v>
      </c>
      <c r="G43" s="330">
        <f t="shared" si="29"/>
        <v>488.05755150870954</v>
      </c>
      <c r="H43" s="286">
        <f t="shared" si="29"/>
        <v>346.15176416795839</v>
      </c>
      <c r="I43" s="83">
        <f t="shared" si="29"/>
        <v>439.17943643412673</v>
      </c>
      <c r="J43" s="83">
        <f t="shared" si="29"/>
        <v>556.29598158161775</v>
      </c>
      <c r="K43" s="83">
        <f t="shared" si="29"/>
        <v>699.76143689263574</v>
      </c>
      <c r="L43" s="83">
        <f t="shared" si="29"/>
        <v>865.62442699905353</v>
      </c>
      <c r="M43" s="83">
        <f t="shared" si="29"/>
        <v>1061.8640323508762</v>
      </c>
      <c r="N43" s="184">
        <f t="shared" si="29"/>
        <v>1283.1897482938782</v>
      </c>
      <c r="O43" s="83">
        <f t="shared" si="29"/>
        <v>1284.7004903726993</v>
      </c>
      <c r="P43" s="83">
        <f t="shared" si="29"/>
        <v>1265.7016161818692</v>
      </c>
      <c r="Q43" s="83">
        <f t="shared" si="29"/>
        <v>1255.8148565969293</v>
      </c>
      <c r="R43" s="83">
        <f t="shared" si="29"/>
        <v>1261.8317267132552</v>
      </c>
      <c r="S43" s="83">
        <f t="shared" si="29"/>
        <v>1274.1958608117652</v>
      </c>
      <c r="T43" s="83">
        <f t="shared" si="29"/>
        <v>1253.4584676222162</v>
      </c>
      <c r="U43" s="83">
        <f t="shared" si="29"/>
        <v>1214.222758889634</v>
      </c>
      <c r="V43" s="83">
        <f t="shared" si="29"/>
        <v>1231.7397902286391</v>
      </c>
      <c r="W43" s="83">
        <f t="shared" si="29"/>
        <v>1205.655643286412</v>
      </c>
      <c r="X43" s="184">
        <f t="shared" si="29"/>
        <v>1241.0315168368415</v>
      </c>
      <c r="Y43" s="174">
        <f t="shared" si="29"/>
        <v>1259.6638004076299</v>
      </c>
      <c r="Z43" s="174">
        <f t="shared" si="29"/>
        <v>1298.6442316490184</v>
      </c>
      <c r="AA43" s="174">
        <f t="shared" si="29"/>
        <v>1336.0313017539297</v>
      </c>
      <c r="AB43" s="174">
        <f t="shared" si="29"/>
        <v>1359.3157341979831</v>
      </c>
      <c r="AC43" s="174">
        <f t="shared" si="29"/>
        <v>1346.3836354037583</v>
      </c>
      <c r="AD43" s="174">
        <f t="shared" si="29"/>
        <v>1336.0111873108376</v>
      </c>
      <c r="AE43" s="174">
        <f t="shared" si="29"/>
        <v>1329.2205217791688</v>
      </c>
      <c r="AF43" s="174">
        <f t="shared" si="29"/>
        <v>1318.7302898619284</v>
      </c>
      <c r="AG43" s="174">
        <f t="shared" si="29"/>
        <v>1303.585007119156</v>
      </c>
      <c r="AH43" s="184">
        <f>SUM(AH31:AH42)</f>
        <v>1264.1274379228325</v>
      </c>
      <c r="AI43" s="127"/>
    </row>
    <row r="44" spans="1:36">
      <c r="A44" s="10" t="s">
        <v>124</v>
      </c>
      <c r="B44" s="37"/>
      <c r="C44" s="331">
        <f>SUMPRODUCT($B34:$B42,C34:C42)</f>
        <v>145.01</v>
      </c>
      <c r="D44" s="331">
        <f>SUMPRODUCT($B34:$B42,D34:D42)</f>
        <v>336.05654040547643</v>
      </c>
      <c r="E44" s="331">
        <f t="shared" ref="E44:AG44" si="30">SUMPRODUCT($B34:$B42*E34:E42)</f>
        <v>392.32487629159374</v>
      </c>
      <c r="F44" s="331">
        <f t="shared" si="30"/>
        <v>435.70534024713885</v>
      </c>
      <c r="G44" s="331">
        <f t="shared" si="30"/>
        <v>483.47756510477342</v>
      </c>
      <c r="H44" s="402">
        <f t="shared" si="30"/>
        <v>342.07676049615139</v>
      </c>
      <c r="I44" s="14">
        <f>SUMPRODUCT($B34:$B42*I34:I42)</f>
        <v>435.00494809006057</v>
      </c>
      <c r="J44" s="14">
        <f t="shared" si="30"/>
        <v>552.00532070270083</v>
      </c>
      <c r="K44" s="14">
        <f t="shared" si="30"/>
        <v>695.3665745862196</v>
      </c>
      <c r="L44" s="14">
        <f t="shared" si="30"/>
        <v>861.21838159073877</v>
      </c>
      <c r="M44" s="14">
        <f t="shared" si="30"/>
        <v>1057.4866485183311</v>
      </c>
      <c r="N44" s="182">
        <f t="shared" si="30"/>
        <v>1278.9094011154691</v>
      </c>
      <c r="O44" s="14">
        <f t="shared" si="30"/>
        <v>1280.3627464367191</v>
      </c>
      <c r="P44" s="14">
        <f t="shared" si="30"/>
        <v>1261.3790273167904</v>
      </c>
      <c r="Q44" s="14">
        <f t="shared" si="30"/>
        <v>1251.479336717377</v>
      </c>
      <c r="R44" s="14">
        <f t="shared" si="30"/>
        <v>1257.4300929314074</v>
      </c>
      <c r="S44" s="14">
        <f t="shared" si="30"/>
        <v>1269.7070422974832</v>
      </c>
      <c r="T44" s="14">
        <f t="shared" si="30"/>
        <v>1249.0024031136777</v>
      </c>
      <c r="U44" s="14">
        <f t="shared" si="30"/>
        <v>1209.8698584551362</v>
      </c>
      <c r="V44" s="14">
        <f t="shared" si="30"/>
        <v>1227.286763734872</v>
      </c>
      <c r="W44" s="14">
        <f t="shared" si="30"/>
        <v>1201.2640575926259</v>
      </c>
      <c r="X44" s="187">
        <f t="shared" si="30"/>
        <v>1236.4759200648853</v>
      </c>
      <c r="Y44" s="14">
        <f t="shared" si="30"/>
        <v>1255.0451882642737</v>
      </c>
      <c r="Z44" s="14">
        <f t="shared" si="30"/>
        <v>1293.8870320452838</v>
      </c>
      <c r="AA44" s="14">
        <f t="shared" si="30"/>
        <v>1331.1415944007745</v>
      </c>
      <c r="AB44" s="14">
        <f t="shared" si="30"/>
        <v>1354.346040637412</v>
      </c>
      <c r="AC44" s="14">
        <f t="shared" si="30"/>
        <v>1341.4684594420357</v>
      </c>
      <c r="AD44" s="14">
        <f t="shared" si="30"/>
        <v>1331.1409761863194</v>
      </c>
      <c r="AE44" s="14">
        <f t="shared" si="30"/>
        <v>1324.3819497252516</v>
      </c>
      <c r="AF44" s="14">
        <f t="shared" si="30"/>
        <v>1313.9370310165052</v>
      </c>
      <c r="AG44" s="14">
        <f t="shared" si="30"/>
        <v>1298.8542503574774</v>
      </c>
      <c r="AH44" s="187">
        <f>SUMPRODUCT($B34:$B42*AH34:AH42)</f>
        <v>1259.5490900668615</v>
      </c>
      <c r="AI44" s="127"/>
    </row>
    <row r="45" spans="1:36">
      <c r="A45" s="10" t="s">
        <v>117</v>
      </c>
      <c r="B45" s="37"/>
      <c r="C45" s="332">
        <f t="shared" ref="C45:AG45" si="31">C44/C14</f>
        <v>1.8842255717255715E-2</v>
      </c>
      <c r="D45" s="332">
        <f t="shared" si="31"/>
        <v>4.3423767981066862E-2</v>
      </c>
      <c r="E45" s="332">
        <f t="shared" si="31"/>
        <v>4.8905756207399634E-2</v>
      </c>
      <c r="F45" s="332">
        <f t="shared" si="31"/>
        <v>5.524845522648749E-2</v>
      </c>
      <c r="G45" s="332">
        <f t="shared" si="31"/>
        <v>6.2933811959977548E-2</v>
      </c>
      <c r="H45" s="284">
        <f t="shared" si="31"/>
        <v>4.2865344168008752E-2</v>
      </c>
      <c r="I45" s="23">
        <f t="shared" si="31"/>
        <v>5.3109583609170473E-2</v>
      </c>
      <c r="J45" s="23">
        <f t="shared" si="31"/>
        <v>6.5444121821590803E-2</v>
      </c>
      <c r="K45" s="23">
        <f t="shared" si="31"/>
        <v>8.0331918152339907E-2</v>
      </c>
      <c r="L45" s="23">
        <f t="shared" si="31"/>
        <v>9.9049058664751097E-2</v>
      </c>
      <c r="M45" s="23">
        <f t="shared" si="31"/>
        <v>0.12218309498231056</v>
      </c>
      <c r="N45" s="178">
        <f t="shared" si="31"/>
        <v>0.15082553049696709</v>
      </c>
      <c r="O45" s="23">
        <f t="shared" si="31"/>
        <v>0.1528442516049057</v>
      </c>
      <c r="P45" s="23">
        <f t="shared" si="31"/>
        <v>0.15490755923086683</v>
      </c>
      <c r="Q45" s="207">
        <f t="shared" si="31"/>
        <v>0.15699388819544163</v>
      </c>
      <c r="R45" s="207">
        <f t="shared" si="31"/>
        <v>0.15909269836150181</v>
      </c>
      <c r="S45" s="207">
        <f t="shared" si="31"/>
        <v>0.16121079731254787</v>
      </c>
      <c r="T45" s="207">
        <f t="shared" si="31"/>
        <v>0.16339915838010349</v>
      </c>
      <c r="U45" s="207">
        <f t="shared" si="31"/>
        <v>0.16565187659977126</v>
      </c>
      <c r="V45" s="207">
        <f t="shared" si="31"/>
        <v>0.16784873631729832</v>
      </c>
      <c r="W45" s="207">
        <f t="shared" si="31"/>
        <v>0.17015179038512299</v>
      </c>
      <c r="X45" s="185">
        <f t="shared" si="31"/>
        <v>0.17236987049309363</v>
      </c>
      <c r="Y45" s="172">
        <f t="shared" si="31"/>
        <v>0.17247363639504029</v>
      </c>
      <c r="Z45" s="172">
        <f t="shared" si="31"/>
        <v>0.1725335578124268</v>
      </c>
      <c r="AA45" s="172">
        <f t="shared" si="31"/>
        <v>0.17259316004809824</v>
      </c>
      <c r="AB45" s="172">
        <f t="shared" si="31"/>
        <v>0.17267747448238818</v>
      </c>
      <c r="AC45" s="172">
        <f t="shared" si="31"/>
        <v>0.17283447472596764</v>
      </c>
      <c r="AD45" s="172">
        <f t="shared" si="31"/>
        <v>0.17298897448453826</v>
      </c>
      <c r="AE45" s="172">
        <f t="shared" si="31"/>
        <v>0.1731375397058241</v>
      </c>
      <c r="AF45" s="172">
        <f t="shared" si="31"/>
        <v>0.17329729063385527</v>
      </c>
      <c r="AG45" s="172">
        <f t="shared" si="31"/>
        <v>0.17347251069693062</v>
      </c>
      <c r="AH45" s="185">
        <f>AH44/AH14</f>
        <v>0.17372398960576163</v>
      </c>
      <c r="AI45" s="127"/>
    </row>
    <row r="46" spans="1:36" s="252" customFormat="1">
      <c r="A46" s="10" t="s">
        <v>333</v>
      </c>
      <c r="B46" s="37"/>
      <c r="C46" s="330">
        <f>SUM(EIA_electricity_aeo2014!E50,EIA_electricity_aeo2014!E55)*1000</f>
        <v>17</v>
      </c>
      <c r="D46" s="330">
        <f>SUM(EIA_electricity_aeo2014!F50,EIA_electricity_aeo2014!F55)*1000</f>
        <v>12</v>
      </c>
      <c r="E46" s="330">
        <f>SUM(EIA_electricity_aeo2014!G50,EIA_electricity_aeo2014!G55)*1000</f>
        <v>4.0977079223608062</v>
      </c>
      <c r="F46" s="330">
        <f>SUM(EIA_electricity_aeo2014!H50,EIA_electricity_aeo2014!H55)*1000</f>
        <v>2.6229674812289243</v>
      </c>
      <c r="G46" s="330">
        <f>SUM(EIA_electricity_aeo2014!I50,EIA_electricity_aeo2014!I55)*1000</f>
        <v>2.628078197911365</v>
      </c>
      <c r="H46" s="286">
        <f>SUM(EIA_electricity_aeo2014!J50,EIA_electricity_aeo2014!J55)*1000</f>
        <v>2.6228347353410681</v>
      </c>
      <c r="I46" s="286">
        <f>SUM(EIA_electricity_aeo2014!K50,EIA_electricity_aeo2014!K55)*1000</f>
        <v>2.6556810459673401</v>
      </c>
      <c r="J46" s="286">
        <f>SUM(EIA_electricity_aeo2014!L50,EIA_electricity_aeo2014!L55)*1000</f>
        <v>2.5423160577386503</v>
      </c>
      <c r="K46" s="286">
        <f>SUM(EIA_electricity_aeo2014!M50,EIA_electricity_aeo2014!M55)*1000</f>
        <v>1.0491156415768472</v>
      </c>
      <c r="L46" s="286">
        <f>SUM(EIA_electricity_aeo2014!N50,EIA_electricity_aeo2014!N55)*1000</f>
        <v>1.1243825599909774</v>
      </c>
      <c r="M46" s="286">
        <f>SUM(EIA_electricity_aeo2014!O50,EIA_electricity_aeo2014!O55)*1000</f>
        <v>1.2550459967308509</v>
      </c>
      <c r="N46" s="286">
        <f>SUM(EIA_electricity_aeo2014!P50,EIA_electricity_aeo2014!P55)*1000</f>
        <v>1.26515957406185</v>
      </c>
      <c r="O46" s="286">
        <f>SUM(EIA_electricity_aeo2014!Q50,EIA_electricity_aeo2014!Q55)*1000</f>
        <v>1.1615597052085385</v>
      </c>
      <c r="P46" s="286">
        <f>SUM(EIA_electricity_aeo2014!R50,EIA_electricity_aeo2014!R55)*1000</f>
        <v>1.0479375218221287</v>
      </c>
      <c r="Q46" s="286">
        <f>SUM(EIA_electricity_aeo2014!S50,EIA_electricity_aeo2014!S55)*1000</f>
        <v>1.0445110185918558</v>
      </c>
      <c r="R46" s="286">
        <f>SUM(EIA_electricity_aeo2014!T50,EIA_electricity_aeo2014!T55)*1000</f>
        <v>0.92461659200426838</v>
      </c>
      <c r="S46" s="286">
        <f>SUM(EIA_electricity_aeo2014!U50,EIA_electricity_aeo2014!U55)*1000</f>
        <v>0.92476593112810601</v>
      </c>
      <c r="T46" s="286">
        <f>SUM(EIA_electricity_aeo2014!V50,EIA_electricity_aeo2014!V55)*1000</f>
        <v>0.89152138283826687</v>
      </c>
      <c r="U46" s="286">
        <f>SUM(EIA_electricity_aeo2014!W50,EIA_electricity_aeo2014!W55)*1000</f>
        <v>0.96742714083770209</v>
      </c>
      <c r="V46" s="286">
        <f>SUM(EIA_electricity_aeo2014!X50,EIA_electricity_aeo2014!X55)*1000</f>
        <v>0.9652866133960305</v>
      </c>
      <c r="W46" s="286">
        <f>SUM(EIA_electricity_aeo2014!Y50,EIA_electricity_aeo2014!Y55)*1000</f>
        <v>0.96794982777113348</v>
      </c>
      <c r="X46" s="286">
        <f>SUM(EIA_electricity_aeo2014!Z50,EIA_electricity_aeo2014!Z55)*1000</f>
        <v>0.96502112162031917</v>
      </c>
      <c r="Y46" s="286">
        <f>SUM(EIA_electricity_aeo2014!AA50,EIA_electricity_aeo2014!AA55)*1000</f>
        <v>0.96311289948239476</v>
      </c>
      <c r="Z46" s="286">
        <f>SUM(EIA_electricity_aeo2014!AB50,EIA_electricity_aeo2014!AB55)*1000</f>
        <v>0.92284941237219054</v>
      </c>
      <c r="AA46" s="286">
        <f>SUM(EIA_electricity_aeo2014!AC50,EIA_electricity_aeo2014!AC55)*1000</f>
        <v>0.90973245932845825</v>
      </c>
      <c r="AB46" s="286">
        <f>SUM(EIA_electricity_aeo2014!AD50,EIA_electricity_aeo2014!AD55)*1000</f>
        <v>0.90102101043793392</v>
      </c>
      <c r="AC46" s="286">
        <f>SUM(EIA_electricity_aeo2014!AE50,EIA_electricity_aeo2014!AE55)*1000</f>
        <v>0.86662323224734938</v>
      </c>
      <c r="AD46" s="286">
        <f>SUM(EIA_electricity_aeo2014!AF50,EIA_electricity_aeo2014!AF55)*1000</f>
        <v>0.89639979421696048</v>
      </c>
      <c r="AE46" s="286">
        <f>SUM(EIA_electricity_aeo2014!AG50,EIA_electricity_aeo2014!AG55)*1000</f>
        <v>0.8796572191111719</v>
      </c>
      <c r="AF46" s="286">
        <f>SUM(EIA_electricity_aeo2014!AH50,EIA_electricity_aeo2014!AH55)*1000</f>
        <v>0.88504172418731508</v>
      </c>
      <c r="AG46" s="286">
        <f>SUM(EIA_electricity_aeo2014!AI50,EIA_electricity_aeo2014!AI55)*1000</f>
        <v>0.88568056377262017</v>
      </c>
      <c r="AH46" s="286">
        <f>SUM(EIA_electricity_aeo2014!AJ50,EIA_electricity_aeo2014!AJ55)*1000</f>
        <v>0.88678401396541984</v>
      </c>
      <c r="AI46" s="292"/>
    </row>
    <row r="47" spans="1:36" s="252" customFormat="1">
      <c r="A47" s="10" t="s">
        <v>142</v>
      </c>
      <c r="B47" s="37"/>
      <c r="C47" s="330">
        <f>(C$14-C$43-C$46)*0.7</f>
        <v>5270.3</v>
      </c>
      <c r="D47" s="330">
        <f>(D$14-D$30-D$43-D$46)*EIA_electricity_aeo2014!F60</f>
        <v>0</v>
      </c>
      <c r="E47" s="330">
        <f>(E$14-E$30-E$43-E$46)*EIA_electricity_aeo2014!G60</f>
        <v>0</v>
      </c>
      <c r="F47" s="330">
        <f>(F$14-F$30-F$43-F$46)*EIA_electricity_aeo2014!H60</f>
        <v>0</v>
      </c>
      <c r="G47" s="330">
        <f>(G$14-G$30-G$43-G$46)*EIA_electricity_aeo2014!I60</f>
        <v>0</v>
      </c>
      <c r="H47" s="286">
        <f>(H$14-H$30-H$43-H$46)*EIA_electricity_aeo2014!J60</f>
        <v>0</v>
      </c>
      <c r="I47" s="286">
        <f>(I$14-I$30-I$43-I$46)*EIA_electricity_aeo2014!K60</f>
        <v>0</v>
      </c>
      <c r="J47" s="286">
        <f>(J$14-J$30-J$43-J$46)*EIA_electricity_aeo2014!L60</f>
        <v>0</v>
      </c>
      <c r="K47" s="286">
        <f>(K$14-K$30-K$43-K$46)*EIA_electricity_aeo2014!M60</f>
        <v>0</v>
      </c>
      <c r="L47" s="286">
        <f>(L$14-L$30-L$43-L$46)*EIA_electricity_aeo2014!N60</f>
        <v>0</v>
      </c>
      <c r="M47" s="286">
        <f>(M$14-M$30-M$43-M$46)*EIA_electricity_aeo2014!O60</f>
        <v>0</v>
      </c>
      <c r="N47" s="287">
        <f>(N$14-N$43-N$46)*EIA_electricity_aeo2014!P60 - N30</f>
        <v>0</v>
      </c>
      <c r="O47" s="286">
        <f>(O$14-O$43-O$46)*EIA_electricity_aeo2014!Q60 - O30</f>
        <v>0</v>
      </c>
      <c r="P47" s="286">
        <f>(P$14-P$43-P$46)*EIA_electricity_aeo2014!R60 - P30</f>
        <v>0</v>
      </c>
      <c r="Q47" s="286">
        <f>(Q$14-Q$43-Q$46)*EIA_electricity_aeo2014!S60 - Q30</f>
        <v>0</v>
      </c>
      <c r="R47" s="286">
        <f>(R$14-R$43-R$46)*EIA_electricity_aeo2014!T60 - R30</f>
        <v>0</v>
      </c>
      <c r="S47" s="286">
        <f>(S$14-S$43-S$46)*EIA_electricity_aeo2014!U60 - S30</f>
        <v>0</v>
      </c>
      <c r="T47" s="286">
        <f>(T$14-T$43-T$46)*EIA_electricity_aeo2014!V60 - T30</f>
        <v>0</v>
      </c>
      <c r="U47" s="286">
        <f>(U$14-U$43-U$46)*EIA_electricity_aeo2014!W60 - U30</f>
        <v>0</v>
      </c>
      <c r="V47" s="286">
        <f>(V$14-V$43-V$46)*EIA_electricity_aeo2014!X60 - V30</f>
        <v>0</v>
      </c>
      <c r="W47" s="286">
        <f>(W$14-W$43-W$46)*EIA_electricity_aeo2014!Y60 - W30</f>
        <v>0</v>
      </c>
      <c r="X47" s="287">
        <f>(X$14-X$43-X$46)*EIA_electricity_aeo2014!Z60 - X30</f>
        <v>0</v>
      </c>
      <c r="Y47" s="286">
        <f>(Y$14-Y$43-Y$46)*EIA_electricity_aeo2014!AA60 - Y30</f>
        <v>0</v>
      </c>
      <c r="Z47" s="286">
        <f>(Z$14-Z$43-Z$46)*EIA_electricity_aeo2014!AB60 - Z30</f>
        <v>0</v>
      </c>
      <c r="AA47" s="286">
        <f>(AA$14-AA$43-AA$46)*EIA_electricity_aeo2014!AC60 - AA30</f>
        <v>0</v>
      </c>
      <c r="AB47" s="286">
        <f>(AB$14-AB$43-AB$46)*EIA_electricity_aeo2014!AD60 - AB30</f>
        <v>0</v>
      </c>
      <c r="AC47" s="286">
        <f>(AC$14-AC$43-AC$46)*EIA_electricity_aeo2014!AE60 - AC30</f>
        <v>0</v>
      </c>
      <c r="AD47" s="286">
        <f>(AD$14-AD$43-AD$46)*EIA_electricity_aeo2014!AF60 - AD30</f>
        <v>0</v>
      </c>
      <c r="AE47" s="286">
        <f>(AE$14-AE$43-AE$46)*EIA_electricity_aeo2014!AG60 - AE30</f>
        <v>0</v>
      </c>
      <c r="AF47" s="286">
        <f>(AF$14-AF$43-AF$46)*EIA_electricity_aeo2014!AH60 - AF30</f>
        <v>0</v>
      </c>
      <c r="AG47" s="286">
        <f>(AG$14-AG$43-AG$46)*EIA_electricity_aeo2014!AI60 - AG30</f>
        <v>0</v>
      </c>
      <c r="AH47" s="287">
        <f>(AH$14-AH$43-AH$46)*EIA_electricity_aeo2014!AJ60 - AH30</f>
        <v>0</v>
      </c>
      <c r="AI47" s="292"/>
      <c r="AJ47" s="398"/>
    </row>
    <row r="48" spans="1:36" s="252" customFormat="1">
      <c r="A48" s="10" t="s">
        <v>222</v>
      </c>
      <c r="B48" s="37"/>
      <c r="C48" s="330">
        <f>(C$14-C$43-C$46)* 0.3</f>
        <v>2258.7000000000003</v>
      </c>
      <c r="D48" s="330">
        <f t="shared" ref="D48:AH48" si="32">(D$14-SUM(D30:D42,D46:D47))</f>
        <v>7386.0266044144828</v>
      </c>
      <c r="E48" s="330">
        <f t="shared" si="32"/>
        <v>7620.6447414688701</v>
      </c>
      <c r="F48" s="330">
        <f>(F$14-SUM(F30:F42,F46:F47))</f>
        <v>7443.157160238221</v>
      </c>
      <c r="G48" s="330">
        <f t="shared" si="32"/>
        <v>7191.6325081528594</v>
      </c>
      <c r="H48" s="286">
        <f t="shared" si="32"/>
        <v>7631.4893447477116</v>
      </c>
      <c r="I48" s="286">
        <f t="shared" si="32"/>
        <v>7748.8701851867481</v>
      </c>
      <c r="J48" s="286">
        <f t="shared" si="32"/>
        <v>7875.919558956828</v>
      </c>
      <c r="K48" s="286">
        <f t="shared" si="32"/>
        <v>7955.3573889251184</v>
      </c>
      <c r="L48" s="286">
        <f t="shared" si="32"/>
        <v>7828.1180897386394</v>
      </c>
      <c r="M48" s="286">
        <f t="shared" si="32"/>
        <v>7591.8151306068485</v>
      </c>
      <c r="N48" s="287">
        <f t="shared" si="32"/>
        <v>7194.9410995685221</v>
      </c>
      <c r="O48" s="286">
        <f t="shared" si="32"/>
        <v>7091.049302443148</v>
      </c>
      <c r="P48" s="286">
        <f t="shared" si="32"/>
        <v>6876.0359474021088</v>
      </c>
      <c r="Q48" s="286">
        <f t="shared" si="32"/>
        <v>6714.6569194351614</v>
      </c>
      <c r="R48" s="286">
        <f t="shared" si="32"/>
        <v>6641.0010627963393</v>
      </c>
      <c r="S48" s="286">
        <f t="shared" si="32"/>
        <v>6600.9463828125226</v>
      </c>
      <c r="T48" s="286">
        <f t="shared" si="32"/>
        <v>6389.5229384687509</v>
      </c>
      <c r="U48" s="286">
        <f t="shared" si="32"/>
        <v>6088.4992335484121</v>
      </c>
      <c r="V48" s="286">
        <f t="shared" si="32"/>
        <v>6079.1567260066349</v>
      </c>
      <c r="W48" s="286">
        <f t="shared" si="32"/>
        <v>5853.3318435795754</v>
      </c>
      <c r="X48" s="287">
        <f t="shared" si="32"/>
        <v>5931.3912271290992</v>
      </c>
      <c r="Y48" s="286">
        <f t="shared" si="32"/>
        <v>6016.109488247439</v>
      </c>
      <c r="Z48" s="286">
        <f t="shared" si="32"/>
        <v>6199.7684015579271</v>
      </c>
      <c r="AA48" s="286">
        <f t="shared" si="32"/>
        <v>6375.6565799089476</v>
      </c>
      <c r="AB48" s="286">
        <f t="shared" si="32"/>
        <v>6482.9952485410622</v>
      </c>
      <c r="AC48" s="286">
        <f t="shared" si="32"/>
        <v>6414.3289145524432</v>
      </c>
      <c r="AD48" s="286">
        <f t="shared" si="32"/>
        <v>6358.039331638005</v>
      </c>
      <c r="AE48" s="286">
        <f t="shared" si="32"/>
        <v>6319.2054076208497</v>
      </c>
      <c r="AF48" s="286">
        <f t="shared" si="32"/>
        <v>6262.3672038050936</v>
      </c>
      <c r="AG48" s="286">
        <f t="shared" si="32"/>
        <v>6182.9072555963521</v>
      </c>
      <c r="AH48" s="287">
        <f t="shared" si="32"/>
        <v>5985.2745431623889</v>
      </c>
      <c r="AI48" s="292"/>
    </row>
    <row r="49" spans="1:35" s="252" customFormat="1">
      <c r="A49" s="10" t="s">
        <v>334</v>
      </c>
      <c r="B49" s="37"/>
      <c r="C49" s="330">
        <f>SUM(C43,C46:C48)</f>
        <v>7696</v>
      </c>
      <c r="D49" s="330">
        <f t="shared" ref="D49:M49" si="33">SUM(D43,D46:D48)+D30</f>
        <v>7739</v>
      </c>
      <c r="E49" s="330">
        <f t="shared" si="33"/>
        <v>8022.0592976381258</v>
      </c>
      <c r="F49" s="330">
        <f t="shared" si="33"/>
        <v>7886.2900050506896</v>
      </c>
      <c r="G49" s="330">
        <f t="shared" si="33"/>
        <v>7682.31813785948</v>
      </c>
      <c r="H49" s="286">
        <f>SUM(H43,H46:H48)+H30</f>
        <v>7980.2639436510108</v>
      </c>
      <c r="I49" s="286">
        <f t="shared" si="33"/>
        <v>8190.7053026668418</v>
      </c>
      <c r="J49" s="286">
        <f t="shared" si="33"/>
        <v>8434.7578565961849</v>
      </c>
      <c r="K49" s="286">
        <f t="shared" si="33"/>
        <v>8656.1679414593309</v>
      </c>
      <c r="L49" s="286">
        <f t="shared" si="33"/>
        <v>8694.8668992976836</v>
      </c>
      <c r="M49" s="286">
        <f t="shared" si="33"/>
        <v>8654.9342089544552</v>
      </c>
      <c r="N49" s="287">
        <f t="shared" ref="N49:AH49" si="34">SUM(N43,N46:N48)+N30</f>
        <v>8479.3960074364622</v>
      </c>
      <c r="O49" s="286">
        <f t="shared" si="34"/>
        <v>8376.911352521056</v>
      </c>
      <c r="P49" s="286">
        <f t="shared" si="34"/>
        <v>8142.7855011058</v>
      </c>
      <c r="Q49" s="286">
        <f t="shared" si="34"/>
        <v>7971.5162870506829</v>
      </c>
      <c r="R49" s="286">
        <f t="shared" si="34"/>
        <v>7903.7574061015985</v>
      </c>
      <c r="S49" s="286">
        <f t="shared" si="34"/>
        <v>7876.067009555416</v>
      </c>
      <c r="T49" s="286">
        <f t="shared" si="34"/>
        <v>7643.8729274738052</v>
      </c>
      <c r="U49" s="286">
        <f t="shared" si="34"/>
        <v>7303.6894195788836</v>
      </c>
      <c r="V49" s="286">
        <f t="shared" si="34"/>
        <v>7311.8618028486699</v>
      </c>
      <c r="W49" s="286">
        <f t="shared" si="34"/>
        <v>7059.9554366937591</v>
      </c>
      <c r="X49" s="287">
        <f t="shared" si="34"/>
        <v>7173.3877650875611</v>
      </c>
      <c r="Y49" s="286">
        <f t="shared" si="34"/>
        <v>7276.7364015545518</v>
      </c>
      <c r="Z49" s="286">
        <f t="shared" si="34"/>
        <v>7499.3354826193172</v>
      </c>
      <c r="AA49" s="286">
        <f t="shared" si="34"/>
        <v>7712.5976141222054</v>
      </c>
      <c r="AB49" s="286">
        <f t="shared" si="34"/>
        <v>7843.2120037494833</v>
      </c>
      <c r="AC49" s="286">
        <f t="shared" si="34"/>
        <v>7761.5791731884492</v>
      </c>
      <c r="AD49" s="286">
        <f t="shared" si="34"/>
        <v>7694.9469187430595</v>
      </c>
      <c r="AE49" s="286">
        <f t="shared" si="34"/>
        <v>7649.3055866191298</v>
      </c>
      <c r="AF49" s="286">
        <f t="shared" si="34"/>
        <v>7581.9825353912092</v>
      </c>
      <c r="AG49" s="286">
        <f t="shared" si="34"/>
        <v>7487.3779432792808</v>
      </c>
      <c r="AH49" s="287">
        <f t="shared" si="34"/>
        <v>7250.288765099187</v>
      </c>
      <c r="AI49" s="292"/>
    </row>
    <row r="50" spans="1:35">
      <c r="A50" s="10"/>
      <c r="B50" s="37"/>
      <c r="C50" s="332" t="b">
        <f t="shared" ref="C50:AH50" si="35">(C49=C14)</f>
        <v>1</v>
      </c>
      <c r="D50" s="332" t="b">
        <f t="shared" si="35"/>
        <v>1</v>
      </c>
      <c r="E50" s="332" t="b">
        <f t="shared" si="35"/>
        <v>1</v>
      </c>
      <c r="F50" s="332" t="b">
        <f t="shared" si="35"/>
        <v>1</v>
      </c>
      <c r="G50" s="332" t="b">
        <f t="shared" si="35"/>
        <v>1</v>
      </c>
      <c r="H50" s="284"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542</v>
      </c>
      <c r="B51" s="37"/>
      <c r="C51" s="332"/>
      <c r="D51" s="332">
        <f>D44/C44-1</f>
        <v>1.317471487521388</v>
      </c>
      <c r="E51" s="332">
        <f t="shared" ref="E51:X51" si="36">E44/D44-1</f>
        <v>0.1674371098929528</v>
      </c>
      <c r="F51" s="332">
        <f t="shared" si="36"/>
        <v>0.11057280987531048</v>
      </c>
      <c r="G51" s="332">
        <f>G44/F44-1</f>
        <v>0.1096434228475085</v>
      </c>
      <c r="H51" s="284"/>
      <c r="I51" s="164">
        <f t="shared" ref="I51:N51" si="37">I44/H44-1</f>
        <v>0.27165887404664746</v>
      </c>
      <c r="J51" s="172">
        <f t="shared" si="37"/>
        <v>0.26896331438606369</v>
      </c>
      <c r="K51" s="172">
        <f t="shared" si="37"/>
        <v>0.2597099131237004</v>
      </c>
      <c r="L51" s="172">
        <f t="shared" si="37"/>
        <v>0.23850989257458899</v>
      </c>
      <c r="M51" s="172">
        <f t="shared" si="37"/>
        <v>0.22789604950729125</v>
      </c>
      <c r="N51" s="172">
        <f t="shared" si="37"/>
        <v>0.20938586119018954</v>
      </c>
      <c r="O51" s="172">
        <f t="shared" ref="O51:R51" si="38">O44/N44-1</f>
        <v>1.1363942746704936E-3</v>
      </c>
      <c r="P51" s="172">
        <f t="shared" si="38"/>
        <v>-1.4826828703631834E-2</v>
      </c>
      <c r="Q51" s="172">
        <f t="shared" si="38"/>
        <v>-7.848307594325532E-3</v>
      </c>
      <c r="R51" s="172">
        <f t="shared" si="38"/>
        <v>4.7549776008601885E-3</v>
      </c>
      <c r="S51" s="164">
        <f t="shared" si="36"/>
        <v>9.7635243780869185E-3</v>
      </c>
      <c r="T51" s="164">
        <f t="shared" si="36"/>
        <v>-1.6306627036061228E-2</v>
      </c>
      <c r="U51" s="164">
        <f t="shared" si="36"/>
        <v>-3.1331040325452308E-2</v>
      </c>
      <c r="V51" s="164">
        <f t="shared" si="36"/>
        <v>1.439568492265364E-2</v>
      </c>
      <c r="W51" s="164">
        <f t="shared" si="36"/>
        <v>-2.1203443979998515E-2</v>
      </c>
      <c r="X51" s="185">
        <f t="shared" si="36"/>
        <v>2.9312341653528806E-2</v>
      </c>
      <c r="Y51" s="172">
        <f t="shared" ref="Y51:AH51" si="39">Y44/X44-1</f>
        <v>1.5017897152751702E-2</v>
      </c>
      <c r="Z51" s="172">
        <f t="shared" si="39"/>
        <v>3.094856196750051E-2</v>
      </c>
      <c r="AA51" s="172">
        <f t="shared" si="39"/>
        <v>2.8792747305459443E-2</v>
      </c>
      <c r="AB51" s="172">
        <f t="shared" si="39"/>
        <v>1.7431989454948393E-2</v>
      </c>
      <c r="AC51" s="172">
        <f t="shared" si="39"/>
        <v>-9.5083389392237594E-3</v>
      </c>
      <c r="AD51" s="172">
        <f t="shared" si="39"/>
        <v>-7.6986403839952589E-3</v>
      </c>
      <c r="AE51" s="172">
        <f t="shared" si="39"/>
        <v>-5.0776188112188203E-3</v>
      </c>
      <c r="AF51" s="172">
        <f t="shared" si="39"/>
        <v>-7.8866362614752328E-3</v>
      </c>
      <c r="AG51" s="172">
        <f t="shared" si="39"/>
        <v>-1.1479074189239657E-2</v>
      </c>
      <c r="AH51" s="185">
        <f t="shared" si="39"/>
        <v>-3.0261409453599786E-2</v>
      </c>
      <c r="AI51" s="127"/>
    </row>
    <row r="52" spans="1:35">
      <c r="A52" s="10"/>
      <c r="B52" s="37"/>
      <c r="C52" s="332"/>
      <c r="D52" s="332"/>
      <c r="E52" s="332"/>
      <c r="F52" s="332"/>
      <c r="G52" s="332"/>
      <c r="H52" s="284"/>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9"/>
      <c r="AI52" s="127"/>
    </row>
    <row r="53" spans="1:35">
      <c r="A53" s="1" t="s">
        <v>541</v>
      </c>
      <c r="B53" s="37"/>
      <c r="C53" s="332"/>
      <c r="D53" s="332"/>
      <c r="E53" s="332"/>
      <c r="F53" s="332"/>
      <c r="G53" s="332"/>
      <c r="H53" s="284"/>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9"/>
      <c r="AI53" s="127"/>
    </row>
    <row r="54" spans="1:35">
      <c r="A54" s="9" t="s">
        <v>282</v>
      </c>
      <c r="B54" s="37"/>
      <c r="C54" s="332"/>
      <c r="D54" s="332"/>
      <c r="E54" s="332"/>
      <c r="F54" s="332"/>
      <c r="G54" s="332"/>
      <c r="H54" s="284"/>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9"/>
      <c r="AI54" s="127"/>
    </row>
    <row r="55" spans="1:35">
      <c r="A55" s="20" t="s">
        <v>122</v>
      </c>
      <c r="B55" s="37"/>
      <c r="C55" s="332"/>
      <c r="D55" s="332"/>
      <c r="E55" s="332"/>
      <c r="F55" s="332"/>
      <c r="G55" s="332"/>
      <c r="H55" s="284"/>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9"/>
      <c r="AI55" s="127"/>
    </row>
    <row r="56" spans="1:35">
      <c r="A56" s="9" t="s">
        <v>49</v>
      </c>
      <c r="B56" s="37"/>
      <c r="C56" s="336">
        <f t="shared" ref="C56:M56" si="40">C31/C$49</f>
        <v>6.4838877338877345E-4</v>
      </c>
      <c r="D56" s="336">
        <f t="shared" si="40"/>
        <v>6.3533469182594558E-4</v>
      </c>
      <c r="E56" s="336">
        <f t="shared" si="40"/>
        <v>6.2228061026311783E-4</v>
      </c>
      <c r="F56" s="336">
        <f t="shared" si="40"/>
        <v>6.0922652870029007E-4</v>
      </c>
      <c r="G56" s="336">
        <f t="shared" si="40"/>
        <v>5.9617244713746232E-4</v>
      </c>
      <c r="H56" s="396">
        <f t="shared" si="40"/>
        <v>5.106351996100305E-4</v>
      </c>
      <c r="I56" s="173">
        <f t="shared" si="40"/>
        <v>5.0966164570797018E-4</v>
      </c>
      <c r="J56" s="173">
        <f t="shared" si="40"/>
        <v>5.0868809180590986E-4</v>
      </c>
      <c r="K56" s="173">
        <f t="shared" si="40"/>
        <v>5.0771453790384954E-4</v>
      </c>
      <c r="L56" s="173">
        <f t="shared" si="40"/>
        <v>5.0674098400178922E-4</v>
      </c>
      <c r="M56" s="173">
        <f t="shared" si="40"/>
        <v>5.057674300997289E-4</v>
      </c>
      <c r="N56" s="178">
        <f>N26</f>
        <v>5.0479387619766826E-4</v>
      </c>
      <c r="O56" s="116">
        <f t="shared" ref="O56:AH56" si="41">O31/O$49</f>
        <v>5.178213966266764E-4</v>
      </c>
      <c r="P56" s="116">
        <f t="shared" si="41"/>
        <v>5.3084891705568453E-4</v>
      </c>
      <c r="Q56" s="116">
        <f t="shared" si="41"/>
        <v>5.4387643748469267E-4</v>
      </c>
      <c r="R56" s="116">
        <f t="shared" si="41"/>
        <v>5.5690395791370081E-4</v>
      </c>
      <c r="S56" s="116">
        <f t="shared" si="41"/>
        <v>5.6993147834270895E-4</v>
      </c>
      <c r="T56" s="116">
        <f t="shared" si="41"/>
        <v>5.8295899877171709E-4</v>
      </c>
      <c r="U56" s="116">
        <f t="shared" si="41"/>
        <v>5.9598651920072523E-4</v>
      </c>
      <c r="V56" s="116">
        <f t="shared" si="41"/>
        <v>6.0901403962973337E-4</v>
      </c>
      <c r="W56" s="116">
        <f t="shared" si="41"/>
        <v>6.2204156005874151E-4</v>
      </c>
      <c r="X56" s="178">
        <f t="shared" si="41"/>
        <v>6.3506908048774997E-4</v>
      </c>
      <c r="Y56" s="173">
        <f t="shared" si="41"/>
        <v>6.3470928291007645E-4</v>
      </c>
      <c r="Z56" s="173">
        <f t="shared" si="41"/>
        <v>6.3434948533240304E-4</v>
      </c>
      <c r="AA56" s="173">
        <f t="shared" si="41"/>
        <v>6.3398968775472942E-4</v>
      </c>
      <c r="AB56" s="173">
        <f t="shared" si="41"/>
        <v>6.336298901770559E-4</v>
      </c>
      <c r="AC56" s="173">
        <f t="shared" si="41"/>
        <v>6.3327009259938228E-4</v>
      </c>
      <c r="AD56" s="173">
        <f t="shared" si="41"/>
        <v>6.3291029502170887E-4</v>
      </c>
      <c r="AE56" s="173">
        <f t="shared" si="41"/>
        <v>6.3255049744403535E-4</v>
      </c>
      <c r="AF56" s="173">
        <f t="shared" si="41"/>
        <v>6.3219069986636183E-4</v>
      </c>
      <c r="AG56" s="173">
        <f t="shared" si="41"/>
        <v>6.3183090228868832E-4</v>
      </c>
      <c r="AH56" s="178">
        <f t="shared" si="41"/>
        <v>6.3147110471101534E-4</v>
      </c>
      <c r="AI56" s="127"/>
    </row>
    <row r="57" spans="1:35">
      <c r="A57" s="9" t="s">
        <v>59</v>
      </c>
      <c r="B57" s="37"/>
      <c r="C57" s="336">
        <f t="shared" ref="C57:M57" si="42">C32/C$49</f>
        <v>0</v>
      </c>
      <c r="D57" s="336">
        <f t="shared" si="42"/>
        <v>0</v>
      </c>
      <c r="E57" s="336">
        <f t="shared" si="42"/>
        <v>0</v>
      </c>
      <c r="F57" s="336">
        <f t="shared" si="42"/>
        <v>0</v>
      </c>
      <c r="G57" s="336">
        <f t="shared" si="42"/>
        <v>0</v>
      </c>
      <c r="H57" s="396">
        <f t="shared" si="42"/>
        <v>0</v>
      </c>
      <c r="I57" s="116">
        <f t="shared" si="42"/>
        <v>0</v>
      </c>
      <c r="J57" s="116">
        <f t="shared" si="42"/>
        <v>0</v>
      </c>
      <c r="K57" s="116">
        <f t="shared" si="42"/>
        <v>0</v>
      </c>
      <c r="L57" s="116">
        <f t="shared" si="42"/>
        <v>0</v>
      </c>
      <c r="M57" s="116">
        <f t="shared" si="42"/>
        <v>0</v>
      </c>
      <c r="N57" s="178">
        <f>N18</f>
        <v>0</v>
      </c>
      <c r="O57" s="116">
        <f t="shared" ref="O57:AH57" si="43">O32/O$49</f>
        <v>0</v>
      </c>
      <c r="P57" s="116">
        <f t="shared" si="43"/>
        <v>0</v>
      </c>
      <c r="Q57" s="116">
        <f t="shared" si="43"/>
        <v>0</v>
      </c>
      <c r="R57" s="116">
        <f t="shared" si="43"/>
        <v>0</v>
      </c>
      <c r="S57" s="116">
        <f t="shared" si="43"/>
        <v>0</v>
      </c>
      <c r="T57" s="116">
        <f t="shared" si="43"/>
        <v>0</v>
      </c>
      <c r="U57" s="116">
        <f t="shared" si="43"/>
        <v>0</v>
      </c>
      <c r="V57" s="116">
        <f t="shared" si="43"/>
        <v>0</v>
      </c>
      <c r="W57" s="116">
        <f>W32/W$49</f>
        <v>0</v>
      </c>
      <c r="X57" s="178">
        <f t="shared" si="43"/>
        <v>0</v>
      </c>
      <c r="Y57" s="173">
        <f t="shared" si="43"/>
        <v>0</v>
      </c>
      <c r="Z57" s="173">
        <f t="shared" si="43"/>
        <v>0</v>
      </c>
      <c r="AA57" s="173">
        <f t="shared" si="43"/>
        <v>0</v>
      </c>
      <c r="AB57" s="173">
        <f t="shared" si="43"/>
        <v>0</v>
      </c>
      <c r="AC57" s="173">
        <f t="shared" si="43"/>
        <v>0</v>
      </c>
      <c r="AD57" s="173">
        <f t="shared" si="43"/>
        <v>0</v>
      </c>
      <c r="AE57" s="173">
        <f t="shared" si="43"/>
        <v>0</v>
      </c>
      <c r="AF57" s="173">
        <f t="shared" si="43"/>
        <v>0</v>
      </c>
      <c r="AG57" s="173">
        <f t="shared" si="43"/>
        <v>0</v>
      </c>
      <c r="AH57" s="178">
        <f t="shared" si="43"/>
        <v>0</v>
      </c>
      <c r="AI57" s="127"/>
    </row>
    <row r="58" spans="1:35">
      <c r="A58" s="9" t="s">
        <v>121</v>
      </c>
      <c r="B58" s="37"/>
      <c r="C58" s="336">
        <f>C34/C$49</f>
        <v>0</v>
      </c>
      <c r="D58" s="336">
        <f t="shared" ref="D58:G59" si="44">C58*($N71)</f>
        <v>0</v>
      </c>
      <c r="E58" s="336">
        <f t="shared" si="44"/>
        <v>0</v>
      </c>
      <c r="F58" s="336">
        <f t="shared" si="44"/>
        <v>0</v>
      </c>
      <c r="G58" s="336">
        <f t="shared" si="44"/>
        <v>0</v>
      </c>
      <c r="H58" s="396">
        <f>H34/H$49</f>
        <v>5.3550434298603759E-4</v>
      </c>
      <c r="I58" s="116">
        <f t="shared" ref="I58:N59" si="45">H58*($N71)</f>
        <v>7.0007805151905207E-4</v>
      </c>
      <c r="J58" s="116">
        <f t="shared" si="45"/>
        <v>9.1522932472555367E-4</v>
      </c>
      <c r="K58" s="116">
        <f t="shared" si="45"/>
        <v>1.196501897209953E-3</v>
      </c>
      <c r="L58" s="116">
        <f t="shared" si="45"/>
        <v>1.5642164770630687E-3</v>
      </c>
      <c r="M58" s="116">
        <f t="shared" si="45"/>
        <v>2.0449388277787718E-3</v>
      </c>
      <c r="N58" s="178">
        <f t="shared" si="45"/>
        <v>2.6733990279969476E-3</v>
      </c>
      <c r="O58" s="116">
        <f t="shared" ref="O58:W58" si="46">N58*$X71</f>
        <v>2.7070704117055028E-3</v>
      </c>
      <c r="P58" s="116">
        <f t="shared" si="46"/>
        <v>2.7411658855214368E-3</v>
      </c>
      <c r="Q58" s="116">
        <f t="shared" si="46"/>
        <v>2.7756907908474291E-3</v>
      </c>
      <c r="R58" s="116">
        <f t="shared" si="46"/>
        <v>2.8106505363609726E-3</v>
      </c>
      <c r="S58" s="116">
        <f t="shared" si="46"/>
        <v>2.8460505988616969E-3</v>
      </c>
      <c r="T58" s="116">
        <f t="shared" si="46"/>
        <v>2.8818965241293655E-3</v>
      </c>
      <c r="U58" s="116">
        <f t="shared" si="46"/>
        <v>2.9181939277926777E-3</v>
      </c>
      <c r="V58" s="116">
        <f t="shared" si="46"/>
        <v>2.9549484962090151E-3</v>
      </c>
      <c r="W58" s="116">
        <f t="shared" si="46"/>
        <v>2.9921659873552663E-3</v>
      </c>
      <c r="X58" s="178">
        <f t="shared" ref="X58:X66" si="47">X34/X$49</f>
        <v>3.029852231729874E-3</v>
      </c>
      <c r="Y58" s="173">
        <f>X58*$AH71</f>
        <v>3.029852231729874E-3</v>
      </c>
      <c r="Z58" s="173">
        <f t="shared" ref="Z58:AG58" si="48">Y58*$AH71</f>
        <v>3.029852231729874E-3</v>
      </c>
      <c r="AA58" s="173">
        <f t="shared" si="48"/>
        <v>3.029852231729874E-3</v>
      </c>
      <c r="AB58" s="173">
        <f t="shared" si="48"/>
        <v>3.029852231729874E-3</v>
      </c>
      <c r="AC58" s="173">
        <f t="shared" si="48"/>
        <v>3.029852231729874E-3</v>
      </c>
      <c r="AD58" s="173">
        <f t="shared" si="48"/>
        <v>3.029852231729874E-3</v>
      </c>
      <c r="AE58" s="173">
        <f t="shared" si="48"/>
        <v>3.029852231729874E-3</v>
      </c>
      <c r="AF58" s="173">
        <f t="shared" si="48"/>
        <v>3.029852231729874E-3</v>
      </c>
      <c r="AG58" s="173">
        <f t="shared" si="48"/>
        <v>3.029852231729874E-3</v>
      </c>
      <c r="AH58" s="178">
        <f t="shared" ref="AH58:AH66" si="49">AH34/AH$49</f>
        <v>3.029852231729874E-3</v>
      </c>
      <c r="AI58" s="127"/>
    </row>
    <row r="59" spans="1:35">
      <c r="A59" s="9" t="s">
        <v>50</v>
      </c>
      <c r="B59" s="37"/>
      <c r="C59" s="336">
        <f t="shared" ref="C59:C65" si="50">C35/C$49</f>
        <v>0</v>
      </c>
      <c r="D59" s="336">
        <f t="shared" si="44"/>
        <v>0</v>
      </c>
      <c r="E59" s="336">
        <f t="shared" si="44"/>
        <v>0</v>
      </c>
      <c r="F59" s="336">
        <f t="shared" si="44"/>
        <v>0</v>
      </c>
      <c r="G59" s="336">
        <f t="shared" si="44"/>
        <v>0</v>
      </c>
      <c r="H59" s="396">
        <f>H35/H$49</f>
        <v>1.2530913852737747E-11</v>
      </c>
      <c r="I59" s="116">
        <f t="shared" si="45"/>
        <v>1.5320196524252585E-11</v>
      </c>
      <c r="J59" s="116">
        <f t="shared" si="45"/>
        <v>1.8730351537006379E-11</v>
      </c>
      <c r="K59" s="116">
        <f t="shared" si="45"/>
        <v>2.2899580181263551E-11</v>
      </c>
      <c r="L59" s="116">
        <f t="shared" si="45"/>
        <v>2.799684626538143E-11</v>
      </c>
      <c r="M59" s="116">
        <f t="shared" si="45"/>
        <v>3.4228723609908222E-11</v>
      </c>
      <c r="N59" s="178">
        <f t="shared" si="45"/>
        <v>4.1847767739904282E-11</v>
      </c>
      <c r="O59" s="116">
        <f t="shared" ref="O59:V59" si="51">N59*$X72</f>
        <v>4.2374839168509001E-11</v>
      </c>
      <c r="P59" s="116">
        <f t="shared" si="51"/>
        <v>4.2908549046566462E-11</v>
      </c>
      <c r="Q59" s="116">
        <f t="shared" si="51"/>
        <v>4.3448980985156201E-11</v>
      </c>
      <c r="R59" s="116">
        <f t="shared" si="51"/>
        <v>4.3996219648436884E-11</v>
      </c>
      <c r="S59" s="116">
        <f t="shared" si="51"/>
        <v>4.4550350766909822E-11</v>
      </c>
      <c r="T59" s="116">
        <f t="shared" si="51"/>
        <v>4.5111461150849513E-11</v>
      </c>
      <c r="U59" s="116">
        <f t="shared" si="51"/>
        <v>4.5679638703903361E-11</v>
      </c>
      <c r="V59" s="116">
        <f t="shared" si="51"/>
        <v>4.6254972436862687E-11</v>
      </c>
      <c r="W59" s="116">
        <f>V59*$X72</f>
        <v>4.683755248160715E-11</v>
      </c>
      <c r="X59" s="178">
        <f t="shared" si="47"/>
        <v>4.7427470105224817E-11</v>
      </c>
      <c r="Y59" s="173">
        <f>X59*$AH72</f>
        <v>4.7427470105224817E-11</v>
      </c>
      <c r="Z59" s="173">
        <f t="shared" ref="Z59:AG59" si="52">Y59*$AH72</f>
        <v>4.7427470105224817E-11</v>
      </c>
      <c r="AA59" s="173">
        <f t="shared" si="52"/>
        <v>4.7427470105224817E-11</v>
      </c>
      <c r="AB59" s="173">
        <f t="shared" si="52"/>
        <v>4.7427470105224817E-11</v>
      </c>
      <c r="AC59" s="173">
        <f t="shared" si="52"/>
        <v>4.7427470105224817E-11</v>
      </c>
      <c r="AD59" s="173">
        <f t="shared" si="52"/>
        <v>4.7427470105224817E-11</v>
      </c>
      <c r="AE59" s="173">
        <f t="shared" si="52"/>
        <v>4.7427470105224817E-11</v>
      </c>
      <c r="AF59" s="173">
        <f t="shared" si="52"/>
        <v>4.7427470105224817E-11</v>
      </c>
      <c r="AG59" s="173">
        <f t="shared" si="52"/>
        <v>4.7427470105224817E-11</v>
      </c>
      <c r="AH59" s="178">
        <f t="shared" si="49"/>
        <v>4.7427470105224823E-11</v>
      </c>
      <c r="AI59" s="127"/>
    </row>
    <row r="60" spans="1:35">
      <c r="A60" s="9" t="s">
        <v>119</v>
      </c>
      <c r="B60" s="37"/>
      <c r="C60" s="336">
        <f t="shared" si="50"/>
        <v>0</v>
      </c>
      <c r="D60" s="336">
        <v>0</v>
      </c>
      <c r="E60" s="336">
        <v>0</v>
      </c>
      <c r="F60" s="336">
        <v>0</v>
      </c>
      <c r="G60" s="336">
        <v>0</v>
      </c>
      <c r="H60" s="396">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6">
        <f t="shared" si="50"/>
        <v>1.8840956340956342E-2</v>
      </c>
      <c r="D61" s="336">
        <f t="shared" ref="D61:M61" si="56">C61*($N74)</f>
        <v>2.3034532391028893E-2</v>
      </c>
      <c r="E61" s="336">
        <f t="shared" si="56"/>
        <v>2.8161504802172225E-2</v>
      </c>
      <c r="F61" s="336">
        <f t="shared" si="56"/>
        <v>3.4429626756028314E-2</v>
      </c>
      <c r="G61" s="336">
        <f t="shared" si="56"/>
        <v>4.2092892652099527E-2</v>
      </c>
      <c r="H61" s="396">
        <f t="shared" si="53"/>
        <v>2.1909874602265636E-2</v>
      </c>
      <c r="I61" s="116">
        <f t="shared" si="56"/>
        <v>2.67865233099761E-2</v>
      </c>
      <c r="J61" s="116">
        <f t="shared" si="56"/>
        <v>3.2748605095243064E-2</v>
      </c>
      <c r="K61" s="116">
        <f t="shared" si="56"/>
        <v>4.0037713116907549E-2</v>
      </c>
      <c r="L61" s="116">
        <f t="shared" si="56"/>
        <v>4.8949213774746064E-2</v>
      </c>
      <c r="M61" s="116">
        <f t="shared" si="56"/>
        <v>5.9844215431824221E-2</v>
      </c>
      <c r="N61" s="178">
        <f>M61*($N74)</f>
        <v>7.3164201107113025E-2</v>
      </c>
      <c r="O61" s="116">
        <f t="shared" ref="O61:W61" si="57">N61*$X74</f>
        <v>7.4085702111418142E-2</v>
      </c>
      <c r="P61" s="116">
        <f t="shared" si="57"/>
        <v>7.501880939431424E-2</v>
      </c>
      <c r="Q61" s="116">
        <f t="shared" si="57"/>
        <v>7.5963669136545661E-2</v>
      </c>
      <c r="R61" s="116">
        <f t="shared" si="57"/>
        <v>7.6920429359999029E-2</v>
      </c>
      <c r="S61" s="116">
        <f t="shared" si="57"/>
        <v>7.788923995089235E-2</v>
      </c>
      <c r="T61" s="116">
        <f t="shared" si="57"/>
        <v>7.8870252683256231E-2</v>
      </c>
      <c r="U61" s="116">
        <f t="shared" si="57"/>
        <v>7.9863621242710833E-2</v>
      </c>
      <c r="V61" s="116">
        <f t="shared" si="57"/>
        <v>8.086950125054225E-2</v>
      </c>
      <c r="W61" s="116">
        <f t="shared" si="57"/>
        <v>8.1888050288082187E-2</v>
      </c>
      <c r="X61" s="178">
        <f t="shared" si="47"/>
        <v>8.291942792139477E-2</v>
      </c>
      <c r="Y61" s="173">
        <f t="shared" si="55"/>
        <v>8.291942792139477E-2</v>
      </c>
      <c r="Z61" s="173">
        <f t="shared" si="55"/>
        <v>8.291942792139477E-2</v>
      </c>
      <c r="AA61" s="173">
        <f t="shared" si="55"/>
        <v>8.291942792139477E-2</v>
      </c>
      <c r="AB61" s="173">
        <f t="shared" si="55"/>
        <v>8.291942792139477E-2</v>
      </c>
      <c r="AC61" s="173">
        <f t="shared" si="55"/>
        <v>8.291942792139477E-2</v>
      </c>
      <c r="AD61" s="173">
        <f t="shared" si="55"/>
        <v>8.291942792139477E-2</v>
      </c>
      <c r="AE61" s="173">
        <f t="shared" si="55"/>
        <v>8.291942792139477E-2</v>
      </c>
      <c r="AF61" s="173">
        <f t="shared" si="55"/>
        <v>8.291942792139477E-2</v>
      </c>
      <c r="AG61" s="173">
        <f t="shared" si="55"/>
        <v>8.291942792139477E-2</v>
      </c>
      <c r="AH61" s="178">
        <f t="shared" si="49"/>
        <v>8.2919427921394784E-2</v>
      </c>
      <c r="AI61" s="127"/>
    </row>
    <row r="62" spans="1:35">
      <c r="A62" s="9" t="s">
        <v>347</v>
      </c>
      <c r="B62" s="37"/>
      <c r="C62" s="339">
        <f t="shared" si="50"/>
        <v>0</v>
      </c>
      <c r="D62" s="339">
        <f t="shared" ref="D62:N62" si="58">C62*($N75)</f>
        <v>0</v>
      </c>
      <c r="E62" s="339">
        <f t="shared" si="58"/>
        <v>0</v>
      </c>
      <c r="F62" s="339">
        <f t="shared" si="58"/>
        <v>0</v>
      </c>
      <c r="G62" s="339">
        <f t="shared" si="58"/>
        <v>0</v>
      </c>
      <c r="H62" s="396">
        <f t="shared" si="53"/>
        <v>2.0012530913852734E-2</v>
      </c>
      <c r="I62" s="116">
        <f t="shared" si="58"/>
        <v>2.4715660273368273E-2</v>
      </c>
      <c r="J62" s="116">
        <f t="shared" si="58"/>
        <v>3.0524068413841296E-2</v>
      </c>
      <c r="K62" s="116">
        <f t="shared" si="58"/>
        <v>3.769750604384272E-2</v>
      </c>
      <c r="L62" s="116">
        <f t="shared" si="58"/>
        <v>4.6556767684387455E-2</v>
      </c>
      <c r="M62" s="116">
        <f t="shared" si="58"/>
        <v>5.7498037527924359E-2</v>
      </c>
      <c r="N62" s="178">
        <f t="shared" si="58"/>
        <v>7.1010606706514434E-2</v>
      </c>
      <c r="O62" s="116">
        <f t="shared" ref="O62:W62" si="59">N62*$X75</f>
        <v>7.190498325141198E-2</v>
      </c>
      <c r="P62" s="116">
        <f t="shared" si="59"/>
        <v>7.2810624443116007E-2</v>
      </c>
      <c r="Q62" s="116">
        <f t="shared" si="59"/>
        <v>7.3727672159528385E-2</v>
      </c>
      <c r="R62" s="116">
        <f t="shared" si="59"/>
        <v>7.4656270065499075E-2</v>
      </c>
      <c r="S62" s="116">
        <f t="shared" si="59"/>
        <v>7.5596563635332695E-2</v>
      </c>
      <c r="T62" s="116">
        <f t="shared" si="59"/>
        <v>7.6548700175578507E-2</v>
      </c>
      <c r="U62" s="116">
        <f t="shared" si="59"/>
        <v>7.7512828848107521E-2</v>
      </c>
      <c r="V62" s="116">
        <f t="shared" si="59"/>
        <v>7.8489100693480238E-2</v>
      </c>
      <c r="W62" s="116">
        <f t="shared" si="59"/>
        <v>7.9477668654608646E-2</v>
      </c>
      <c r="X62" s="178">
        <f t="shared" si="47"/>
        <v>8.0478687600716317E-2</v>
      </c>
      <c r="Y62" s="173">
        <f t="shared" si="55"/>
        <v>8.0478687600716317E-2</v>
      </c>
      <c r="Z62" s="173">
        <f t="shared" si="55"/>
        <v>8.0478687600716317E-2</v>
      </c>
      <c r="AA62" s="173">
        <f t="shared" si="55"/>
        <v>8.0478687600716317E-2</v>
      </c>
      <c r="AB62" s="173">
        <f t="shared" si="55"/>
        <v>8.0478687600716317E-2</v>
      </c>
      <c r="AC62" s="173">
        <f t="shared" si="55"/>
        <v>8.0478687600716317E-2</v>
      </c>
      <c r="AD62" s="173">
        <f t="shared" si="55"/>
        <v>8.0478687600716317E-2</v>
      </c>
      <c r="AE62" s="173">
        <f t="shared" si="55"/>
        <v>8.0478687600716317E-2</v>
      </c>
      <c r="AF62" s="173">
        <f t="shared" si="55"/>
        <v>8.0478687600716317E-2</v>
      </c>
      <c r="AG62" s="173">
        <f t="shared" si="55"/>
        <v>8.0478687600716317E-2</v>
      </c>
      <c r="AH62" s="178">
        <f t="shared" si="49"/>
        <v>8.0478687600716317E-2</v>
      </c>
      <c r="AI62" s="127"/>
    </row>
    <row r="63" spans="1:35">
      <c r="A63" s="9" t="s">
        <v>348</v>
      </c>
      <c r="B63" s="37"/>
      <c r="C63" s="339">
        <f t="shared" si="50"/>
        <v>0</v>
      </c>
      <c r="D63" s="339">
        <f t="shared" ref="D63:N63" si="60">C63*($N76)</f>
        <v>0</v>
      </c>
      <c r="E63" s="339">
        <f t="shared" si="60"/>
        <v>0</v>
      </c>
      <c r="F63" s="339">
        <f t="shared" si="60"/>
        <v>0</v>
      </c>
      <c r="G63" s="339">
        <f t="shared" si="60"/>
        <v>0</v>
      </c>
      <c r="H63" s="396">
        <f t="shared" si="53"/>
        <v>1.2530913852737746E-5</v>
      </c>
      <c r="I63" s="116">
        <f t="shared" si="60"/>
        <v>1.5320196524252583E-5</v>
      </c>
      <c r="J63" s="116">
        <f t="shared" si="60"/>
        <v>1.8730351537006375E-5</v>
      </c>
      <c r="K63" s="116">
        <f t="shared" si="60"/>
        <v>2.2899580181263545E-5</v>
      </c>
      <c r="L63" s="116">
        <f t="shared" si="60"/>
        <v>2.7996846265381425E-5</v>
      </c>
      <c r="M63" s="116">
        <f t="shared" si="60"/>
        <v>3.4228723609908218E-5</v>
      </c>
      <c r="N63" s="178">
        <f t="shared" si="60"/>
        <v>4.1847767739904271E-5</v>
      </c>
      <c r="O63" s="116">
        <f t="shared" ref="O63:W63" si="61">N63*$X76</f>
        <v>4.2374839168508992E-5</v>
      </c>
      <c r="P63" s="116">
        <f t="shared" si="61"/>
        <v>4.2908549046566454E-5</v>
      </c>
      <c r="Q63" s="116">
        <f t="shared" si="61"/>
        <v>4.3448980985156193E-5</v>
      </c>
      <c r="R63" s="116">
        <f t="shared" si="61"/>
        <v>4.3996219648436873E-5</v>
      </c>
      <c r="S63" s="116">
        <f t="shared" si="61"/>
        <v>4.4550350766909806E-5</v>
      </c>
      <c r="T63" s="116">
        <f t="shared" si="61"/>
        <v>4.5111461150849497E-5</v>
      </c>
      <c r="U63" s="116">
        <f t="shared" si="61"/>
        <v>4.5679638703903345E-5</v>
      </c>
      <c r="V63" s="116">
        <f t="shared" si="61"/>
        <v>4.6254972436862671E-5</v>
      </c>
      <c r="W63" s="116">
        <f t="shared" si="61"/>
        <v>4.6837552481607134E-5</v>
      </c>
      <c r="X63" s="178">
        <f t="shared" si="47"/>
        <v>4.7427470105224827E-5</v>
      </c>
      <c r="Y63" s="173">
        <f t="shared" si="55"/>
        <v>4.7427470105224827E-5</v>
      </c>
      <c r="Z63" s="173">
        <f t="shared" si="55"/>
        <v>4.7427470105224827E-5</v>
      </c>
      <c r="AA63" s="173">
        <f t="shared" si="55"/>
        <v>4.7427470105224827E-5</v>
      </c>
      <c r="AB63" s="173">
        <f t="shared" si="55"/>
        <v>4.7427470105224827E-5</v>
      </c>
      <c r="AC63" s="173">
        <f t="shared" si="55"/>
        <v>4.7427470105224827E-5</v>
      </c>
      <c r="AD63" s="173">
        <f t="shared" si="55"/>
        <v>4.7427470105224827E-5</v>
      </c>
      <c r="AE63" s="173">
        <f t="shared" si="55"/>
        <v>4.7427470105224827E-5</v>
      </c>
      <c r="AF63" s="173">
        <f t="shared" si="55"/>
        <v>4.7427470105224827E-5</v>
      </c>
      <c r="AG63" s="173">
        <f t="shared" si="55"/>
        <v>4.7427470105224827E-5</v>
      </c>
      <c r="AH63" s="178">
        <f t="shared" si="49"/>
        <v>4.7427470105224827E-5</v>
      </c>
      <c r="AI63" s="127"/>
    </row>
    <row r="64" spans="1:35">
      <c r="A64" s="9" t="s">
        <v>344</v>
      </c>
      <c r="B64" s="37"/>
      <c r="C64" s="336">
        <f t="shared" si="50"/>
        <v>1.2993762993762994E-6</v>
      </c>
      <c r="D64" s="336">
        <f t="shared" ref="D64:N64" si="62">C64*($N77)</f>
        <v>1.5886072236504732E-6</v>
      </c>
      <c r="E64" s="336">
        <f t="shared" si="62"/>
        <v>1.9422186723321239E-6</v>
      </c>
      <c r="F64" s="336">
        <f t="shared" si="62"/>
        <v>2.3745412427921352E-6</v>
      </c>
      <c r="G64" s="336">
        <f t="shared" si="62"/>
        <v>2.9030954104413176E-6</v>
      </c>
      <c r="H64" s="396">
        <f t="shared" si="53"/>
        <v>1.2530913852737745E-6</v>
      </c>
      <c r="I64" s="116">
        <f t="shared" si="62"/>
        <v>1.5320196524252582E-6</v>
      </c>
      <c r="J64" s="116">
        <f t="shared" si="62"/>
        <v>1.8730351537006375E-6</v>
      </c>
      <c r="K64" s="116">
        <f t="shared" si="62"/>
        <v>2.2899580181263545E-6</v>
      </c>
      <c r="L64" s="116">
        <f t="shared" si="62"/>
        <v>2.7996846265381425E-6</v>
      </c>
      <c r="M64" s="116">
        <f t="shared" si="62"/>
        <v>3.4228723609908219E-6</v>
      </c>
      <c r="N64" s="178">
        <f t="shared" si="62"/>
        <v>4.1847767739904276E-6</v>
      </c>
      <c r="O64" s="116">
        <f t="shared" ref="O64:W64" si="63">N64*$X77</f>
        <v>4.2374839168508998E-6</v>
      </c>
      <c r="P64" s="116">
        <f t="shared" si="63"/>
        <v>4.290854904656646E-6</v>
      </c>
      <c r="Q64" s="116">
        <f t="shared" si="63"/>
        <v>4.3448980985156196E-6</v>
      </c>
      <c r="R64" s="116">
        <f t="shared" si="63"/>
        <v>4.3996219648436878E-6</v>
      </c>
      <c r="S64" s="116">
        <f t="shared" si="63"/>
        <v>4.455035076690981E-6</v>
      </c>
      <c r="T64" s="116">
        <f t="shared" si="63"/>
        <v>4.5111461150849502E-6</v>
      </c>
      <c r="U64" s="116">
        <f t="shared" si="63"/>
        <v>4.5679638703903354E-6</v>
      </c>
      <c r="V64" s="116">
        <f t="shared" si="63"/>
        <v>4.6254972436862681E-6</v>
      </c>
      <c r="W64" s="116">
        <f t="shared" si="63"/>
        <v>4.6837552481607137E-6</v>
      </c>
      <c r="X64" s="178">
        <f t="shared" si="47"/>
        <v>4.7427470105224817E-6</v>
      </c>
      <c r="Y64" s="173">
        <f t="shared" si="55"/>
        <v>4.7427470105224817E-6</v>
      </c>
      <c r="Z64" s="173">
        <f t="shared" si="55"/>
        <v>4.7427470105224817E-6</v>
      </c>
      <c r="AA64" s="173">
        <f t="shared" si="55"/>
        <v>4.7427470105224817E-6</v>
      </c>
      <c r="AB64" s="173">
        <f t="shared" si="55"/>
        <v>4.7427470105224817E-6</v>
      </c>
      <c r="AC64" s="173">
        <f t="shared" si="55"/>
        <v>4.7427470105224817E-6</v>
      </c>
      <c r="AD64" s="173">
        <f t="shared" si="55"/>
        <v>4.7427470105224817E-6</v>
      </c>
      <c r="AE64" s="173">
        <f t="shared" si="55"/>
        <v>4.7427470105224817E-6</v>
      </c>
      <c r="AF64" s="173">
        <f t="shared" si="55"/>
        <v>4.7427470105224817E-6</v>
      </c>
      <c r="AG64" s="173">
        <f t="shared" si="55"/>
        <v>4.7427470105224817E-6</v>
      </c>
      <c r="AH64" s="178">
        <f t="shared" si="49"/>
        <v>4.7427470105224817E-6</v>
      </c>
      <c r="AI64" s="127"/>
    </row>
    <row r="65" spans="1:35">
      <c r="A65" s="9" t="s">
        <v>120</v>
      </c>
      <c r="B65" s="37"/>
      <c r="C65" s="336">
        <f t="shared" si="50"/>
        <v>0</v>
      </c>
      <c r="D65" s="336">
        <v>0</v>
      </c>
      <c r="E65" s="336">
        <v>0</v>
      </c>
      <c r="F65" s="336">
        <v>0</v>
      </c>
      <c r="G65" s="336">
        <v>0</v>
      </c>
      <c r="H65" s="396">
        <f t="shared" si="53"/>
        <v>1.2530913852737746E-4</v>
      </c>
      <c r="I65" s="173">
        <v>0</v>
      </c>
      <c r="J65" s="173">
        <v>0</v>
      </c>
      <c r="K65" s="173">
        <v>0</v>
      </c>
      <c r="L65" s="173">
        <v>0</v>
      </c>
      <c r="M65" s="173">
        <v>0</v>
      </c>
      <c r="N65" s="178">
        <v>0</v>
      </c>
      <c r="O65" s="116">
        <f t="shared" ref="O65:AG65" si="64">O41/O$49</f>
        <v>9.5500592800141983E-4</v>
      </c>
      <c r="P65" s="116">
        <f t="shared" si="64"/>
        <v>1.1052728822069291E-3</v>
      </c>
      <c r="Q65" s="116">
        <f t="shared" si="64"/>
        <v>1.2544664829004344E-3</v>
      </c>
      <c r="R65" s="116">
        <f t="shared" si="64"/>
        <v>1.3917431210006702E-3</v>
      </c>
      <c r="S65" s="116">
        <f t="shared" si="64"/>
        <v>1.5236030858347624E-3</v>
      </c>
      <c r="T65" s="116">
        <f t="shared" si="64"/>
        <v>1.7007085443918181E-3</v>
      </c>
      <c r="U65" s="116">
        <f t="shared" si="64"/>
        <v>1.9168394486313209E-3</v>
      </c>
      <c r="V65" s="116">
        <f t="shared" si="64"/>
        <v>2.0514610921880476E-3</v>
      </c>
      <c r="W65" s="116">
        <f t="shared" si="64"/>
        <v>2.2663032569357044E-3</v>
      </c>
      <c r="X65" s="178">
        <f t="shared" si="47"/>
        <v>2.369870493093648E-3</v>
      </c>
      <c r="Y65" s="173">
        <f t="shared" si="64"/>
        <v>2.4736363950403103E-3</v>
      </c>
      <c r="Z65" s="173">
        <f t="shared" si="64"/>
        <v>2.5335578124268429E-3</v>
      </c>
      <c r="AA65" s="173">
        <f t="shared" si="64"/>
        <v>2.5931600480983037E-3</v>
      </c>
      <c r="AB65" s="173">
        <f t="shared" si="64"/>
        <v>2.6774744823881919E-3</v>
      </c>
      <c r="AC65" s="173">
        <f t="shared" si="64"/>
        <v>2.8344747259677083E-3</v>
      </c>
      <c r="AD65" s="173">
        <f t="shared" si="64"/>
        <v>2.9889744845383497E-3</v>
      </c>
      <c r="AE65" s="173">
        <f t="shared" si="64"/>
        <v>3.1375397058241486E-3</v>
      </c>
      <c r="AF65" s="173">
        <f t="shared" si="64"/>
        <v>3.2972906338553138E-3</v>
      </c>
      <c r="AG65" s="173">
        <f t="shared" si="64"/>
        <v>3.4725106969306619E-3</v>
      </c>
      <c r="AH65" s="178">
        <f t="shared" si="49"/>
        <v>3.7239896057616718E-3</v>
      </c>
      <c r="AI65" s="127"/>
    </row>
    <row r="66" spans="1:35">
      <c r="A66" s="9" t="s">
        <v>53</v>
      </c>
      <c r="B66" s="37"/>
      <c r="C66" s="336">
        <f>C42/C$49</f>
        <v>0</v>
      </c>
      <c r="D66" s="336">
        <f t="shared" ref="D66:N66" si="65">C66*($N79)</f>
        <v>0</v>
      </c>
      <c r="E66" s="336">
        <f t="shared" si="65"/>
        <v>0</v>
      </c>
      <c r="F66" s="336">
        <f t="shared" si="65"/>
        <v>0</v>
      </c>
      <c r="G66" s="336">
        <f t="shared" si="65"/>
        <v>0</v>
      </c>
      <c r="H66" s="396">
        <f t="shared" si="53"/>
        <v>2.6834115260804058E-4</v>
      </c>
      <c r="I66" s="116">
        <f t="shared" si="65"/>
        <v>4.035841137169585E-4</v>
      </c>
      <c r="J66" s="116">
        <f t="shared" si="65"/>
        <v>6.0698903340635922E-4</v>
      </c>
      <c r="K66" s="116">
        <f t="shared" si="65"/>
        <v>9.129092899181297E-4</v>
      </c>
      <c r="L66" s="116">
        <f t="shared" si="65"/>
        <v>1.3730122386921076E-3</v>
      </c>
      <c r="M66" s="116">
        <f t="shared" si="65"/>
        <v>2.0650053936545829E-3</v>
      </c>
      <c r="N66" s="178">
        <f t="shared" si="65"/>
        <v>3.105760572013924E-3</v>
      </c>
      <c r="O66" s="116">
        <f t="shared" ref="O66:W66" si="66">N66*$X79</f>
        <v>3.1448775369084378E-3</v>
      </c>
      <c r="P66" s="116">
        <f t="shared" si="66"/>
        <v>3.1844871788484219E-3</v>
      </c>
      <c r="Q66" s="116">
        <f t="shared" si="66"/>
        <v>3.2245957030870649E-3</v>
      </c>
      <c r="R66" s="116">
        <f t="shared" si="66"/>
        <v>3.2652093930325404E-3</v>
      </c>
      <c r="S66" s="116">
        <f t="shared" si="66"/>
        <v>3.3063346112323666E-3</v>
      </c>
      <c r="T66" s="116">
        <f t="shared" si="66"/>
        <v>3.3479778003701645E-3</v>
      </c>
      <c r="U66" s="116">
        <f t="shared" si="66"/>
        <v>3.3901454842749697E-3</v>
      </c>
      <c r="V66" s="116">
        <f t="shared" si="66"/>
        <v>3.4328442689432566E-3</v>
      </c>
      <c r="W66" s="116">
        <f t="shared" si="66"/>
        <v>3.4760808435738344E-3</v>
      </c>
      <c r="X66" s="178">
        <f t="shared" si="47"/>
        <v>3.5198619816157817E-3</v>
      </c>
      <c r="Y66" s="173">
        <f t="shared" si="55"/>
        <v>3.5198619816157817E-3</v>
      </c>
      <c r="Z66" s="173">
        <f t="shared" si="55"/>
        <v>3.5198619816157817E-3</v>
      </c>
      <c r="AA66" s="173">
        <f t="shared" si="55"/>
        <v>3.5198619816157817E-3</v>
      </c>
      <c r="AB66" s="173">
        <f t="shared" si="55"/>
        <v>3.5198619816157817E-3</v>
      </c>
      <c r="AC66" s="173">
        <f t="shared" si="55"/>
        <v>3.5198619816157817E-3</v>
      </c>
      <c r="AD66" s="173">
        <f t="shared" si="55"/>
        <v>3.5198619816157817E-3</v>
      </c>
      <c r="AE66" s="173">
        <f t="shared" si="55"/>
        <v>3.5198619816157817E-3</v>
      </c>
      <c r="AF66" s="173">
        <f t="shared" si="55"/>
        <v>3.5198619816157817E-3</v>
      </c>
      <c r="AG66" s="173">
        <f t="shared" si="55"/>
        <v>3.5198619816157817E-3</v>
      </c>
      <c r="AH66" s="178">
        <f t="shared" si="49"/>
        <v>3.5198619816157817E-3</v>
      </c>
      <c r="AI66" s="127"/>
    </row>
    <row r="67" spans="1:35" s="1" customFormat="1">
      <c r="A67" s="11" t="s">
        <v>540</v>
      </c>
      <c r="B67" s="36"/>
      <c r="C67" s="340">
        <f t="shared" ref="C67:AG67" si="67">SUM(C58:C66)</f>
        <v>1.8842255717255719E-2</v>
      </c>
      <c r="D67" s="340">
        <f t="shared" si="67"/>
        <v>2.3036120998252543E-2</v>
      </c>
      <c r="E67" s="340">
        <f t="shared" si="67"/>
        <v>2.8163447020844556E-2</v>
      </c>
      <c r="F67" s="340">
        <f t="shared" si="67"/>
        <v>3.4432001297271107E-2</v>
      </c>
      <c r="G67" s="340">
        <f t="shared" si="67"/>
        <v>4.2095795747509969E-2</v>
      </c>
      <c r="H67" s="403">
        <f t="shared" si="67"/>
        <v>4.2865344168008752E-2</v>
      </c>
      <c r="I67" s="85">
        <f t="shared" si="67"/>
        <v>5.2622697980077258E-2</v>
      </c>
      <c r="J67" s="85">
        <f t="shared" si="67"/>
        <v>6.481549527263733E-2</v>
      </c>
      <c r="K67" s="85">
        <f t="shared" si="67"/>
        <v>7.9869819908977319E-2</v>
      </c>
      <c r="L67" s="85">
        <f t="shared" si="67"/>
        <v>9.8474006733777458E-2</v>
      </c>
      <c r="M67" s="85">
        <f t="shared" si="67"/>
        <v>0.12148984881138156</v>
      </c>
      <c r="N67" s="183">
        <f>SUM(N58:N66)</f>
        <v>0.15</v>
      </c>
      <c r="O67" s="85">
        <f t="shared" si="67"/>
        <v>0.15284425160490564</v>
      </c>
      <c r="P67" s="85">
        <f t="shared" si="67"/>
        <v>0.15490755923086683</v>
      </c>
      <c r="Q67" s="85">
        <f t="shared" si="67"/>
        <v>0.15699388819544161</v>
      </c>
      <c r="R67" s="85">
        <f t="shared" si="67"/>
        <v>0.15909269836150181</v>
      </c>
      <c r="S67" s="85">
        <f t="shared" si="67"/>
        <v>0.16121079731254781</v>
      </c>
      <c r="T67" s="85">
        <f t="shared" si="67"/>
        <v>0.16339915838010347</v>
      </c>
      <c r="U67" s="85">
        <f t="shared" si="67"/>
        <v>0.16565187659977126</v>
      </c>
      <c r="V67" s="85">
        <f t="shared" si="67"/>
        <v>0.16784873631729832</v>
      </c>
      <c r="W67" s="85">
        <f t="shared" si="67"/>
        <v>0.17015179038512293</v>
      </c>
      <c r="X67" s="183">
        <f t="shared" si="67"/>
        <v>0.1723698704930936</v>
      </c>
      <c r="Y67" s="85">
        <f t="shared" si="67"/>
        <v>0.17247363639504026</v>
      </c>
      <c r="Z67" s="85">
        <f t="shared" si="67"/>
        <v>0.1725335578124268</v>
      </c>
      <c r="AA67" s="85">
        <f t="shared" si="67"/>
        <v>0.17259316004809827</v>
      </c>
      <c r="AB67" s="85">
        <f t="shared" si="67"/>
        <v>0.17267747448238815</v>
      </c>
      <c r="AC67" s="85">
        <f t="shared" si="67"/>
        <v>0.17283447472596766</v>
      </c>
      <c r="AD67" s="85">
        <f t="shared" si="67"/>
        <v>0.17298897448453832</v>
      </c>
      <c r="AE67" s="85">
        <f t="shared" si="67"/>
        <v>0.1731375397058241</v>
      </c>
      <c r="AF67" s="85">
        <f t="shared" si="67"/>
        <v>0.17329729063385527</v>
      </c>
      <c r="AG67" s="85">
        <f t="shared" si="67"/>
        <v>0.17347251069693062</v>
      </c>
      <c r="AH67" s="183">
        <f>SUM(AH58:AH66)</f>
        <v>0.17372398960576163</v>
      </c>
      <c r="AI67" s="196"/>
    </row>
    <row r="68" spans="1:35" s="252" customFormat="1">
      <c r="A68" s="10" t="s">
        <v>548</v>
      </c>
      <c r="B68" s="37"/>
      <c r="C68" s="332"/>
      <c r="D68" s="332">
        <f>D67/C67-1</f>
        <v>0.22257766500621723</v>
      </c>
      <c r="E68" s="332">
        <f t="shared" ref="E68:W68" si="68">E67/D67-1</f>
        <v>0.222577665006229</v>
      </c>
      <c r="F68" s="332">
        <f t="shared" si="68"/>
        <v>0.22257766500624077</v>
      </c>
      <c r="G68" s="332">
        <f t="shared" si="68"/>
        <v>0.22257766500625253</v>
      </c>
      <c r="H68" s="284"/>
      <c r="I68" s="284">
        <f t="shared" si="68"/>
        <v>0.22762802915625735</v>
      </c>
      <c r="J68" s="284">
        <f t="shared" si="68"/>
        <v>0.23170224561986941</v>
      </c>
      <c r="K68" s="284">
        <f t="shared" si="68"/>
        <v>0.23226428453591352</v>
      </c>
      <c r="L68" s="284">
        <f t="shared" si="68"/>
        <v>0.23293137315198886</v>
      </c>
      <c r="M68" s="284">
        <f t="shared" si="68"/>
        <v>0.23372504928967675</v>
      </c>
      <c r="N68" s="283">
        <f t="shared" si="68"/>
        <v>0.23467105661545218</v>
      </c>
      <c r="O68" s="284">
        <f t="shared" si="68"/>
        <v>1.896167736603771E-2</v>
      </c>
      <c r="P68" s="284">
        <f t="shared" si="68"/>
        <v>1.3499412665480826E-2</v>
      </c>
      <c r="Q68" s="284">
        <f t="shared" si="68"/>
        <v>1.346821920720731E-2</v>
      </c>
      <c r="R68" s="284">
        <f t="shared" si="68"/>
        <v>1.3368738045696382E-2</v>
      </c>
      <c r="S68" s="284">
        <f t="shared" si="68"/>
        <v>1.3313615098997866E-2</v>
      </c>
      <c r="T68" s="284">
        <f t="shared" si="68"/>
        <v>1.3574531632102538E-2</v>
      </c>
      <c r="U68" s="284">
        <f t="shared" si="68"/>
        <v>1.3786596222408187E-2</v>
      </c>
      <c r="V68" s="284">
        <f t="shared" si="68"/>
        <v>1.3261906611748531E-2</v>
      </c>
      <c r="W68" s="284">
        <f t="shared" si="68"/>
        <v>1.3721009275106777E-2</v>
      </c>
      <c r="X68" s="284">
        <f>X67/W67-1</f>
        <v>1.3035890500771474E-2</v>
      </c>
      <c r="Y68" s="289">
        <f t="shared" ref="Y68:AG68" si="69">Y67/X67-1</f>
        <v>6.0199559035356565E-4</v>
      </c>
      <c r="Z68" s="289">
        <f t="shared" si="69"/>
        <v>3.4742363319395508E-4</v>
      </c>
      <c r="AA68" s="289">
        <f t="shared" si="69"/>
        <v>3.4545300304000826E-4</v>
      </c>
      <c r="AB68" s="289">
        <f t="shared" si="69"/>
        <v>4.8851550238948604E-4</v>
      </c>
      <c r="AC68" s="289">
        <f t="shared" si="69"/>
        <v>9.0921090924056536E-4</v>
      </c>
      <c r="AD68" s="289">
        <f t="shared" si="69"/>
        <v>8.9391748269918025E-4</v>
      </c>
      <c r="AE68" s="289">
        <f t="shared" si="69"/>
        <v>8.5881323782910357E-4</v>
      </c>
      <c r="AF68" s="289">
        <f t="shared" si="69"/>
        <v>9.2268221151003971E-4</v>
      </c>
      <c r="AG68" s="289">
        <f t="shared" si="69"/>
        <v>1.0110952250579341E-3</v>
      </c>
      <c r="AH68" s="283">
        <f>AH67/AG67-1</f>
        <v>1.4496758467419379E-3</v>
      </c>
      <c r="AI68" s="292"/>
    </row>
    <row r="69" spans="1:35">
      <c r="A69" s="10"/>
      <c r="B69" s="37"/>
      <c r="C69" s="332"/>
      <c r="D69" s="332"/>
      <c r="E69" s="332"/>
      <c r="F69" s="332"/>
      <c r="G69" s="332"/>
      <c r="H69" s="284"/>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9"/>
      <c r="AI69" s="127"/>
    </row>
    <row r="70" spans="1:35">
      <c r="A70" s="11" t="s">
        <v>545</v>
      </c>
      <c r="B70" s="37"/>
      <c r="C70" s="332"/>
      <c r="D70" s="332"/>
      <c r="E70" s="332"/>
      <c r="F70" s="332"/>
      <c r="G70" s="332"/>
      <c r="H70" s="284"/>
      <c r="I70" s="164"/>
      <c r="J70" s="164"/>
      <c r="K70" s="164"/>
      <c r="L70" s="164"/>
      <c r="M70" s="164"/>
      <c r="N70" s="199" t="s">
        <v>711</v>
      </c>
      <c r="O70" s="164"/>
      <c r="P70" s="164"/>
      <c r="Q70" s="164"/>
      <c r="R70" s="164"/>
      <c r="S70" s="164"/>
      <c r="T70" s="164"/>
      <c r="U70" s="164"/>
      <c r="V70" s="164"/>
      <c r="W70" s="164"/>
      <c r="X70" s="199" t="s">
        <v>546</v>
      </c>
      <c r="Y70" s="20"/>
      <c r="Z70" s="20"/>
      <c r="AA70" s="20"/>
      <c r="AB70" s="20"/>
      <c r="AC70" s="20"/>
      <c r="AD70" s="20"/>
      <c r="AE70" s="20"/>
      <c r="AF70" s="20"/>
      <c r="AG70" s="20"/>
      <c r="AH70" s="279" t="s">
        <v>708</v>
      </c>
      <c r="AI70" s="127"/>
    </row>
    <row r="71" spans="1:35">
      <c r="A71" s="9" t="s">
        <v>121</v>
      </c>
      <c r="B71" s="37"/>
      <c r="C71" s="332"/>
      <c r="D71" s="332"/>
      <c r="E71" s="332"/>
      <c r="F71" s="332"/>
      <c r="G71" s="332"/>
      <c r="H71" s="284"/>
      <c r="I71" s="164"/>
      <c r="J71" s="164"/>
      <c r="K71" s="395"/>
      <c r="L71" s="395"/>
      <c r="M71" s="164"/>
      <c r="N71" s="186">
        <f>(N86/H86)^(1/6)</f>
        <v>1.3073246943532359</v>
      </c>
      <c r="O71" s="164"/>
      <c r="P71" s="164"/>
      <c r="Q71" s="164"/>
      <c r="R71" s="164"/>
      <c r="S71" s="164"/>
      <c r="T71" s="164"/>
      <c r="U71" s="164"/>
      <c r="V71" s="164"/>
      <c r="W71" s="164"/>
      <c r="X71" s="186">
        <f>(X86/N86)^(1/10)</f>
        <v>1.0125949711793618</v>
      </c>
      <c r="Y71" s="20"/>
      <c r="Z71" s="20"/>
      <c r="AA71" s="20"/>
      <c r="AB71" s="20"/>
      <c r="AC71" s="20"/>
      <c r="AD71" s="20"/>
      <c r="AE71" s="20"/>
      <c r="AF71" s="20"/>
      <c r="AG71" s="20"/>
      <c r="AH71" s="186">
        <f>(AH86/X86)^(1/10)</f>
        <v>1</v>
      </c>
      <c r="AI71" s="127"/>
    </row>
    <row r="72" spans="1:35">
      <c r="A72" s="9" t="s">
        <v>50</v>
      </c>
      <c r="B72" s="37"/>
      <c r="C72" s="332"/>
      <c r="D72" s="332"/>
      <c r="E72" s="332"/>
      <c r="F72" s="332"/>
      <c r="G72" s="332"/>
      <c r="H72" s="284"/>
      <c r="I72" s="164"/>
      <c r="J72" s="164"/>
      <c r="K72" s="395"/>
      <c r="L72" s="395"/>
      <c r="M72" s="164"/>
      <c r="N72" s="186">
        <f>(N87/H87)^(1/6)</f>
        <v>1.2225921193214042</v>
      </c>
      <c r="O72" s="164"/>
      <c r="P72" s="164"/>
      <c r="Q72" s="164"/>
      <c r="R72" s="164"/>
      <c r="S72" s="164"/>
      <c r="T72" s="164"/>
      <c r="U72" s="164"/>
      <c r="V72" s="164"/>
      <c r="W72" s="164"/>
      <c r="X72" s="186">
        <f>(X87/N87)^(1/10)</f>
        <v>1.0125949711793618</v>
      </c>
      <c r="Y72" s="20"/>
      <c r="Z72" s="20"/>
      <c r="AA72" s="20"/>
      <c r="AB72" s="20"/>
      <c r="AC72" s="20"/>
      <c r="AD72" s="20"/>
      <c r="AE72" s="20"/>
      <c r="AF72" s="20"/>
      <c r="AG72" s="20"/>
      <c r="AH72" s="186">
        <f>(AH87/X87)^(1/10)</f>
        <v>1</v>
      </c>
      <c r="AI72" s="127"/>
    </row>
    <row r="73" spans="1:35">
      <c r="A73" s="9" t="s">
        <v>119</v>
      </c>
      <c r="B73" s="37"/>
      <c r="C73" s="332"/>
      <c r="D73" s="332"/>
      <c r="E73" s="332"/>
      <c r="F73" s="332"/>
      <c r="G73" s="332"/>
      <c r="H73" s="284"/>
      <c r="I73" s="164"/>
      <c r="J73" s="164"/>
      <c r="K73" s="395"/>
      <c r="L73" s="395"/>
      <c r="M73" s="164"/>
      <c r="N73" s="186"/>
      <c r="O73" s="164"/>
      <c r="P73" s="164"/>
      <c r="Q73" s="164"/>
      <c r="R73" s="164"/>
      <c r="S73" s="164"/>
      <c r="T73" s="164"/>
      <c r="U73" s="164"/>
      <c r="V73" s="164"/>
      <c r="W73" s="164"/>
      <c r="X73" s="186"/>
      <c r="AH73" s="186"/>
      <c r="AI73" s="127"/>
    </row>
    <row r="74" spans="1:35">
      <c r="A74" s="9" t="s">
        <v>51</v>
      </c>
      <c r="B74" s="37"/>
      <c r="C74" s="332"/>
      <c r="D74" s="332"/>
      <c r="E74" s="332"/>
      <c r="F74" s="332"/>
      <c r="G74" s="332"/>
      <c r="H74" s="284"/>
      <c r="I74" s="164"/>
      <c r="J74" s="164"/>
      <c r="K74" s="395"/>
      <c r="L74" s="395"/>
      <c r="M74" s="164"/>
      <c r="N74" s="179">
        <f>(N89/H89)^(1/6)</f>
        <v>1.222577664009368</v>
      </c>
      <c r="O74" s="164"/>
      <c r="P74" s="164"/>
      <c r="Q74" s="164"/>
      <c r="R74" s="164"/>
      <c r="S74" s="164"/>
      <c r="T74" s="164"/>
      <c r="U74" s="164"/>
      <c r="V74" s="164"/>
      <c r="W74" s="164"/>
      <c r="X74" s="186">
        <f>(X89/N89)^(1/10)</f>
        <v>1.0125949711793618</v>
      </c>
      <c r="AH74" s="186">
        <f>(AH89/X89)^(1/10)</f>
        <v>1</v>
      </c>
      <c r="AI74" s="127"/>
    </row>
    <row r="75" spans="1:35">
      <c r="A75" s="9" t="s">
        <v>347</v>
      </c>
      <c r="B75" s="37"/>
      <c r="C75" s="332"/>
      <c r="D75" s="332"/>
      <c r="E75" s="332"/>
      <c r="F75" s="332"/>
      <c r="G75" s="332"/>
      <c r="H75" s="284"/>
      <c r="I75" s="164"/>
      <c r="J75" s="164"/>
      <c r="K75" s="395"/>
      <c r="L75" s="395"/>
      <c r="M75" s="164"/>
      <c r="N75" s="179">
        <f>(N90/H90)^(1/6)</f>
        <v>1.2350092239587758</v>
      </c>
      <c r="O75" s="164"/>
      <c r="P75" s="164"/>
      <c r="Q75" s="164"/>
      <c r="R75" s="164"/>
      <c r="S75" s="164"/>
      <c r="T75" s="164"/>
      <c r="U75" s="164"/>
      <c r="V75" s="164"/>
      <c r="W75" s="164"/>
      <c r="X75" s="186">
        <f>(X90/N90)^(1/10)</f>
        <v>1.0125949711793618</v>
      </c>
      <c r="AH75" s="186">
        <f>(AH90/X90)^(1/10)</f>
        <v>1</v>
      </c>
      <c r="AI75" s="127"/>
    </row>
    <row r="76" spans="1:35">
      <c r="A76" s="9" t="s">
        <v>348</v>
      </c>
      <c r="B76" s="37"/>
      <c r="C76" s="332"/>
      <c r="D76" s="332"/>
      <c r="E76" s="332"/>
      <c r="F76" s="332"/>
      <c r="G76" s="332"/>
      <c r="H76" s="284"/>
      <c r="I76" s="164"/>
      <c r="J76" s="164"/>
      <c r="K76" s="395"/>
      <c r="L76" s="395"/>
      <c r="M76" s="164"/>
      <c r="N76" s="179">
        <f>(N91/H91)^(1/6)</f>
        <v>1.2225921193214042</v>
      </c>
      <c r="O76" s="164"/>
      <c r="P76" s="164"/>
      <c r="Q76" s="164"/>
      <c r="R76" s="164"/>
      <c r="S76" s="164"/>
      <c r="T76" s="164"/>
      <c r="U76" s="164"/>
      <c r="V76" s="164"/>
      <c r="W76" s="164"/>
      <c r="X76" s="186">
        <f>(X91/N91)^(1/10)</f>
        <v>1.0125949711793618</v>
      </c>
      <c r="AH76" s="186">
        <f>(AH91/X91)^(1/10)</f>
        <v>1</v>
      </c>
      <c r="AI76" s="127"/>
    </row>
    <row r="77" spans="1:35">
      <c r="A77" s="9" t="s">
        <v>344</v>
      </c>
      <c r="B77" s="37"/>
      <c r="C77" s="332"/>
      <c r="D77" s="332"/>
      <c r="E77" s="332"/>
      <c r="F77" s="332"/>
      <c r="G77" s="332"/>
      <c r="H77" s="284"/>
      <c r="I77" s="164"/>
      <c r="J77" s="164"/>
      <c r="K77" s="395"/>
      <c r="L77" s="395"/>
      <c r="M77" s="164"/>
      <c r="N77" s="179">
        <f>(N92/H92)^(1/6)</f>
        <v>1.2225921193214042</v>
      </c>
      <c r="O77" s="164"/>
      <c r="P77" s="164"/>
      <c r="Q77" s="164"/>
      <c r="R77" s="164"/>
      <c r="S77" s="164"/>
      <c r="T77" s="164"/>
      <c r="U77" s="164"/>
      <c r="V77" s="164"/>
      <c r="W77" s="164"/>
      <c r="X77" s="186">
        <f>(X92/N92)^(1/10)</f>
        <v>1.0125949711793618</v>
      </c>
      <c r="AH77" s="186">
        <f>(AH92/X92)^(1/10)</f>
        <v>1</v>
      </c>
      <c r="AI77" s="127"/>
    </row>
    <row r="78" spans="1:35">
      <c r="A78" s="9" t="s">
        <v>120</v>
      </c>
      <c r="B78" s="37"/>
      <c r="C78" s="332"/>
      <c r="D78" s="332"/>
      <c r="E78" s="332"/>
      <c r="F78" s="332"/>
      <c r="G78" s="332"/>
      <c r="H78" s="284"/>
      <c r="I78" s="164"/>
      <c r="J78" s="164"/>
      <c r="K78" s="395"/>
      <c r="L78" s="395"/>
      <c r="M78" s="164"/>
      <c r="N78" s="186">
        <f t="shared" ref="N78:N79" si="70">(N93/H93)^(1/6)</f>
        <v>1.3691732204996994</v>
      </c>
      <c r="O78" s="164"/>
      <c r="P78" s="164"/>
      <c r="Q78" s="164"/>
      <c r="R78" s="164"/>
      <c r="S78" s="164"/>
      <c r="T78" s="164"/>
      <c r="U78" s="164"/>
      <c r="V78" s="164"/>
      <c r="W78" s="164"/>
      <c r="X78" s="186">
        <f t="shared" ref="X78:X79" si="71">(X93/N93)^(1/10)</f>
        <v>1.111217696832475</v>
      </c>
      <c r="AH78" s="186">
        <f t="shared" ref="AH78:AH79" si="72">(AH93/X93)^(1/10)</f>
        <v>1.0462329285467542</v>
      </c>
      <c r="AI78" s="127"/>
    </row>
    <row r="79" spans="1:35">
      <c r="A79" s="9" t="s">
        <v>53</v>
      </c>
      <c r="B79" s="37"/>
      <c r="C79" s="332"/>
      <c r="D79" s="332"/>
      <c r="E79" s="332"/>
      <c r="F79" s="332"/>
      <c r="G79" s="332"/>
      <c r="H79" s="284"/>
      <c r="I79" s="164"/>
      <c r="J79" s="164"/>
      <c r="K79" s="395"/>
      <c r="L79" s="395"/>
      <c r="M79" s="164"/>
      <c r="N79" s="186">
        <f t="shared" si="70"/>
        <v>1.5039963486572037</v>
      </c>
      <c r="O79" s="164"/>
      <c r="P79" s="164"/>
      <c r="Q79" s="164"/>
      <c r="R79" s="164"/>
      <c r="S79" s="164"/>
      <c r="T79" s="164"/>
      <c r="U79" s="164"/>
      <c r="V79" s="164"/>
      <c r="W79" s="164"/>
      <c r="X79" s="186">
        <f t="shared" si="71"/>
        <v>1.0125949711793618</v>
      </c>
      <c r="AH79" s="186">
        <f t="shared" si="72"/>
        <v>1</v>
      </c>
      <c r="AI79" s="127"/>
    </row>
    <row r="80" spans="1:35">
      <c r="A80" s="10"/>
      <c r="B80" s="37"/>
      <c r="C80" s="332"/>
      <c r="D80" s="332"/>
      <c r="E80" s="332"/>
      <c r="F80" s="332"/>
      <c r="G80" s="332"/>
      <c r="H80" s="284"/>
      <c r="I80" s="164"/>
      <c r="J80" s="164"/>
      <c r="K80" s="164"/>
      <c r="L80" s="164"/>
      <c r="M80" s="164"/>
      <c r="N80" s="180"/>
      <c r="O80" s="164"/>
      <c r="P80" s="164"/>
      <c r="Q80" s="164"/>
      <c r="R80" s="164"/>
      <c r="S80" s="164"/>
      <c r="T80" s="164"/>
      <c r="U80" s="164"/>
      <c r="V80" s="164"/>
      <c r="W80" s="164"/>
      <c r="X80" s="185"/>
      <c r="AI80" s="127"/>
    </row>
    <row r="81" spans="1:35">
      <c r="A81" s="1" t="s">
        <v>547</v>
      </c>
      <c r="B81" s="37"/>
      <c r="C81" s="332"/>
      <c r="D81" s="332"/>
      <c r="E81" s="332"/>
      <c r="F81" s="332"/>
      <c r="G81" s="332"/>
      <c r="H81" s="284"/>
      <c r="I81" s="164"/>
      <c r="J81" s="164"/>
      <c r="K81" s="164"/>
      <c r="L81" s="164"/>
      <c r="M81" s="164"/>
      <c r="N81" s="184" t="s">
        <v>0</v>
      </c>
      <c r="O81" s="164"/>
      <c r="P81" s="164"/>
      <c r="Q81" s="164"/>
      <c r="R81" s="164"/>
      <c r="S81" s="164"/>
      <c r="T81" s="164"/>
      <c r="U81" s="164"/>
      <c r="V81" s="164"/>
      <c r="W81" s="164"/>
      <c r="X81" s="185"/>
      <c r="AI81" s="127"/>
    </row>
    <row r="82" spans="1:35">
      <c r="A82" s="9" t="s">
        <v>282</v>
      </c>
      <c r="B82" s="37"/>
      <c r="C82" s="332"/>
      <c r="D82" s="332"/>
      <c r="E82" s="332"/>
      <c r="F82" s="332"/>
      <c r="G82" s="332"/>
      <c r="H82" s="284"/>
      <c r="I82" s="164"/>
      <c r="J82" s="164"/>
      <c r="K82" s="164"/>
      <c r="L82" s="164"/>
      <c r="M82" s="164"/>
      <c r="N82" s="185" t="s">
        <v>0</v>
      </c>
      <c r="O82" s="164"/>
      <c r="P82" s="164"/>
      <c r="Q82" s="164"/>
      <c r="R82" s="164"/>
      <c r="S82" s="164"/>
      <c r="T82" s="164"/>
      <c r="U82" s="164"/>
      <c r="V82" s="164"/>
      <c r="W82" s="164"/>
      <c r="X82" s="185"/>
      <c r="AI82" s="127"/>
    </row>
    <row r="83" spans="1:35">
      <c r="A83" s="20" t="s">
        <v>122</v>
      </c>
      <c r="B83" s="37"/>
      <c r="C83" s="332"/>
      <c r="D83" s="332"/>
      <c r="E83" s="332"/>
      <c r="F83" s="332"/>
      <c r="G83" s="332"/>
      <c r="H83" s="284"/>
      <c r="I83" s="164"/>
      <c r="J83" s="164"/>
      <c r="K83" s="164"/>
      <c r="L83" s="164"/>
      <c r="M83" s="164"/>
      <c r="N83" s="180"/>
      <c r="O83" s="164"/>
      <c r="P83" s="164"/>
      <c r="Q83" s="164"/>
      <c r="R83" s="164"/>
      <c r="S83" s="164"/>
      <c r="T83" s="164"/>
      <c r="U83" s="164"/>
      <c r="V83" s="164"/>
      <c r="W83" s="164"/>
      <c r="X83" s="185"/>
      <c r="AI83" s="127"/>
    </row>
    <row r="84" spans="1:35">
      <c r="A84" s="9" t="s">
        <v>49</v>
      </c>
      <c r="B84" s="37"/>
      <c r="C84" s="336">
        <f t="shared" ref="C84:AH84" si="73">C31/C$49</f>
        <v>6.4838877338877345E-4</v>
      </c>
      <c r="D84" s="336">
        <f t="shared" si="73"/>
        <v>6.3533469182594558E-4</v>
      </c>
      <c r="E84" s="336">
        <f t="shared" si="73"/>
        <v>6.2228061026311783E-4</v>
      </c>
      <c r="F84" s="336">
        <f t="shared" si="73"/>
        <v>6.0922652870029007E-4</v>
      </c>
      <c r="G84" s="336">
        <f t="shared" si="73"/>
        <v>5.9617244713746232E-4</v>
      </c>
      <c r="H84" s="396">
        <f t="shared" si="73"/>
        <v>5.106351996100305E-4</v>
      </c>
      <c r="I84" s="116">
        <f t="shared" si="73"/>
        <v>5.0966164570797018E-4</v>
      </c>
      <c r="J84" s="116">
        <f t="shared" si="73"/>
        <v>5.0868809180590986E-4</v>
      </c>
      <c r="K84" s="116">
        <f t="shared" si="73"/>
        <v>5.0771453790384954E-4</v>
      </c>
      <c r="L84" s="116">
        <f t="shared" si="73"/>
        <v>5.0674098400178922E-4</v>
      </c>
      <c r="M84" s="116">
        <f t="shared" si="73"/>
        <v>5.057674300997289E-4</v>
      </c>
      <c r="N84" s="178">
        <f t="shared" si="73"/>
        <v>5.0479387619766826E-4</v>
      </c>
      <c r="O84" s="116">
        <f t="shared" si="73"/>
        <v>5.178213966266764E-4</v>
      </c>
      <c r="P84" s="116">
        <f t="shared" si="73"/>
        <v>5.3084891705568453E-4</v>
      </c>
      <c r="Q84" s="116">
        <f t="shared" si="73"/>
        <v>5.4387643748469267E-4</v>
      </c>
      <c r="R84" s="116">
        <f t="shared" si="73"/>
        <v>5.5690395791370081E-4</v>
      </c>
      <c r="S84" s="116">
        <f t="shared" si="73"/>
        <v>5.6993147834270895E-4</v>
      </c>
      <c r="T84" s="116">
        <f t="shared" si="73"/>
        <v>5.8295899877171709E-4</v>
      </c>
      <c r="U84" s="116">
        <f t="shared" si="73"/>
        <v>5.9598651920072523E-4</v>
      </c>
      <c r="V84" s="116">
        <f t="shared" si="73"/>
        <v>6.0901403962973337E-4</v>
      </c>
      <c r="W84" s="116">
        <f t="shared" si="73"/>
        <v>6.2204156005874151E-4</v>
      </c>
      <c r="X84" s="178">
        <f t="shared" si="73"/>
        <v>6.3506908048774997E-4</v>
      </c>
      <c r="Y84" s="173">
        <f t="shared" si="73"/>
        <v>6.3470928291007645E-4</v>
      </c>
      <c r="Z84" s="173">
        <f t="shared" si="73"/>
        <v>6.3434948533240304E-4</v>
      </c>
      <c r="AA84" s="173">
        <f t="shared" si="73"/>
        <v>6.3398968775472942E-4</v>
      </c>
      <c r="AB84" s="173">
        <f t="shared" si="73"/>
        <v>6.336298901770559E-4</v>
      </c>
      <c r="AC84" s="173">
        <f t="shared" si="73"/>
        <v>6.3327009259938228E-4</v>
      </c>
      <c r="AD84" s="173">
        <f t="shared" si="73"/>
        <v>6.3291029502170887E-4</v>
      </c>
      <c r="AE84" s="173">
        <f t="shared" si="73"/>
        <v>6.3255049744403535E-4</v>
      </c>
      <c r="AF84" s="173">
        <f t="shared" si="73"/>
        <v>6.3219069986636183E-4</v>
      </c>
      <c r="AG84" s="173">
        <f t="shared" si="73"/>
        <v>6.3183090228868832E-4</v>
      </c>
      <c r="AH84" s="178">
        <f t="shared" si="73"/>
        <v>6.3147110471101534E-4</v>
      </c>
      <c r="AI84" s="127"/>
    </row>
    <row r="85" spans="1:35">
      <c r="A85" s="9" t="s">
        <v>59</v>
      </c>
      <c r="B85" s="37"/>
      <c r="C85" s="336">
        <f t="shared" ref="C85:AH85" si="74">C32/C$49</f>
        <v>0</v>
      </c>
      <c r="D85" s="336">
        <f t="shared" si="74"/>
        <v>0</v>
      </c>
      <c r="E85" s="336">
        <f t="shared" si="74"/>
        <v>0</v>
      </c>
      <c r="F85" s="336">
        <f t="shared" si="74"/>
        <v>0</v>
      </c>
      <c r="G85" s="336">
        <f t="shared" si="74"/>
        <v>0</v>
      </c>
      <c r="H85" s="396">
        <f t="shared" si="74"/>
        <v>0</v>
      </c>
      <c r="I85" s="116">
        <f t="shared" si="74"/>
        <v>0</v>
      </c>
      <c r="J85" s="116">
        <f t="shared" si="74"/>
        <v>0</v>
      </c>
      <c r="K85" s="116">
        <f t="shared" si="74"/>
        <v>0</v>
      </c>
      <c r="L85" s="116">
        <f t="shared" si="74"/>
        <v>0</v>
      </c>
      <c r="M85" s="116">
        <f t="shared" si="74"/>
        <v>0</v>
      </c>
      <c r="N85" s="178">
        <f t="shared" si="74"/>
        <v>0</v>
      </c>
      <c r="O85" s="116">
        <f t="shared" si="74"/>
        <v>0</v>
      </c>
      <c r="P85" s="116">
        <f t="shared" si="74"/>
        <v>0</v>
      </c>
      <c r="Q85" s="116">
        <f t="shared" si="74"/>
        <v>0</v>
      </c>
      <c r="R85" s="116">
        <f t="shared" si="74"/>
        <v>0</v>
      </c>
      <c r="S85" s="116">
        <f t="shared" si="74"/>
        <v>0</v>
      </c>
      <c r="T85" s="116">
        <f t="shared" si="74"/>
        <v>0</v>
      </c>
      <c r="U85" s="116">
        <f t="shared" si="74"/>
        <v>0</v>
      </c>
      <c r="V85" s="116">
        <f t="shared" si="74"/>
        <v>0</v>
      </c>
      <c r="W85" s="116">
        <f t="shared" si="74"/>
        <v>0</v>
      </c>
      <c r="X85" s="178">
        <f t="shared" si="74"/>
        <v>0</v>
      </c>
      <c r="Y85" s="173">
        <f t="shared" si="74"/>
        <v>0</v>
      </c>
      <c r="Z85" s="173">
        <f t="shared" si="74"/>
        <v>0</v>
      </c>
      <c r="AA85" s="173">
        <f t="shared" si="74"/>
        <v>0</v>
      </c>
      <c r="AB85" s="173">
        <f t="shared" si="74"/>
        <v>0</v>
      </c>
      <c r="AC85" s="173">
        <f t="shared" si="74"/>
        <v>0</v>
      </c>
      <c r="AD85" s="173">
        <f t="shared" si="74"/>
        <v>0</v>
      </c>
      <c r="AE85" s="173">
        <f t="shared" si="74"/>
        <v>0</v>
      </c>
      <c r="AF85" s="173">
        <f t="shared" si="74"/>
        <v>0</v>
      </c>
      <c r="AG85" s="173">
        <f t="shared" si="74"/>
        <v>0</v>
      </c>
      <c r="AH85" s="178">
        <f t="shared" si="74"/>
        <v>0</v>
      </c>
      <c r="AI85" s="127"/>
    </row>
    <row r="86" spans="1:35" s="252" customFormat="1">
      <c r="A86" s="10" t="s">
        <v>121</v>
      </c>
      <c r="B86" s="37"/>
      <c r="C86" s="410">
        <f t="shared" ref="C86:AH86" si="75">C34/C$49</f>
        <v>0</v>
      </c>
      <c r="D86" s="336">
        <f t="shared" si="75"/>
        <v>0</v>
      </c>
      <c r="E86" s="336">
        <f t="shared" si="75"/>
        <v>6.1114519577827717E-4</v>
      </c>
      <c r="F86" s="336">
        <f t="shared" si="75"/>
        <v>6.2998761100823428E-4</v>
      </c>
      <c r="G86" s="336">
        <f t="shared" si="75"/>
        <v>5.3730552756698431E-4</v>
      </c>
      <c r="H86" s="409">
        <f t="shared" si="75"/>
        <v>5.3550434298603759E-4</v>
      </c>
      <c r="I86" s="396">
        <f t="shared" si="75"/>
        <v>7.0007805151905207E-4</v>
      </c>
      <c r="J86" s="396">
        <f t="shared" si="75"/>
        <v>9.1522932472555367E-4</v>
      </c>
      <c r="K86" s="396">
        <f t="shared" si="75"/>
        <v>1.196501897209953E-3</v>
      </c>
      <c r="L86" s="396">
        <f t="shared" si="75"/>
        <v>1.5642164770630687E-3</v>
      </c>
      <c r="M86" s="396">
        <f t="shared" si="75"/>
        <v>2.0449388277787718E-3</v>
      </c>
      <c r="N86" s="397">
        <f>N34/N$49</f>
        <v>2.6733990279969476E-3</v>
      </c>
      <c r="O86" s="396">
        <f t="shared" si="75"/>
        <v>2.7070704117055028E-3</v>
      </c>
      <c r="P86" s="396">
        <f t="shared" si="75"/>
        <v>2.7411658855214368E-3</v>
      </c>
      <c r="Q86" s="396">
        <f t="shared" si="75"/>
        <v>2.7756907908474291E-3</v>
      </c>
      <c r="R86" s="396">
        <f t="shared" si="75"/>
        <v>2.8106505363609726E-3</v>
      </c>
      <c r="S86" s="396">
        <f t="shared" si="75"/>
        <v>2.8460505988616969E-3</v>
      </c>
      <c r="T86" s="396">
        <f t="shared" si="75"/>
        <v>2.8818965241293655E-3</v>
      </c>
      <c r="U86" s="396">
        <f t="shared" si="75"/>
        <v>2.9181939277926777E-3</v>
      </c>
      <c r="V86" s="396">
        <f t="shared" si="75"/>
        <v>2.9549484962090146E-3</v>
      </c>
      <c r="W86" s="396">
        <f t="shared" si="75"/>
        <v>2.9921659873552663E-3</v>
      </c>
      <c r="X86" s="397">
        <f t="shared" si="75"/>
        <v>3.029852231729874E-3</v>
      </c>
      <c r="Y86" s="396">
        <f>Y34/Y$49</f>
        <v>3.029852231729874E-3</v>
      </c>
      <c r="Z86" s="396">
        <f t="shared" si="75"/>
        <v>3.0298522317298744E-3</v>
      </c>
      <c r="AA86" s="396">
        <f t="shared" si="75"/>
        <v>3.029852231729874E-3</v>
      </c>
      <c r="AB86" s="396">
        <f t="shared" si="75"/>
        <v>3.029852231729874E-3</v>
      </c>
      <c r="AC86" s="396">
        <f t="shared" si="75"/>
        <v>3.029852231729874E-3</v>
      </c>
      <c r="AD86" s="396">
        <f t="shared" si="75"/>
        <v>3.029852231729874E-3</v>
      </c>
      <c r="AE86" s="396">
        <f t="shared" si="75"/>
        <v>3.029852231729874E-3</v>
      </c>
      <c r="AF86" s="396">
        <f t="shared" si="75"/>
        <v>3.029852231729874E-3</v>
      </c>
      <c r="AG86" s="396">
        <f t="shared" si="75"/>
        <v>3.029852231729874E-3</v>
      </c>
      <c r="AH86" s="397">
        <f t="shared" si="75"/>
        <v>3.029852231729874E-3</v>
      </c>
      <c r="AI86" s="292"/>
    </row>
    <row r="87" spans="1:35">
      <c r="A87" s="9" t="s">
        <v>50</v>
      </c>
      <c r="B87" s="37"/>
      <c r="C87" s="410">
        <f t="shared" ref="C87:AH87" si="76">C35/C$49</f>
        <v>0</v>
      </c>
      <c r="D87" s="336">
        <f t="shared" si="76"/>
        <v>0</v>
      </c>
      <c r="E87" s="336">
        <f t="shared" si="76"/>
        <v>1.2465627127618248E-11</v>
      </c>
      <c r="F87" s="336">
        <f t="shared" si="76"/>
        <v>1.2680233663225178E-11</v>
      </c>
      <c r="G87" s="336">
        <f t="shared" si="76"/>
        <v>1.3016904299652312E-11</v>
      </c>
      <c r="H87" s="409">
        <f t="shared" si="76"/>
        <v>1.2530913852737747E-11</v>
      </c>
      <c r="I87" s="116">
        <f t="shared" si="76"/>
        <v>1.5320196524252585E-11</v>
      </c>
      <c r="J87" s="116">
        <f>J35/J$49</f>
        <v>1.8730351537006379E-11</v>
      </c>
      <c r="K87" s="116">
        <f t="shared" si="76"/>
        <v>2.2899580181263551E-11</v>
      </c>
      <c r="L87" s="116">
        <f t="shared" si="76"/>
        <v>2.7996846265381427E-11</v>
      </c>
      <c r="M87" s="116">
        <f t="shared" si="76"/>
        <v>3.4228723609908222E-11</v>
      </c>
      <c r="N87" s="178">
        <f t="shared" si="76"/>
        <v>4.1847767739904262E-11</v>
      </c>
      <c r="O87" s="116">
        <f t="shared" si="76"/>
        <v>4.2374839168509001E-11</v>
      </c>
      <c r="P87" s="116">
        <f t="shared" si="76"/>
        <v>4.2908549046566462E-11</v>
      </c>
      <c r="Q87" s="116">
        <f t="shared" si="76"/>
        <v>4.3448980985156201E-11</v>
      </c>
      <c r="R87" s="116">
        <f t="shared" si="76"/>
        <v>4.3996219648436884E-11</v>
      </c>
      <c r="S87" s="116">
        <f t="shared" si="76"/>
        <v>4.4550350766909822E-11</v>
      </c>
      <c r="T87" s="116">
        <f t="shared" si="76"/>
        <v>4.5111461150849513E-11</v>
      </c>
      <c r="U87" s="116">
        <f t="shared" si="76"/>
        <v>4.5679638703903355E-11</v>
      </c>
      <c r="V87" s="116">
        <f t="shared" si="76"/>
        <v>4.6254972436862687E-11</v>
      </c>
      <c r="W87" s="116">
        <f t="shared" si="76"/>
        <v>4.683755248160715E-11</v>
      </c>
      <c r="X87" s="178">
        <f t="shared" si="76"/>
        <v>4.7427470105224817E-11</v>
      </c>
      <c r="Y87" s="173">
        <f t="shared" si="76"/>
        <v>4.7427470105224817E-11</v>
      </c>
      <c r="Z87" s="173">
        <f t="shared" si="76"/>
        <v>4.7427470105224823E-11</v>
      </c>
      <c r="AA87" s="173">
        <f t="shared" si="76"/>
        <v>4.7427470105224817E-11</v>
      </c>
      <c r="AB87" s="173">
        <f t="shared" si="76"/>
        <v>4.7427470105224817E-11</v>
      </c>
      <c r="AC87" s="173">
        <f t="shared" si="76"/>
        <v>4.7427470105224817E-11</v>
      </c>
      <c r="AD87" s="173">
        <f t="shared" si="76"/>
        <v>4.7427470105224817E-11</v>
      </c>
      <c r="AE87" s="173">
        <f t="shared" si="76"/>
        <v>4.7427470105224817E-11</v>
      </c>
      <c r="AF87" s="173">
        <f t="shared" si="76"/>
        <v>4.7427470105224817E-11</v>
      </c>
      <c r="AG87" s="173">
        <f t="shared" si="76"/>
        <v>4.7427470105224817E-11</v>
      </c>
      <c r="AH87" s="178">
        <f t="shared" si="76"/>
        <v>4.7427470105224823E-11</v>
      </c>
      <c r="AI87" s="127"/>
    </row>
    <row r="88" spans="1:35">
      <c r="A88" s="9" t="s">
        <v>119</v>
      </c>
      <c r="B88" s="37"/>
      <c r="C88" s="410">
        <f t="shared" ref="C88:AH88" si="77">C36/C$49</f>
        <v>0</v>
      </c>
      <c r="D88" s="336">
        <f t="shared" si="77"/>
        <v>0</v>
      </c>
      <c r="E88" s="336">
        <f t="shared" si="77"/>
        <v>0</v>
      </c>
      <c r="F88" s="336">
        <f t="shared" si="77"/>
        <v>0</v>
      </c>
      <c r="G88" s="336">
        <f t="shared" si="77"/>
        <v>0</v>
      </c>
      <c r="H88" s="409">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10">
        <f t="shared" ref="C89:AH89" si="78">C37/C$49</f>
        <v>1.8840956340956342E-2</v>
      </c>
      <c r="D89" s="336">
        <f t="shared" si="78"/>
        <v>2.3034532391028893E-2</v>
      </c>
      <c r="E89" s="336">
        <f t="shared" si="78"/>
        <v>2.8161504802172225E-2</v>
      </c>
      <c r="F89" s="336">
        <f t="shared" si="78"/>
        <v>3.4429626756028314E-2</v>
      </c>
      <c r="G89" s="336">
        <f t="shared" si="78"/>
        <v>4.2092892652099534E-2</v>
      </c>
      <c r="H89" s="409">
        <f t="shared" si="78"/>
        <v>2.1909874602265636E-2</v>
      </c>
      <c r="I89" s="116">
        <f t="shared" si="78"/>
        <v>2.67865233099761E-2</v>
      </c>
      <c r="J89" s="116">
        <f t="shared" si="78"/>
        <v>3.2748605095243064E-2</v>
      </c>
      <c r="K89" s="116">
        <f t="shared" si="78"/>
        <v>4.0037713116907549E-2</v>
      </c>
      <c r="L89" s="116">
        <f t="shared" si="78"/>
        <v>4.8949213774746064E-2</v>
      </c>
      <c r="M89" s="116">
        <f t="shared" si="78"/>
        <v>5.9844215431824214E-2</v>
      </c>
      <c r="N89" s="178">
        <f t="shared" si="78"/>
        <v>7.3164201107113067E-2</v>
      </c>
      <c r="O89" s="116">
        <f t="shared" si="78"/>
        <v>7.4085702111418142E-2</v>
      </c>
      <c r="P89" s="116">
        <f t="shared" si="78"/>
        <v>7.501880939431424E-2</v>
      </c>
      <c r="Q89" s="116">
        <f t="shared" si="78"/>
        <v>7.5963669136545661E-2</v>
      </c>
      <c r="R89" s="116">
        <f t="shared" si="78"/>
        <v>7.6920429359999029E-2</v>
      </c>
      <c r="S89" s="116">
        <f t="shared" si="78"/>
        <v>7.788923995089235E-2</v>
      </c>
      <c r="T89" s="116">
        <f t="shared" si="78"/>
        <v>7.8870252683256231E-2</v>
      </c>
      <c r="U89" s="116">
        <f t="shared" si="78"/>
        <v>7.9863621242710833E-2</v>
      </c>
      <c r="V89" s="116">
        <f t="shared" si="78"/>
        <v>8.086950125054225E-2</v>
      </c>
      <c r="W89" s="116">
        <f t="shared" si="78"/>
        <v>8.1888050288082187E-2</v>
      </c>
      <c r="X89" s="178">
        <f t="shared" si="78"/>
        <v>8.291942792139477E-2</v>
      </c>
      <c r="Y89" s="173">
        <f t="shared" si="78"/>
        <v>8.291942792139477E-2</v>
      </c>
      <c r="Z89" s="173">
        <f t="shared" si="78"/>
        <v>8.2919427921394784E-2</v>
      </c>
      <c r="AA89" s="173">
        <f t="shared" si="78"/>
        <v>8.291942792139477E-2</v>
      </c>
      <c r="AB89" s="173">
        <f t="shared" si="78"/>
        <v>8.291942792139477E-2</v>
      </c>
      <c r="AC89" s="173">
        <f t="shared" si="78"/>
        <v>8.2919427921394756E-2</v>
      </c>
      <c r="AD89" s="173">
        <f t="shared" si="78"/>
        <v>8.291942792139477E-2</v>
      </c>
      <c r="AE89" s="173">
        <f t="shared" si="78"/>
        <v>8.291942792139477E-2</v>
      </c>
      <c r="AF89" s="173">
        <f t="shared" si="78"/>
        <v>8.291942792139477E-2</v>
      </c>
      <c r="AG89" s="173">
        <f t="shared" si="78"/>
        <v>8.291942792139477E-2</v>
      </c>
      <c r="AH89" s="178">
        <f t="shared" si="78"/>
        <v>8.2919427921394784E-2</v>
      </c>
      <c r="AI89" s="127"/>
    </row>
    <row r="90" spans="1:35" s="252" customFormat="1">
      <c r="A90" s="10" t="s">
        <v>347</v>
      </c>
      <c r="B90" s="37"/>
      <c r="C90" s="410">
        <f t="shared" ref="C90:AH90" si="79">C38/C$49</f>
        <v>0</v>
      </c>
      <c r="D90" s="336">
        <f t="shared" si="79"/>
        <v>0.02</v>
      </c>
      <c r="E90" s="336">
        <f t="shared" si="79"/>
        <v>2.0012465627127617E-2</v>
      </c>
      <c r="F90" s="336">
        <f t="shared" si="79"/>
        <v>2.0012680233663226E-2</v>
      </c>
      <c r="G90" s="336">
        <f t="shared" si="79"/>
        <v>2.0013016904299651E-2</v>
      </c>
      <c r="H90" s="409">
        <f t="shared" si="79"/>
        <v>2.0012530913852734E-2</v>
      </c>
      <c r="I90" s="396">
        <f t="shared" si="79"/>
        <v>2.4715660273368273E-2</v>
      </c>
      <c r="J90" s="396">
        <f t="shared" si="79"/>
        <v>3.0524068413841296E-2</v>
      </c>
      <c r="K90" s="396">
        <f t="shared" si="79"/>
        <v>3.769750604384272E-2</v>
      </c>
      <c r="L90" s="396">
        <f t="shared" si="79"/>
        <v>4.6556767684387455E-2</v>
      </c>
      <c r="M90" s="396">
        <f t="shared" si="79"/>
        <v>5.7498037527924359E-2</v>
      </c>
      <c r="N90" s="397">
        <f t="shared" si="79"/>
        <v>7.1010606706514406E-2</v>
      </c>
      <c r="O90" s="396">
        <f t="shared" si="79"/>
        <v>7.190498325141198E-2</v>
      </c>
      <c r="P90" s="396">
        <f t="shared" si="79"/>
        <v>7.2810624443116007E-2</v>
      </c>
      <c r="Q90" s="396">
        <f t="shared" si="79"/>
        <v>7.3727672159528385E-2</v>
      </c>
      <c r="R90" s="396">
        <f t="shared" si="79"/>
        <v>7.4656270065499075E-2</v>
      </c>
      <c r="S90" s="396">
        <f t="shared" si="79"/>
        <v>7.5596563635332695E-2</v>
      </c>
      <c r="T90" s="396">
        <f t="shared" si="79"/>
        <v>7.6548700175578507E-2</v>
      </c>
      <c r="U90" s="396">
        <f t="shared" si="79"/>
        <v>7.7512828848107507E-2</v>
      </c>
      <c r="V90" s="396">
        <f t="shared" si="79"/>
        <v>7.8489100693480238E-2</v>
      </c>
      <c r="W90" s="396">
        <f t="shared" si="79"/>
        <v>7.9477668654608646E-2</v>
      </c>
      <c r="X90" s="397">
        <f t="shared" si="79"/>
        <v>8.0478687600716317E-2</v>
      </c>
      <c r="Y90" s="396">
        <f t="shared" si="79"/>
        <v>8.0478687600716317E-2</v>
      </c>
      <c r="Z90" s="396">
        <f t="shared" si="79"/>
        <v>8.0478687600716331E-2</v>
      </c>
      <c r="AA90" s="396">
        <f t="shared" si="79"/>
        <v>8.0478687600716317E-2</v>
      </c>
      <c r="AB90" s="396">
        <f t="shared" si="79"/>
        <v>8.0478687600716317E-2</v>
      </c>
      <c r="AC90" s="396">
        <f t="shared" si="79"/>
        <v>8.0478687600716303E-2</v>
      </c>
      <c r="AD90" s="396">
        <f t="shared" si="79"/>
        <v>8.0478687600716317E-2</v>
      </c>
      <c r="AE90" s="396">
        <f t="shared" si="79"/>
        <v>8.0478687600716317E-2</v>
      </c>
      <c r="AF90" s="396">
        <f t="shared" si="79"/>
        <v>8.0478687600716317E-2</v>
      </c>
      <c r="AG90" s="396">
        <f t="shared" si="79"/>
        <v>8.0478687600716317E-2</v>
      </c>
      <c r="AH90" s="397">
        <f t="shared" si="79"/>
        <v>8.0478687600716317E-2</v>
      </c>
      <c r="AI90" s="292"/>
    </row>
    <row r="91" spans="1:35" s="252" customFormat="1">
      <c r="A91" s="10" t="s">
        <v>348</v>
      </c>
      <c r="B91" s="37"/>
      <c r="C91" s="410">
        <f t="shared" ref="C91:AH91" si="80">C39/C$49</f>
        <v>0</v>
      </c>
      <c r="D91" s="336">
        <f t="shared" si="80"/>
        <v>0</v>
      </c>
      <c r="E91" s="336">
        <f t="shared" si="80"/>
        <v>1.2465627127618248E-5</v>
      </c>
      <c r="F91" s="336">
        <f t="shared" si="80"/>
        <v>1.2680233663225178E-5</v>
      </c>
      <c r="G91" s="336">
        <f t="shared" si="80"/>
        <v>1.3016904299652311E-5</v>
      </c>
      <c r="H91" s="409">
        <f t="shared" si="80"/>
        <v>1.2530913852737746E-5</v>
      </c>
      <c r="I91" s="396">
        <f t="shared" si="80"/>
        <v>1.5320196524252583E-5</v>
      </c>
      <c r="J91" s="396">
        <f t="shared" si="80"/>
        <v>1.8730351537006375E-5</v>
      </c>
      <c r="K91" s="396">
        <f t="shared" si="80"/>
        <v>2.2899580181263545E-5</v>
      </c>
      <c r="L91" s="396">
        <f t="shared" si="80"/>
        <v>2.7996846265381425E-5</v>
      </c>
      <c r="M91" s="396">
        <f t="shared" si="80"/>
        <v>3.4228723609908218E-5</v>
      </c>
      <c r="N91" s="397">
        <f t="shared" si="80"/>
        <v>4.1847767739904258E-5</v>
      </c>
      <c r="O91" s="396">
        <f t="shared" si="80"/>
        <v>4.2374839168508992E-5</v>
      </c>
      <c r="P91" s="396">
        <f t="shared" si="80"/>
        <v>4.2908549046566454E-5</v>
      </c>
      <c r="Q91" s="396">
        <f t="shared" si="80"/>
        <v>4.3448980985156193E-5</v>
      </c>
      <c r="R91" s="396">
        <f t="shared" si="80"/>
        <v>4.3996219648436873E-5</v>
      </c>
      <c r="S91" s="396">
        <f t="shared" si="80"/>
        <v>4.4550350766909806E-5</v>
      </c>
      <c r="T91" s="396">
        <f t="shared" si="80"/>
        <v>4.5111461150849497E-5</v>
      </c>
      <c r="U91" s="396">
        <f t="shared" si="80"/>
        <v>4.5679638703903345E-5</v>
      </c>
      <c r="V91" s="396">
        <f t="shared" si="80"/>
        <v>4.6254972436862671E-5</v>
      </c>
      <c r="W91" s="396">
        <f t="shared" si="80"/>
        <v>4.6837552481607134E-5</v>
      </c>
      <c r="X91" s="397">
        <f t="shared" si="80"/>
        <v>4.7427470105224827E-5</v>
      </c>
      <c r="Y91" s="396">
        <f t="shared" si="80"/>
        <v>4.7427470105224827E-5</v>
      </c>
      <c r="Z91" s="396">
        <f t="shared" si="80"/>
        <v>4.7427470105224834E-5</v>
      </c>
      <c r="AA91" s="396">
        <f t="shared" si="80"/>
        <v>4.7427470105224827E-5</v>
      </c>
      <c r="AB91" s="396">
        <f t="shared" si="80"/>
        <v>4.7427470105224827E-5</v>
      </c>
      <c r="AC91" s="396">
        <f t="shared" si="80"/>
        <v>4.7427470105224827E-5</v>
      </c>
      <c r="AD91" s="396">
        <f t="shared" si="80"/>
        <v>4.7427470105224827E-5</v>
      </c>
      <c r="AE91" s="396">
        <f t="shared" si="80"/>
        <v>4.7427470105224827E-5</v>
      </c>
      <c r="AF91" s="396">
        <f t="shared" si="80"/>
        <v>4.7427470105224827E-5</v>
      </c>
      <c r="AG91" s="396">
        <f t="shared" si="80"/>
        <v>4.742747010522482E-5</v>
      </c>
      <c r="AH91" s="397">
        <f t="shared" si="80"/>
        <v>4.7427470105224827E-5</v>
      </c>
      <c r="AI91" s="292"/>
    </row>
    <row r="92" spans="1:35">
      <c r="A92" s="9" t="s">
        <v>344</v>
      </c>
      <c r="B92" s="37"/>
      <c r="C92" s="410">
        <f t="shared" ref="C92:AH92" si="81">C40/C$49</f>
        <v>1.2993762993762994E-6</v>
      </c>
      <c r="D92" s="336">
        <f t="shared" si="81"/>
        <v>1.5886072236504732E-6</v>
      </c>
      <c r="E92" s="336">
        <f t="shared" si="81"/>
        <v>1.9422186723321239E-6</v>
      </c>
      <c r="F92" s="336">
        <f t="shared" si="81"/>
        <v>2.3745412427921352E-6</v>
      </c>
      <c r="G92" s="336">
        <f t="shared" si="81"/>
        <v>2.9030954104413176E-6</v>
      </c>
      <c r="H92" s="409">
        <f t="shared" si="81"/>
        <v>1.2530913852737745E-6</v>
      </c>
      <c r="I92" s="116">
        <f t="shared" si="81"/>
        <v>1.5320196524252582E-6</v>
      </c>
      <c r="J92" s="116">
        <f t="shared" si="81"/>
        <v>1.8730351537006375E-6</v>
      </c>
      <c r="K92" s="116">
        <f t="shared" si="81"/>
        <v>2.2899580181263545E-6</v>
      </c>
      <c r="L92" s="116">
        <f t="shared" si="81"/>
        <v>2.7996846265381425E-6</v>
      </c>
      <c r="M92" s="116">
        <f t="shared" si="81"/>
        <v>3.4228723609908219E-6</v>
      </c>
      <c r="N92" s="178">
        <f t="shared" si="81"/>
        <v>4.184776773990426E-6</v>
      </c>
      <c r="O92" s="116">
        <f t="shared" si="81"/>
        <v>4.2374839168508998E-6</v>
      </c>
      <c r="P92" s="116">
        <f t="shared" si="81"/>
        <v>4.290854904656646E-6</v>
      </c>
      <c r="Q92" s="116">
        <f t="shared" si="81"/>
        <v>4.3448980985156196E-6</v>
      </c>
      <c r="R92" s="116">
        <f t="shared" si="81"/>
        <v>4.3996219648436878E-6</v>
      </c>
      <c r="S92" s="116">
        <f t="shared" si="81"/>
        <v>4.455035076690981E-6</v>
      </c>
      <c r="T92" s="116">
        <f t="shared" si="81"/>
        <v>4.5111461150849502E-6</v>
      </c>
      <c r="U92" s="116">
        <f t="shared" si="81"/>
        <v>4.5679638703903354E-6</v>
      </c>
      <c r="V92" s="116">
        <f t="shared" si="81"/>
        <v>4.6254972436862681E-6</v>
      </c>
      <c r="W92" s="116">
        <f t="shared" si="81"/>
        <v>4.6837552481607137E-6</v>
      </c>
      <c r="X92" s="178">
        <f t="shared" si="81"/>
        <v>4.7427470105224817E-6</v>
      </c>
      <c r="Y92" s="173">
        <f t="shared" si="81"/>
        <v>4.7427470105224817E-6</v>
      </c>
      <c r="Z92" s="173">
        <f t="shared" si="81"/>
        <v>4.7427470105224825E-6</v>
      </c>
      <c r="AA92" s="173">
        <f t="shared" si="81"/>
        <v>4.7427470105224817E-6</v>
      </c>
      <c r="AB92" s="173">
        <f t="shared" si="81"/>
        <v>4.7427470105224817E-6</v>
      </c>
      <c r="AC92" s="173">
        <f t="shared" si="81"/>
        <v>4.7427470105224808E-6</v>
      </c>
      <c r="AD92" s="173">
        <f t="shared" si="81"/>
        <v>4.7427470105224817E-6</v>
      </c>
      <c r="AE92" s="173">
        <f t="shared" si="81"/>
        <v>4.7427470105224817E-6</v>
      </c>
      <c r="AF92" s="173">
        <f t="shared" si="81"/>
        <v>4.7427470105224817E-6</v>
      </c>
      <c r="AG92" s="173">
        <f t="shared" si="81"/>
        <v>4.7427470105224817E-6</v>
      </c>
      <c r="AH92" s="178">
        <f t="shared" si="81"/>
        <v>4.7427470105224817E-6</v>
      </c>
      <c r="AI92" s="127"/>
    </row>
    <row r="93" spans="1:35">
      <c r="A93" s="9" t="s">
        <v>120</v>
      </c>
      <c r="B93" s="37"/>
      <c r="C93" s="410">
        <f t="shared" ref="C93:AH93" si="82">C41/C$49</f>
        <v>0</v>
      </c>
      <c r="D93" s="336">
        <f t="shared" si="82"/>
        <v>0</v>
      </c>
      <c r="E93" s="336">
        <f t="shared" si="82"/>
        <v>0</v>
      </c>
      <c r="F93" s="336">
        <f t="shared" si="82"/>
        <v>0</v>
      </c>
      <c r="G93" s="336">
        <f t="shared" si="82"/>
        <v>0</v>
      </c>
      <c r="H93" s="409">
        <f t="shared" si="82"/>
        <v>1.2530913852737746E-4</v>
      </c>
      <c r="I93" s="116">
        <f t="shared" si="82"/>
        <v>2.441792160864111E-4</v>
      </c>
      <c r="J93" s="116">
        <f t="shared" si="82"/>
        <v>3.5567114681945818E-4</v>
      </c>
      <c r="K93" s="116">
        <f t="shared" si="82"/>
        <v>4.6209824336259882E-4</v>
      </c>
      <c r="L93" s="116">
        <f t="shared" si="82"/>
        <v>5.7505193097364933E-4</v>
      </c>
      <c r="M93" s="116">
        <f t="shared" si="82"/>
        <v>6.9324617092898961E-4</v>
      </c>
      <c r="N93" s="178">
        <f t="shared" si="82"/>
        <v>8.2553049696711578E-4</v>
      </c>
      <c r="O93" s="116">
        <f t="shared" si="82"/>
        <v>9.5500592800141983E-4</v>
      </c>
      <c r="P93" s="116">
        <f t="shared" si="82"/>
        <v>1.1052728822069291E-3</v>
      </c>
      <c r="Q93" s="116">
        <f t="shared" si="82"/>
        <v>1.2544664829004344E-3</v>
      </c>
      <c r="R93" s="116">
        <f t="shared" si="82"/>
        <v>1.3917431210006702E-3</v>
      </c>
      <c r="S93" s="116">
        <f t="shared" si="82"/>
        <v>1.5236030858347624E-3</v>
      </c>
      <c r="T93" s="116">
        <f t="shared" si="82"/>
        <v>1.7007085443918181E-3</v>
      </c>
      <c r="U93" s="116">
        <f t="shared" si="82"/>
        <v>1.9168394486313209E-3</v>
      </c>
      <c r="V93" s="116">
        <f t="shared" si="82"/>
        <v>2.0514610921880476E-3</v>
      </c>
      <c r="W93" s="116">
        <f t="shared" si="82"/>
        <v>2.2663032569357044E-3</v>
      </c>
      <c r="X93" s="178">
        <f t="shared" si="82"/>
        <v>2.369870493093648E-3</v>
      </c>
      <c r="Y93" s="173">
        <f t="shared" si="82"/>
        <v>2.4736363950403103E-3</v>
      </c>
      <c r="Z93" s="173">
        <f t="shared" si="82"/>
        <v>2.5335578124268429E-3</v>
      </c>
      <c r="AA93" s="173">
        <f t="shared" si="82"/>
        <v>2.5931600480983037E-3</v>
      </c>
      <c r="AB93" s="173">
        <f t="shared" si="82"/>
        <v>2.6774744823881919E-3</v>
      </c>
      <c r="AC93" s="173">
        <f t="shared" si="82"/>
        <v>2.8344747259677083E-3</v>
      </c>
      <c r="AD93" s="173">
        <f t="shared" si="82"/>
        <v>2.9889744845383497E-3</v>
      </c>
      <c r="AE93" s="173">
        <f t="shared" si="82"/>
        <v>3.1375397058241486E-3</v>
      </c>
      <c r="AF93" s="173">
        <f t="shared" si="82"/>
        <v>3.2972906338553138E-3</v>
      </c>
      <c r="AG93" s="173">
        <f t="shared" si="82"/>
        <v>3.4725106969306619E-3</v>
      </c>
      <c r="AH93" s="178">
        <f t="shared" si="82"/>
        <v>3.7239896057616718E-3</v>
      </c>
      <c r="AI93" s="127"/>
    </row>
    <row r="94" spans="1:35">
      <c r="A94" s="9" t="s">
        <v>53</v>
      </c>
      <c r="B94" s="37"/>
      <c r="C94" s="410">
        <f t="shared" ref="C94:AH94" si="83">C42/C$49</f>
        <v>0</v>
      </c>
      <c r="D94" s="336">
        <f t="shared" si="83"/>
        <v>3.8764698281431708E-4</v>
      </c>
      <c r="E94" s="336">
        <f t="shared" si="83"/>
        <v>1.0623272405594066E-4</v>
      </c>
      <c r="F94" s="336">
        <f t="shared" si="83"/>
        <v>1.6110583820146384E-4</v>
      </c>
      <c r="G94" s="336">
        <f t="shared" si="83"/>
        <v>2.7467686328437916E-4</v>
      </c>
      <c r="H94" s="409">
        <f t="shared" si="83"/>
        <v>2.6834115260804058E-4</v>
      </c>
      <c r="I94" s="116">
        <f t="shared" si="83"/>
        <v>6.4629052672376323E-4</v>
      </c>
      <c r="J94" s="116">
        <f t="shared" si="83"/>
        <v>8.7994443554038351E-4</v>
      </c>
      <c r="K94" s="116">
        <f t="shared" si="83"/>
        <v>9.129092899181297E-4</v>
      </c>
      <c r="L94" s="116">
        <f t="shared" si="83"/>
        <v>1.3730122386921076E-3</v>
      </c>
      <c r="M94" s="116">
        <f t="shared" si="83"/>
        <v>2.0650053936545829E-3</v>
      </c>
      <c r="N94" s="178">
        <f t="shared" si="83"/>
        <v>3.1057605720139249E-3</v>
      </c>
      <c r="O94" s="116">
        <f t="shared" si="83"/>
        <v>3.1448775369084378E-3</v>
      </c>
      <c r="P94" s="116">
        <f t="shared" si="83"/>
        <v>3.1844871788484219E-3</v>
      </c>
      <c r="Q94" s="116">
        <f t="shared" si="83"/>
        <v>3.2245957030870649E-3</v>
      </c>
      <c r="R94" s="116">
        <f t="shared" si="83"/>
        <v>3.2652093930325399E-3</v>
      </c>
      <c r="S94" s="116">
        <f t="shared" si="83"/>
        <v>3.3063346112323666E-3</v>
      </c>
      <c r="T94" s="116">
        <f t="shared" si="83"/>
        <v>3.3479778003701645E-3</v>
      </c>
      <c r="U94" s="116">
        <f t="shared" si="83"/>
        <v>3.3901454842749697E-3</v>
      </c>
      <c r="V94" s="116">
        <f t="shared" si="83"/>
        <v>3.4328442689432566E-3</v>
      </c>
      <c r="W94" s="116">
        <f t="shared" si="83"/>
        <v>3.4760808435738344E-3</v>
      </c>
      <c r="X94" s="178">
        <f t="shared" si="83"/>
        <v>3.5198619816157817E-3</v>
      </c>
      <c r="Y94" s="173">
        <f t="shared" si="83"/>
        <v>3.5198619816157817E-3</v>
      </c>
      <c r="Z94" s="173">
        <f t="shared" si="83"/>
        <v>3.5198619816157817E-3</v>
      </c>
      <c r="AA94" s="173">
        <f t="shared" si="83"/>
        <v>3.5198619816157817E-3</v>
      </c>
      <c r="AB94" s="173">
        <f t="shared" si="83"/>
        <v>3.5198619816157817E-3</v>
      </c>
      <c r="AC94" s="173">
        <f t="shared" si="83"/>
        <v>3.5198619816157813E-3</v>
      </c>
      <c r="AD94" s="173">
        <f t="shared" si="83"/>
        <v>3.5198619816157817E-3</v>
      </c>
      <c r="AE94" s="173">
        <f t="shared" si="83"/>
        <v>3.5198619816157817E-3</v>
      </c>
      <c r="AF94" s="173">
        <f t="shared" si="83"/>
        <v>3.5198619816157817E-3</v>
      </c>
      <c r="AG94" s="173">
        <f t="shared" si="83"/>
        <v>3.5198619816157817E-3</v>
      </c>
      <c r="AH94" s="178">
        <f t="shared" si="83"/>
        <v>3.5198619816157817E-3</v>
      </c>
      <c r="AI94" s="127"/>
    </row>
    <row r="95" spans="1:35" s="378" customFormat="1">
      <c r="A95" s="373" t="s">
        <v>540</v>
      </c>
      <c r="B95" s="374"/>
      <c r="C95" s="375">
        <f>SUM(C86:C94)</f>
        <v>1.8842255717255719E-2</v>
      </c>
      <c r="D95" s="375">
        <f>SUM(D86:D94)</f>
        <v>4.3423767981066855E-2</v>
      </c>
      <c r="E95" s="375">
        <f>SUM(E86:E94)</f>
        <v>4.8905756207399634E-2</v>
      </c>
      <c r="F95" s="375">
        <f>SUM(F86:F94)</f>
        <v>5.5248455226487483E-2</v>
      </c>
      <c r="G95" s="375">
        <f t="shared" ref="G95:AH95" si="84">SUM(G86:G94)</f>
        <v>6.2933811959977548E-2</v>
      </c>
      <c r="H95" s="375">
        <f t="shared" si="84"/>
        <v>4.2865344168008752E-2</v>
      </c>
      <c r="I95" s="375">
        <f t="shared" si="84"/>
        <v>5.3109583609170473E-2</v>
      </c>
      <c r="J95" s="375">
        <f t="shared" si="84"/>
        <v>6.5444121821590817E-2</v>
      </c>
      <c r="K95" s="375">
        <f t="shared" si="84"/>
        <v>8.0331918152339921E-2</v>
      </c>
      <c r="L95" s="375">
        <f t="shared" si="84"/>
        <v>9.9049058664751111E-2</v>
      </c>
      <c r="M95" s="375">
        <f t="shared" si="84"/>
        <v>0.12218309498231053</v>
      </c>
      <c r="N95" s="376">
        <f t="shared" si="84"/>
        <v>0.15082553049696715</v>
      </c>
      <c r="O95" s="375">
        <f t="shared" si="84"/>
        <v>0.15284425160490564</v>
      </c>
      <c r="P95" s="375">
        <f t="shared" si="84"/>
        <v>0.15490755923086683</v>
      </c>
      <c r="Q95" s="375">
        <f t="shared" si="84"/>
        <v>0.15699388819544161</v>
      </c>
      <c r="R95" s="375">
        <f t="shared" si="84"/>
        <v>0.15909269836150181</v>
      </c>
      <c r="S95" s="375">
        <f t="shared" si="84"/>
        <v>0.16121079731254781</v>
      </c>
      <c r="T95" s="375">
        <f t="shared" si="84"/>
        <v>0.16339915838010347</v>
      </c>
      <c r="U95" s="375">
        <f t="shared" si="84"/>
        <v>0.16565187659977126</v>
      </c>
      <c r="V95" s="375">
        <f t="shared" si="84"/>
        <v>0.16784873631729832</v>
      </c>
      <c r="W95" s="375">
        <f t="shared" si="84"/>
        <v>0.17015179038512293</v>
      </c>
      <c r="X95" s="376">
        <f t="shared" si="84"/>
        <v>0.1723698704930936</v>
      </c>
      <c r="Y95" s="375">
        <f t="shared" si="84"/>
        <v>0.17247363639504026</v>
      </c>
      <c r="Z95" s="375">
        <f t="shared" si="84"/>
        <v>0.1725335578124268</v>
      </c>
      <c r="AA95" s="375">
        <f t="shared" si="84"/>
        <v>0.17259316004809827</v>
      </c>
      <c r="AB95" s="375">
        <f t="shared" si="84"/>
        <v>0.17267747448238815</v>
      </c>
      <c r="AC95" s="375">
        <f t="shared" si="84"/>
        <v>0.17283447472596761</v>
      </c>
      <c r="AD95" s="375">
        <f t="shared" si="84"/>
        <v>0.17298897448453832</v>
      </c>
      <c r="AE95" s="375">
        <f t="shared" si="84"/>
        <v>0.1731375397058241</v>
      </c>
      <c r="AF95" s="375">
        <f t="shared" si="84"/>
        <v>0.17329729063385527</v>
      </c>
      <c r="AG95" s="375">
        <f t="shared" si="84"/>
        <v>0.17347251069693062</v>
      </c>
      <c r="AH95" s="376">
        <f t="shared" si="84"/>
        <v>0.17372398960576163</v>
      </c>
      <c r="AI95" s="377"/>
    </row>
    <row r="96" spans="1:35">
      <c r="A96" s="10" t="s">
        <v>543</v>
      </c>
      <c r="B96" s="37"/>
      <c r="C96" s="332"/>
      <c r="D96" s="332">
        <f>D95/C95-1</f>
        <v>1.3045949822928797</v>
      </c>
      <c r="E96" s="332">
        <f t="shared" ref="E96:O96" si="85">E95/D95-1</f>
        <v>0.12624395535465682</v>
      </c>
      <c r="F96" s="332">
        <f t="shared" si="85"/>
        <v>0.12969227982468401</v>
      </c>
      <c r="G96" s="332">
        <f t="shared" si="85"/>
        <v>0.13910536868378376</v>
      </c>
      <c r="H96" s="284"/>
      <c r="I96" s="164">
        <f t="shared" si="85"/>
        <v>0.23898652022971967</v>
      </c>
      <c r="J96" s="164">
        <f t="shared" si="85"/>
        <v>0.23224693876700875</v>
      </c>
      <c r="K96" s="164">
        <f t="shared" si="85"/>
        <v>0.22748867150108865</v>
      </c>
      <c r="L96" s="164">
        <f t="shared" si="85"/>
        <v>0.23299755493098484</v>
      </c>
      <c r="M96" s="164">
        <f t="shared" si="85"/>
        <v>0.23356139502406204</v>
      </c>
      <c r="N96" s="164">
        <f t="shared" si="85"/>
        <v>0.23442224571904502</v>
      </c>
      <c r="O96" s="172">
        <f t="shared" si="85"/>
        <v>1.3384478750294138E-2</v>
      </c>
      <c r="P96" s="172">
        <f t="shared" ref="P96:AH96" si="86">P95/O95-1</f>
        <v>1.3499412665480826E-2</v>
      </c>
      <c r="Q96" s="172">
        <f t="shared" si="86"/>
        <v>1.346821920720731E-2</v>
      </c>
      <c r="R96" s="172">
        <f t="shared" si="86"/>
        <v>1.3368738045696382E-2</v>
      </c>
      <c r="S96" s="172">
        <f t="shared" si="86"/>
        <v>1.3313615098997866E-2</v>
      </c>
      <c r="T96" s="172">
        <f t="shared" si="86"/>
        <v>1.3574531632102538E-2</v>
      </c>
      <c r="U96" s="172">
        <f t="shared" si="86"/>
        <v>1.3786596222408187E-2</v>
      </c>
      <c r="V96" s="172">
        <f t="shared" si="86"/>
        <v>1.3261906611748531E-2</v>
      </c>
      <c r="W96" s="172">
        <f t="shared" si="86"/>
        <v>1.3721009275106777E-2</v>
      </c>
      <c r="X96" s="185">
        <f t="shared" si="86"/>
        <v>1.3035890500771474E-2</v>
      </c>
      <c r="Y96" s="172">
        <f t="shared" si="86"/>
        <v>6.0199559035356565E-4</v>
      </c>
      <c r="Z96" s="172">
        <f t="shared" si="86"/>
        <v>3.4742363319395508E-4</v>
      </c>
      <c r="AA96" s="172">
        <f t="shared" si="86"/>
        <v>3.4545300304000826E-4</v>
      </c>
      <c r="AB96" s="172">
        <f t="shared" si="86"/>
        <v>4.8851550238948604E-4</v>
      </c>
      <c r="AC96" s="172">
        <f t="shared" si="86"/>
        <v>9.0921090924034331E-4</v>
      </c>
      <c r="AD96" s="172">
        <f t="shared" si="86"/>
        <v>8.939174826994023E-4</v>
      </c>
      <c r="AE96" s="172">
        <f t="shared" si="86"/>
        <v>8.5881323782910357E-4</v>
      </c>
      <c r="AF96" s="172">
        <f t="shared" si="86"/>
        <v>9.2268221151003971E-4</v>
      </c>
      <c r="AG96" s="172">
        <f t="shared" si="86"/>
        <v>1.0110952250579341E-3</v>
      </c>
      <c r="AH96" s="185">
        <f t="shared" si="86"/>
        <v>1.4496758467419379E-3</v>
      </c>
      <c r="AI96" s="127"/>
    </row>
    <row r="97" spans="1:36">
      <c r="A97" s="10"/>
      <c r="B97" s="37"/>
      <c r="C97" s="332"/>
      <c r="D97" s="332"/>
      <c r="E97" s="332"/>
      <c r="F97" s="332"/>
      <c r="G97" s="332"/>
      <c r="H97" s="284"/>
      <c r="I97" s="164"/>
      <c r="J97" s="164"/>
      <c r="K97" s="164"/>
      <c r="L97" s="164"/>
      <c r="M97" s="164"/>
      <c r="N97" s="180"/>
      <c r="O97" s="164"/>
      <c r="P97" s="164"/>
      <c r="Q97" s="164"/>
      <c r="R97" s="164"/>
      <c r="S97" s="164"/>
      <c r="T97" s="164"/>
      <c r="U97" s="164"/>
      <c r="V97" s="164"/>
      <c r="W97" s="164"/>
      <c r="X97" s="185"/>
      <c r="AI97" s="127"/>
    </row>
    <row r="98" spans="1:36">
      <c r="A98" s="10"/>
      <c r="B98" s="37"/>
      <c r="C98" s="332"/>
      <c r="D98" s="332"/>
      <c r="E98" s="332"/>
      <c r="F98" s="332"/>
      <c r="G98" s="332"/>
      <c r="H98" s="284"/>
      <c r="I98" s="172"/>
      <c r="J98" s="172"/>
      <c r="K98" s="172"/>
      <c r="L98" s="172"/>
      <c r="M98" s="172"/>
      <c r="N98" s="185"/>
      <c r="O98" s="172"/>
      <c r="P98" s="172"/>
      <c r="Q98" s="172"/>
      <c r="R98" s="172"/>
      <c r="S98" s="172"/>
      <c r="T98" s="172"/>
      <c r="U98" s="172"/>
      <c r="V98" s="172"/>
      <c r="W98" s="172"/>
      <c r="X98" s="185"/>
      <c r="AI98" s="127"/>
    </row>
    <row r="99" spans="1:36">
      <c r="A99" s="1" t="s">
        <v>139</v>
      </c>
      <c r="C99" s="328">
        <v>2009</v>
      </c>
      <c r="D99" s="328">
        <v>2010</v>
      </c>
      <c r="E99" s="328">
        <v>2011</v>
      </c>
      <c r="F99" s="328">
        <v>2012</v>
      </c>
      <c r="G99" s="328">
        <v>2013</v>
      </c>
      <c r="H99" s="400">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1">
        <v>0</v>
      </c>
      <c r="D100" s="331">
        <f xml:space="preserve"> IF(D29*Inputs!$C44 &gt; 0, D29*Inputs!$C44, 0)</f>
        <v>0</v>
      </c>
      <c r="E100" s="331">
        <f xml:space="preserve"> IF(E29*Inputs!$C44 &gt; 0, E29*Inputs!$C44, 0)</f>
        <v>0</v>
      </c>
      <c r="F100" s="331">
        <f xml:space="preserve"> IF(F29*Inputs!$C44 &gt; 0, F29*Inputs!$C44, 0)</f>
        <v>0</v>
      </c>
      <c r="G100" s="331">
        <f xml:space="preserve"> IF(G29*Inputs!$C44 &gt; 0, G29*Inputs!$C44, 0)</f>
        <v>0</v>
      </c>
      <c r="H100" s="402">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1">
        <v>0</v>
      </c>
      <c r="D101" s="331">
        <f>D30*Inputs!$C47</f>
        <v>0</v>
      </c>
      <c r="E101" s="331">
        <f>E30*Inputs!$C47</f>
        <v>0</v>
      </c>
      <c r="F101" s="331">
        <f>F30*Inputs!$C47</f>
        <v>0</v>
      </c>
      <c r="G101" s="331">
        <f>G30*Inputs!$C47</f>
        <v>0</v>
      </c>
      <c r="H101" s="402">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1">
        <f>C31*Inputs!$C$48</f>
        <v>0.74850000000000005</v>
      </c>
      <c r="D102" s="331">
        <f>D31*Inputs!$C$48</f>
        <v>0.73752827700614887</v>
      </c>
      <c r="E102" s="331">
        <f>E31*Inputs!$C$48</f>
        <v>0.74879579329517565</v>
      </c>
      <c r="F102" s="331">
        <f>F31*Inputs!$C$48</f>
        <v>0.7206805626151237</v>
      </c>
      <c r="G102" s="331">
        <f>G31*Inputs!$C$48</f>
        <v>0.68699796059042983</v>
      </c>
      <c r="H102" s="402">
        <f>H31*Inputs!$C$48</f>
        <v>0.6112505507710444</v>
      </c>
      <c r="I102" s="14">
        <f>I31*Inputs!$C$48</f>
        <v>0.62617325160992698</v>
      </c>
      <c r="J102" s="14">
        <f>J31*Inputs!$C$48</f>
        <v>0.64359913183752282</v>
      </c>
      <c r="K102" s="14">
        <f>K31*Inputs!$C$48</f>
        <v>0.659229345962421</v>
      </c>
      <c r="L102" s="14">
        <f>L31*Inputs!$C$48</f>
        <v>0.66090681124720407</v>
      </c>
      <c r="M102" s="14">
        <f>M31*Inputs!$C$48</f>
        <v>0.6566075748817688</v>
      </c>
      <c r="N102" s="182">
        <f>N31*Inputs!$C$48</f>
        <v>0.64205207676133258</v>
      </c>
      <c r="O102" s="14">
        <f>O31*Inputs!$C$48</f>
        <v>0.65066159039704707</v>
      </c>
      <c r="P102" s="14">
        <f>P31*Inputs!$C$48</f>
        <v>0.64838832976181149</v>
      </c>
      <c r="Q102" s="14">
        <f>Q31*Inputs!$C$48</f>
        <v>0.65032798193284946</v>
      </c>
      <c r="R102" s="14">
        <f>R31*Inputs!$C$48</f>
        <v>0.66024506727715593</v>
      </c>
      <c r="S102" s="14">
        <f>S31*Inputs!$C$48</f>
        <v>0.67332277714232347</v>
      </c>
      <c r="T102" s="14">
        <f>T31*Inputs!$C$48</f>
        <v>0.66840967628075454</v>
      </c>
      <c r="U102" s="14">
        <f>U31*Inputs!$C$48</f>
        <v>0.65293506517469757</v>
      </c>
      <c r="V102" s="14">
        <f>V31*Inputs!$C$48</f>
        <v>0.66795397406508195</v>
      </c>
      <c r="W102" s="14">
        <f>W31*Inputs!$C$48</f>
        <v>0.65873785406792695</v>
      </c>
      <c r="X102" s="187">
        <f>X31*Inputs!$C$48</f>
        <v>0.68333951579343499</v>
      </c>
      <c r="Y102" s="158">
        <f>Y31*Inputs!$C$48</f>
        <v>0.69279182150345098</v>
      </c>
      <c r="Z102" s="158">
        <f>Z31*Inputs!$C$48</f>
        <v>0.71357994056018881</v>
      </c>
      <c r="AA102" s="158">
        <f>AA31*Inputs!$C$48</f>
        <v>0.73345610297328112</v>
      </c>
      <c r="AB102" s="158">
        <f>AB31*Inputs!$C$48</f>
        <v>0.74545403408567268</v>
      </c>
      <c r="AC102" s="158">
        <f>AC31*Inputs!$C$48</f>
        <v>0.73727639425837288</v>
      </c>
      <c r="AD102" s="158">
        <f>AD31*Inputs!$C$48</f>
        <v>0.73053166867770891</v>
      </c>
      <c r="AE102" s="158">
        <f>AE31*Inputs!$C$48</f>
        <v>0.7257858080876054</v>
      </c>
      <c r="AF102" s="158">
        <f>AF31*Inputs!$C$48</f>
        <v>0.71898882681352505</v>
      </c>
      <c r="AG102" s="158">
        <f>AG31*Inputs!$C$48</f>
        <v>0.70961351425178565</v>
      </c>
      <c r="AH102" s="187">
        <f>AH31*Inputs!$C$48</f>
        <v>0.68675217839565705</v>
      </c>
    </row>
    <row r="103" spans="1:36">
      <c r="A103" s="10" t="s">
        <v>59</v>
      </c>
      <c r="B103" s="35">
        <v>0</v>
      </c>
      <c r="C103" s="331">
        <f>C32*Inputs!$C$53</f>
        <v>0</v>
      </c>
      <c r="D103" s="331">
        <f>D32*Inputs!$C$53</f>
        <v>0</v>
      </c>
      <c r="E103" s="331">
        <f>E32*Inputs!$C$53</f>
        <v>0</v>
      </c>
      <c r="F103" s="331">
        <f>F32*Inputs!$C$53</f>
        <v>0</v>
      </c>
      <c r="G103" s="331">
        <f>G32*Inputs!$C$53</f>
        <v>0</v>
      </c>
      <c r="H103" s="402">
        <f>H32*Inputs!$C$53</f>
        <v>0</v>
      </c>
      <c r="I103" s="14">
        <f>I32*Inputs!$C$53</f>
        <v>0</v>
      </c>
      <c r="J103" s="14">
        <f>J32*Inputs!$C$53</f>
        <v>0</v>
      </c>
      <c r="K103" s="14">
        <f>K32*Inputs!$C$53</f>
        <v>0</v>
      </c>
      <c r="L103" s="14">
        <f>L32*Inputs!$C$53</f>
        <v>0</v>
      </c>
      <c r="M103" s="14">
        <f>M32*Inputs!$C$53</f>
        <v>0</v>
      </c>
      <c r="N103" s="182">
        <f>N32*Inputs!$C$53</f>
        <v>0</v>
      </c>
      <c r="O103" s="14">
        <f>O32*Inputs!$C$53</f>
        <v>0</v>
      </c>
      <c r="P103" s="14">
        <f>P32*Inputs!$C$53</f>
        <v>0</v>
      </c>
      <c r="Q103" s="14">
        <f>Q32*Inputs!$C$53</f>
        <v>0</v>
      </c>
      <c r="R103" s="14">
        <f>R32*Inputs!$C$53</f>
        <v>0</v>
      </c>
      <c r="S103" s="14">
        <f>S32*Inputs!$C$53</f>
        <v>0</v>
      </c>
      <c r="T103" s="14">
        <f>T32*Inputs!$C$53</f>
        <v>0</v>
      </c>
      <c r="U103" s="14">
        <f>U32*Inputs!$C$53</f>
        <v>0</v>
      </c>
      <c r="V103" s="14">
        <f>V32*Inputs!$C$53</f>
        <v>0</v>
      </c>
      <c r="W103" s="14">
        <f>W32*Inputs!$C$53</f>
        <v>0</v>
      </c>
      <c r="X103" s="187">
        <f>X32*Inputs!$C$53</f>
        <v>0</v>
      </c>
      <c r="Y103" s="158">
        <f>Y32*Inputs!$C$53</f>
        <v>0</v>
      </c>
      <c r="Z103" s="158">
        <f>Z32*Inputs!$C$53</f>
        <v>0</v>
      </c>
      <c r="AA103" s="158">
        <f>AA32*Inputs!$C$53</f>
        <v>0</v>
      </c>
      <c r="AB103" s="158">
        <f>AB32*Inputs!$C$53</f>
        <v>0</v>
      </c>
      <c r="AC103" s="158">
        <f>AC32*Inputs!$C$53</f>
        <v>0</v>
      </c>
      <c r="AD103" s="158">
        <f>AD32*Inputs!$C$53</f>
        <v>0</v>
      </c>
      <c r="AE103" s="158">
        <f>AE32*Inputs!$C$53</f>
        <v>0</v>
      </c>
      <c r="AF103" s="158">
        <f>AF32*Inputs!$C$53</f>
        <v>0</v>
      </c>
      <c r="AG103" s="158">
        <f>AG32*Inputs!$C$53</f>
        <v>0</v>
      </c>
      <c r="AH103" s="187">
        <f>AH32*Inputs!$C$53</f>
        <v>0</v>
      </c>
    </row>
    <row r="104" spans="1:36">
      <c r="A104" s="10" t="s">
        <v>121</v>
      </c>
      <c r="B104" s="35">
        <v>1</v>
      </c>
      <c r="C104" s="331">
        <f>C34*Inputs!$C$46</f>
        <v>0</v>
      </c>
      <c r="D104" s="331">
        <f>D34*Inputs!$C$46</f>
        <v>0</v>
      </c>
      <c r="E104" s="331">
        <f>E34*Inputs!$C$46</f>
        <v>1.0295550300000003</v>
      </c>
      <c r="F104" s="331">
        <f>F34*Inputs!$C$46</f>
        <v>1.0433356499999999</v>
      </c>
      <c r="G104" s="331">
        <f>G34*Inputs!$C$46</f>
        <v>0.86682791999999997</v>
      </c>
      <c r="H104" s="402">
        <f>H34*Inputs!$C$46</f>
        <v>0.89742785999999997</v>
      </c>
      <c r="I104" s="14">
        <f>I34*Inputs!$C$46</f>
        <v>1.2041679318601317</v>
      </c>
      <c r="J104" s="14">
        <f>J34*Inputs!$C$46</f>
        <v>1.6211449248363778</v>
      </c>
      <c r="K104" s="14">
        <f>K34*Inputs!$C$46</f>
        <v>2.1749954865500531</v>
      </c>
      <c r="L104" s="14">
        <f>L34*Inputs!$C$46</f>
        <v>2.856137354647859</v>
      </c>
      <c r="M104" s="14">
        <f>M34*Inputs!$C$46</f>
        <v>3.7167503133099604</v>
      </c>
      <c r="N104" s="182">
        <f>N34*Inputs!$C$46</f>
        <v>4.7604498992991857</v>
      </c>
      <c r="O104" s="14">
        <f>O34*Inputs!$C$46</f>
        <v>4.762146661416832</v>
      </c>
      <c r="P104" s="14">
        <f>P34*Inputs!$C$46</f>
        <v>4.6873524240374573</v>
      </c>
      <c r="Q104" s="14">
        <f>Q34*Inputs!$C$46</f>
        <v>4.6465575128819427</v>
      </c>
      <c r="R104" s="14">
        <f>R34*Inputs!$C$46</f>
        <v>4.6650869984725576</v>
      </c>
      <c r="S104" s="14">
        <f>S34*Inputs!$C$46</f>
        <v>4.7072938981362098</v>
      </c>
      <c r="T104" s="14">
        <f>T34*Inputs!$C$46</f>
        <v>4.6260586723203962</v>
      </c>
      <c r="U104" s="14">
        <f>U34*Inputs!$C$46</f>
        <v>4.4758522440867319</v>
      </c>
      <c r="V104" s="14">
        <f>V34*Inputs!$C$46</f>
        <v>4.5372967581513208</v>
      </c>
      <c r="W104" s="14">
        <f>W34*Inputs!$C$46</f>
        <v>4.4361572912829814</v>
      </c>
      <c r="X104" s="187">
        <f>X34*Inputs!$C$46</f>
        <v>4.564204035114007</v>
      </c>
      <c r="Y104" s="158">
        <f>Y34*Inputs!$C$46</f>
        <v>4.6299615654516151</v>
      </c>
      <c r="Z104" s="158">
        <f>Z34*Inputs!$C$46</f>
        <v>4.7715944531860854</v>
      </c>
      <c r="AA104" s="158">
        <f>AA34*Inputs!$C$46</f>
        <v>4.9072865296523593</v>
      </c>
      <c r="AB104" s="158">
        <f>AB34*Inputs!$C$46</f>
        <v>4.9903924126330903</v>
      </c>
      <c r="AC104" s="158">
        <f>AC34*Inputs!$C$46</f>
        <v>4.9384519757229572</v>
      </c>
      <c r="AD104" s="158">
        <f>AD34*Inputs!$C$46</f>
        <v>4.8960559399072805</v>
      </c>
      <c r="AE104" s="158">
        <f>AE34*Inputs!$C$46</f>
        <v>4.8670157765883699</v>
      </c>
      <c r="AF104" s="158">
        <f>AF34*Inputs!$C$46</f>
        <v>4.8241802082163163</v>
      </c>
      <c r="AG104" s="158">
        <f>AG34*Inputs!$C$46</f>
        <v>4.7639862419624501</v>
      </c>
      <c r="AH104" s="187">
        <f>AH34*Inputs!$C$46</f>
        <v>4.6131337550805789</v>
      </c>
    </row>
    <row r="105" spans="1:36">
      <c r="A105" s="10" t="s">
        <v>50</v>
      </c>
      <c r="B105" s="35">
        <v>1</v>
      </c>
      <c r="C105" s="331">
        <f>C35*Inputs!$C$49</f>
        <v>0</v>
      </c>
      <c r="D105" s="331">
        <f>D35*Inputs!$C$49</f>
        <v>0</v>
      </c>
      <c r="E105" s="331">
        <f>E35*Inputs!$C$49</f>
        <v>2.5000000000000002E-8</v>
      </c>
      <c r="F105" s="331">
        <f>F35*Inputs!$C$49</f>
        <v>2.5000000000000002E-8</v>
      </c>
      <c r="G105" s="331">
        <f>G35*Inputs!$C$49</f>
        <v>2.5000000000000002E-8</v>
      </c>
      <c r="H105" s="402">
        <f>H35*Inputs!$C$49</f>
        <v>2.5000000000000002E-8</v>
      </c>
      <c r="I105" s="14">
        <f>I35*Inputs!$C$49</f>
        <v>3.1370803727273444E-8</v>
      </c>
      <c r="J105" s="14">
        <f>J35*Inputs!$C$49</f>
        <v>3.9496494945893243E-8</v>
      </c>
      <c r="K105" s="14">
        <f>K35*Inputs!$C$49</f>
        <v>4.955565295948275E-8</v>
      </c>
      <c r="L105" s="14">
        <f>L35*Inputs!$C$49</f>
        <v>6.0857212969397737E-8</v>
      </c>
      <c r="M105" s="14">
        <f>M35*Inputs!$C$49</f>
        <v>7.4061837725060424E-8</v>
      </c>
      <c r="N105" s="182">
        <f>N35*Inputs!$C$49</f>
        <v>8.8710948673468143E-8</v>
      </c>
      <c r="O105" s="14">
        <f>O35*Inputs!$C$49</f>
        <v>8.8742567822984233E-8</v>
      </c>
      <c r="P105" s="14">
        <f>P35*Inputs!$C$49</f>
        <v>8.7348777762467119E-8</v>
      </c>
      <c r="Q105" s="14">
        <f>Q35*Inputs!$C$49</f>
        <v>8.6588564894732021E-8</v>
      </c>
      <c r="R105" s="14">
        <f>R35*Inputs!$C$49</f>
        <v>8.6933861721701428E-8</v>
      </c>
      <c r="S105" s="14">
        <f>S35*Inputs!$C$49</f>
        <v>8.7720386984845067E-8</v>
      </c>
      <c r="T105" s="14">
        <f>T35*Inputs!$C$49</f>
        <v>8.6206569152441231E-8</v>
      </c>
      <c r="U105" s="14">
        <f>U35*Inputs!$C$49</f>
        <v>8.3407473472971255E-8</v>
      </c>
      <c r="V105" s="14">
        <f>V35*Inputs!$C$49</f>
        <v>8.455249153822858E-8</v>
      </c>
      <c r="W105" s="14">
        <f>W35*Inputs!$C$49</f>
        <v>8.2667758320987918E-8</v>
      </c>
      <c r="X105" s="187">
        <f>X35*Inputs!$C$49</f>
        <v>8.5053908445468946E-8</v>
      </c>
      <c r="Y105" s="158">
        <f>Y35*Inputs!$C$49</f>
        <v>8.627929953708243E-8</v>
      </c>
      <c r="Z105" s="158">
        <f>Z35*Inputs!$C$49</f>
        <v>8.891862735274486E-8</v>
      </c>
      <c r="AA105" s="158">
        <f>AA35*Inputs!$C$49</f>
        <v>9.144724819435229E-8</v>
      </c>
      <c r="AB105" s="158">
        <f>AB35*Inputs!$C$49</f>
        <v>9.2995925709192258E-8</v>
      </c>
      <c r="AC105" s="158">
        <f>AC35*Inputs!$C$49</f>
        <v>9.2028016051432675E-8</v>
      </c>
      <c r="AD105" s="158">
        <f>AD35*Inputs!$C$49</f>
        <v>9.1237966237494574E-8</v>
      </c>
      <c r="AE105" s="158">
        <f>AE35*Inputs!$C$49</f>
        <v>9.069680300877699E-8</v>
      </c>
      <c r="AF105" s="158">
        <f>AF35*Inputs!$C$49</f>
        <v>8.9898562508900812E-8</v>
      </c>
      <c r="AG105" s="158">
        <f>AG35*Inputs!$C$49</f>
        <v>8.877684839284944E-8</v>
      </c>
      <c r="AH105" s="187">
        <f>AH35*Inputs!$C$49</f>
        <v>8.596571341524727E-8</v>
      </c>
    </row>
    <row r="106" spans="1:36">
      <c r="A106" s="10" t="s">
        <v>119</v>
      </c>
      <c r="B106" s="35">
        <v>1</v>
      </c>
      <c r="C106" s="331"/>
      <c r="D106" s="331"/>
      <c r="E106" s="331"/>
      <c r="F106" s="331"/>
      <c r="G106" s="331"/>
      <c r="H106" s="402"/>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1">
        <f>C37*Inputs!$C$52</f>
        <v>21.75</v>
      </c>
      <c r="D107" s="331">
        <f>D37*Inputs!$C$52</f>
        <v>26.73963692612589</v>
      </c>
      <c r="E107" s="331">
        <f>E37*Inputs!$C$52</f>
        <v>33.886989215061959</v>
      </c>
      <c r="F107" s="331">
        <f>F37*Inputs!$C$52</f>
        <v>40.728303204553789</v>
      </c>
      <c r="G107" s="331">
        <f>G37*Inputs!$C$52</f>
        <v>48.505648904429435</v>
      </c>
      <c r="H107" s="402">
        <f>H37*Inputs!$C$52</f>
        <v>26.226987344756324</v>
      </c>
      <c r="I107" s="14">
        <f>I37*Inputs!$C$52</f>
        <v>32.910077777254529</v>
      </c>
      <c r="J107" s="14">
        <f>J37*Inputs!$C$52</f>
        <v>41.433983117950092</v>
      </c>
      <c r="K107" s="14">
        <f>K37*Inputs!$C$52</f>
        <v>51.985975309788131</v>
      </c>
      <c r="L107" s="14">
        <f>L37*Inputs!$C$52</f>
        <v>63.841034789502864</v>
      </c>
      <c r="M107" s="14">
        <f>M37*Inputs!$C$52</f>
        <v>77.692162102340333</v>
      </c>
      <c r="N107" s="182">
        <f>N37*Inputs!$C$52</f>
        <v>93.058235213239939</v>
      </c>
      <c r="O107" s="14">
        <f>O37*Inputs!$C$52</f>
        <v>93.091403861494769</v>
      </c>
      <c r="P107" s="14">
        <f>P37*Inputs!$C$52</f>
        <v>91.629311016936228</v>
      </c>
      <c r="Q107" s="14">
        <f>Q37*Inputs!$C$52</f>
        <v>90.831843861915459</v>
      </c>
      <c r="R107" s="14">
        <f>R37*Inputs!$C$52</f>
        <v>91.19406198519107</v>
      </c>
      <c r="S107" s="14">
        <f>S37*Inputs!$C$52</f>
        <v>92.019130976485343</v>
      </c>
      <c r="T107" s="14">
        <f>T37*Inputs!$C$52</f>
        <v>90.431128390284087</v>
      </c>
      <c r="U107" s="14">
        <f>U37*Inputs!$C$52</f>
        <v>87.49486282194637</v>
      </c>
      <c r="V107" s="14">
        <f>V37*Inputs!$C$52</f>
        <v>88.69599258138939</v>
      </c>
      <c r="W107" s="14">
        <f>W37*Inputs!$C$52</f>
        <v>86.718897874739653</v>
      </c>
      <c r="X107" s="187">
        <f>X37*Inputs!$C$52</f>
        <v>89.221981460908978</v>
      </c>
      <c r="Y107" s="158">
        <f>Y37*Inputs!$C$52</f>
        <v>90.50742293275384</v>
      </c>
      <c r="Z107" s="158">
        <f>Z37*Inputs!$C$52</f>
        <v>93.276091201411631</v>
      </c>
      <c r="AA107" s="158">
        <f>AA37*Inputs!$C$52</f>
        <v>95.928627292639121</v>
      </c>
      <c r="AB107" s="158">
        <f>AB37*Inputs!$C$52</f>
        <v>97.553197862568524</v>
      </c>
      <c r="AC107" s="158">
        <f>AC37*Inputs!$C$52</f>
        <v>96.53785572110975</v>
      </c>
      <c r="AD107" s="158">
        <f>AD37*Inputs!$C$52</f>
        <v>95.70908945815107</v>
      </c>
      <c r="AE107" s="158">
        <f>AE37*Inputs!$C$52</f>
        <v>95.141406485758083</v>
      </c>
      <c r="AF107" s="158">
        <f>AF37*Inputs!$C$52</f>
        <v>94.30404815169679</v>
      </c>
      <c r="AG107" s="158">
        <f>AG37*Inputs!$C$52</f>
        <v>93.127364353198089</v>
      </c>
      <c r="AH107" s="187">
        <f>AH37*Inputs!$C$52</f>
        <v>90.178469500041061</v>
      </c>
    </row>
    <row r="108" spans="1:36">
      <c r="A108" s="9" t="s">
        <v>347</v>
      </c>
      <c r="B108" s="35">
        <v>1</v>
      </c>
      <c r="C108" s="331">
        <f>C38*Inputs!$C$54</f>
        <v>0</v>
      </c>
      <c r="D108" s="331">
        <f>D38*Inputs!$C$54</f>
        <v>122.2762</v>
      </c>
      <c r="E108" s="331">
        <f>E38*Inputs!$C$54</f>
        <v>126.82753690268238</v>
      </c>
      <c r="F108" s="331">
        <f>F38*Inputs!$C$54</f>
        <v>124.68238207980089</v>
      </c>
      <c r="G108" s="331">
        <f>G38*Inputs!$C$54</f>
        <v>121.45962657817978</v>
      </c>
      <c r="H108" s="402">
        <f>H38*Inputs!$C$54</f>
        <v>126.16717030968594</v>
      </c>
      <c r="I108" s="14">
        <f>I38*Inputs!$C$54</f>
        <v>159.92656483139189</v>
      </c>
      <c r="J108" s="14">
        <f>J38*Inputs!$C$54</f>
        <v>203.39586943645259</v>
      </c>
      <c r="K108" s="14">
        <f>K38*Inputs!$C$54</f>
        <v>257.78959519884779</v>
      </c>
      <c r="L108" s="14">
        <f>L38*Inputs!$C$54</f>
        <v>319.79586963904535</v>
      </c>
      <c r="M108" s="14">
        <f>M38*Inputs!$C$54</f>
        <v>393.1369682390619</v>
      </c>
      <c r="N108" s="182">
        <f>N38*Inputs!$C$54</f>
        <v>475.68037344435874</v>
      </c>
      <c r="O108" s="14">
        <f>O38*Inputs!$C$54</f>
        <v>475.84991969625565</v>
      </c>
      <c r="P108" s="14">
        <f>P38*Inputs!$C$54</f>
        <v>468.37622466307306</v>
      </c>
      <c r="Q108" s="14">
        <f>Q38*Inputs!$C$54</f>
        <v>464.29985814655089</v>
      </c>
      <c r="R108" s="14">
        <f>R38*Inputs!$C$54</f>
        <v>466.15138747926648</v>
      </c>
      <c r="S108" s="14">
        <f>S38*Inputs!$C$54</f>
        <v>470.36884469836042</v>
      </c>
      <c r="T108" s="14">
        <f>T38*Inputs!$C$54</f>
        <v>462.25154415527697</v>
      </c>
      <c r="U108" s="14">
        <f>U38*Inputs!$C$54</f>
        <v>447.2424060722459</v>
      </c>
      <c r="V108" s="14">
        <f>V38*Inputs!$C$54</f>
        <v>453.38215126747502</v>
      </c>
      <c r="W108" s="14">
        <f>W38*Inputs!$C$54</f>
        <v>443.27595114194111</v>
      </c>
      <c r="X108" s="187">
        <f>X38*Inputs!$C$54</f>
        <v>456.07081805837316</v>
      </c>
      <c r="Y108" s="158">
        <f>Y38*Inputs!$C$54</f>
        <v>462.64153453464081</v>
      </c>
      <c r="Z108" s="158">
        <f>Z38*Inputs!$C$54</f>
        <v>476.79397523976297</v>
      </c>
      <c r="AA108" s="158">
        <f>AA38*Inputs!$C$54</f>
        <v>490.35278984180707</v>
      </c>
      <c r="AB108" s="158">
        <f>AB38*Inputs!$C$54</f>
        <v>498.6570128223949</v>
      </c>
      <c r="AC108" s="158">
        <f>AC38*Inputs!$C$54</f>
        <v>493.46694739813472</v>
      </c>
      <c r="AD108" s="158">
        <f>AD38*Inputs!$C$54</f>
        <v>489.23059105031763</v>
      </c>
      <c r="AE108" s="158">
        <f>AE38*Inputs!$C$54</f>
        <v>486.32879898766868</v>
      </c>
      <c r="AF108" s="158">
        <f>AF38*Inputs!$C$54</f>
        <v>482.04852304927061</v>
      </c>
      <c r="AG108" s="158">
        <f>AG38*Inputs!$C$54</f>
        <v>476.03373685207697</v>
      </c>
      <c r="AH108" s="187">
        <f>AH38*Inputs!$C$54</f>
        <v>460.96004238770661</v>
      </c>
    </row>
    <row r="109" spans="1:36">
      <c r="A109" s="9" t="s">
        <v>348</v>
      </c>
      <c r="B109" s="35">
        <v>1</v>
      </c>
      <c r="C109" s="331">
        <f>C39*Inputs!$C$54</f>
        <v>0</v>
      </c>
      <c r="D109" s="331">
        <f>D39*Inputs!$C$55</f>
        <v>0</v>
      </c>
      <c r="E109" s="331">
        <f>E39*Inputs!$C$55</f>
        <v>2.3000000000000003E-2</v>
      </c>
      <c r="F109" s="331">
        <f>F39*Inputs!$C$55</f>
        <v>2.3000000000000003E-2</v>
      </c>
      <c r="G109" s="331">
        <f>G39*Inputs!$C$55</f>
        <v>2.3000000000000003E-2</v>
      </c>
      <c r="H109" s="402">
        <f>H39*Inputs!$C$55</f>
        <v>2.3000000000000003E-2</v>
      </c>
      <c r="I109" s="14">
        <f>I39*Inputs!$C$55</f>
        <v>2.8861139429091565E-2</v>
      </c>
      <c r="J109" s="14">
        <f>J39*Inputs!$C$55</f>
        <v>3.6336775350221784E-2</v>
      </c>
      <c r="K109" s="14">
        <f>K39*Inputs!$C$55</f>
        <v>4.5591200722724115E-2</v>
      </c>
      <c r="L109" s="14">
        <f>L39*Inputs!$C$55</f>
        <v>5.5988635931845915E-2</v>
      </c>
      <c r="M109" s="14">
        <f>M39*Inputs!$C$55</f>
        <v>6.8136890707055586E-2</v>
      </c>
      <c r="N109" s="182">
        <f>N39*Inputs!$C$55</f>
        <v>8.1614072779590693E-2</v>
      </c>
      <c r="O109" s="14">
        <f>O39*Inputs!$C$55</f>
        <v>8.1643162397145488E-2</v>
      </c>
      <c r="P109" s="14">
        <f>P39*Inputs!$C$55</f>
        <v>8.0360875541469742E-2</v>
      </c>
      <c r="Q109" s="14">
        <f>Q39*Inputs!$C$55</f>
        <v>7.9661479703153446E-2</v>
      </c>
      <c r="R109" s="14">
        <f>R39*Inputs!$C$55</f>
        <v>7.9979152783965279E-2</v>
      </c>
      <c r="S109" s="14">
        <f>S39*Inputs!$C$55</f>
        <v>8.0702756026057434E-2</v>
      </c>
      <c r="T109" s="14">
        <f>T39*Inputs!$C$55</f>
        <v>7.9310043620245907E-2</v>
      </c>
      <c r="U109" s="14">
        <f>U39*Inputs!$C$55</f>
        <v>7.6734875595133534E-2</v>
      </c>
      <c r="V109" s="14">
        <f>V39*Inputs!$C$55</f>
        <v>7.7788292215170265E-2</v>
      </c>
      <c r="W109" s="14">
        <f>W39*Inputs!$C$55</f>
        <v>7.6054337655308862E-2</v>
      </c>
      <c r="X109" s="187">
        <f>X39*Inputs!$C$55</f>
        <v>7.8249595769831454E-2</v>
      </c>
      <c r="Y109" s="158">
        <f>Y39*Inputs!$C$55</f>
        <v>7.9376955574115865E-2</v>
      </c>
      <c r="Z109" s="158">
        <f>Z39*Inputs!$C$55</f>
        <v>8.1805137164525282E-2</v>
      </c>
      <c r="AA109" s="158">
        <f>AA39*Inputs!$C$55</f>
        <v>8.4131468338804125E-2</v>
      </c>
      <c r="AB109" s="158">
        <f>AB39*Inputs!$C$55</f>
        <v>8.5556251652456908E-2</v>
      </c>
      <c r="AC109" s="158">
        <f>AC39*Inputs!$C$55</f>
        <v>8.4665774767318083E-2</v>
      </c>
      <c r="AD109" s="158">
        <f>AD39*Inputs!$C$55</f>
        <v>8.3938928938495014E-2</v>
      </c>
      <c r="AE109" s="158">
        <f>AE39*Inputs!$C$55</f>
        <v>8.3441058768074852E-2</v>
      </c>
      <c r="AF109" s="158">
        <f>AF39*Inputs!$C$55</f>
        <v>8.2706677508188761E-2</v>
      </c>
      <c r="AG109" s="158">
        <f>AG39*Inputs!$C$55</f>
        <v>8.1674700521421506E-2</v>
      </c>
      <c r="AH109" s="187">
        <f>AH39*Inputs!$C$55</f>
        <v>7.9088456342027505E-2</v>
      </c>
    </row>
    <row r="110" spans="1:36">
      <c r="A110" s="9" t="s">
        <v>344</v>
      </c>
      <c r="B110" s="35">
        <v>1</v>
      </c>
      <c r="C110" s="331">
        <f>C40*Inputs!$C$51</f>
        <v>2.7000000000000001E-3</v>
      </c>
      <c r="D110" s="331">
        <f>D40*Inputs!$C$51</f>
        <v>3.3194424520343732E-3</v>
      </c>
      <c r="E110" s="331">
        <f>E40*Inputs!$C$51</f>
        <v>4.2067602067756386E-3</v>
      </c>
      <c r="F110" s="331">
        <f>F40*Inputs!$C$51</f>
        <v>5.0561066347953104E-3</v>
      </c>
      <c r="G110" s="331">
        <f>G40*Inputs!$C$51</f>
        <v>6.021675682443885E-3</v>
      </c>
      <c r="H110" s="402">
        <f>H40*Inputs!$C$51</f>
        <v>2.7000000000000001E-3</v>
      </c>
      <c r="I110" s="14">
        <f>I40*Inputs!$C$51</f>
        <v>3.3880468025455314E-3</v>
      </c>
      <c r="J110" s="14">
        <f>J40*Inputs!$C$51</f>
        <v>4.2656214541564701E-3</v>
      </c>
      <c r="K110" s="14">
        <f>K40*Inputs!$C$51</f>
        <v>5.3520105196241362E-3</v>
      </c>
      <c r="L110" s="14">
        <f>L40*Inputs!$C$51</f>
        <v>6.5725790006949548E-3</v>
      </c>
      <c r="M110" s="14">
        <f>M40*Inputs!$C$51</f>
        <v>7.9986784743065267E-3</v>
      </c>
      <c r="N110" s="182">
        <f>N40*Inputs!$C$51</f>
        <v>9.5807824567345594E-3</v>
      </c>
      <c r="O110" s="14">
        <f>O40*Inputs!$C$51</f>
        <v>9.5841973248822973E-3</v>
      </c>
      <c r="P110" s="14">
        <f>P40*Inputs!$C$51</f>
        <v>9.4336679983464487E-3</v>
      </c>
      <c r="Q110" s="14">
        <f>Q40*Inputs!$C$51</f>
        <v>9.3515650086310586E-3</v>
      </c>
      <c r="R110" s="14">
        <f>R40*Inputs!$C$51</f>
        <v>9.3888570659437544E-3</v>
      </c>
      <c r="S110" s="14">
        <f>S40*Inputs!$C$51</f>
        <v>9.4738017943632648E-3</v>
      </c>
      <c r="T110" s="14">
        <f>T40*Inputs!$C$51</f>
        <v>9.3103094684636508E-3</v>
      </c>
      <c r="U110" s="14">
        <f>U40*Inputs!$C$51</f>
        <v>9.0080071350808946E-3</v>
      </c>
      <c r="V110" s="14">
        <f>V40*Inputs!$C$51</f>
        <v>9.131669086128686E-3</v>
      </c>
      <c r="W110" s="14">
        <f>W40*Inputs!$C$51</f>
        <v>8.9281178986666942E-3</v>
      </c>
      <c r="X110" s="187">
        <f>X40*Inputs!$C$51</f>
        <v>9.1858221121106469E-3</v>
      </c>
      <c r="Y110" s="158">
        <f>Y40*Inputs!$C$51</f>
        <v>9.3181643500049021E-3</v>
      </c>
      <c r="Z110" s="158">
        <f>Z40*Inputs!$C$51</f>
        <v>9.6032117540964454E-3</v>
      </c>
      <c r="AA110" s="158">
        <f>AA40*Inputs!$C$51</f>
        <v>9.8763028049900468E-3</v>
      </c>
      <c r="AB110" s="158">
        <f>AB40*Inputs!$C$51</f>
        <v>1.0043559976592764E-2</v>
      </c>
      <c r="AC110" s="158">
        <f>AC40*Inputs!$C$51</f>
        <v>9.9390257335547297E-3</v>
      </c>
      <c r="AD110" s="158">
        <f>AD40*Inputs!$C$51</f>
        <v>9.8537003536494135E-3</v>
      </c>
      <c r="AE110" s="158">
        <f>AE40*Inputs!$C$51</f>
        <v>9.7952547249479157E-3</v>
      </c>
      <c r="AF110" s="158">
        <f>AF40*Inputs!$C$51</f>
        <v>9.709044750961288E-3</v>
      </c>
      <c r="AG110" s="158">
        <f>AG40*Inputs!$C$51</f>
        <v>9.58789962642774E-3</v>
      </c>
      <c r="AH110" s="187">
        <f>AH40*Inputs!$C$51</f>
        <v>9.2842970488467048E-3</v>
      </c>
    </row>
    <row r="111" spans="1:36">
      <c r="A111" s="10" t="s">
        <v>120</v>
      </c>
      <c r="B111" s="35">
        <v>1</v>
      </c>
      <c r="C111" s="331"/>
      <c r="D111" s="331"/>
      <c r="E111" s="331"/>
      <c r="F111" s="331"/>
      <c r="G111" s="331"/>
      <c r="H111" s="402"/>
      <c r="I111" s="14"/>
      <c r="J111" s="14"/>
      <c r="K111" s="14"/>
      <c r="L111" s="14"/>
      <c r="M111" s="14"/>
      <c r="N111" s="187"/>
      <c r="O111" s="14"/>
      <c r="P111" s="14"/>
      <c r="Q111" s="14"/>
      <c r="R111" s="14"/>
      <c r="S111" s="14"/>
      <c r="T111" s="14"/>
      <c r="U111" s="14"/>
      <c r="V111" s="14"/>
      <c r="W111" s="14"/>
      <c r="X111" s="187"/>
    </row>
    <row r="112" spans="1:36">
      <c r="A112" s="10" t="s">
        <v>53</v>
      </c>
      <c r="B112" s="35">
        <v>1</v>
      </c>
      <c r="C112" s="331">
        <f>C42*Inputs!$C$57</f>
        <v>0</v>
      </c>
      <c r="D112" s="331">
        <f>D42*Inputs!$C$57</f>
        <v>0.51</v>
      </c>
      <c r="E112" s="331">
        <f>E42*Inputs!$C$57</f>
        <v>0.14487488599348533</v>
      </c>
      <c r="F112" s="331">
        <f>F42*Inputs!$C$57</f>
        <v>0.21598965146579804</v>
      </c>
      <c r="G112" s="331">
        <f>G42*Inputs!$C$57</f>
        <v>0.35872635830618887</v>
      </c>
      <c r="H112" s="402">
        <f>H42*Inputs!$C$57</f>
        <v>0.36404364820846896</v>
      </c>
      <c r="I112" s="14">
        <f>I42*Inputs!$C$57</f>
        <v>0.89990779153094458</v>
      </c>
      <c r="J112" s="14">
        <f>J42*Inputs!$C$57</f>
        <v>1.2617601009771986</v>
      </c>
      <c r="K112" s="14">
        <f>K42*Inputs!$C$57</f>
        <v>1.3433903419044519</v>
      </c>
      <c r="L112" s="14">
        <f>L42*Inputs!$C$57</f>
        <v>2.0294869733108851</v>
      </c>
      <c r="M112" s="14">
        <f>M42*Inputs!$C$57</f>
        <v>3.0383225899468069</v>
      </c>
      <c r="N112" s="182">
        <f>N42*Inputs!$C$57</f>
        <v>4.4769455450460383</v>
      </c>
      <c r="O112" s="14">
        <f>O42*Inputs!$C$57</f>
        <v>4.4785412580068478</v>
      </c>
      <c r="P112" s="14">
        <f>P42*Inputs!$C$57</f>
        <v>4.4082013248253213</v>
      </c>
      <c r="Q112" s="14">
        <f>Q42*Inputs!$C$57</f>
        <v>4.3698359182730719</v>
      </c>
      <c r="R112" s="14">
        <f>R42*Inputs!$C$57</f>
        <v>4.3872618968510855</v>
      </c>
      <c r="S112" s="14">
        <f>S42*Inputs!$C$57</f>
        <v>4.4269552021933407</v>
      </c>
      <c r="T112" s="14">
        <f>T42*Inputs!$C$57</f>
        <v>4.350557867905577</v>
      </c>
      <c r="U112" s="14">
        <f>U42*Inputs!$C$57</f>
        <v>4.2092968497364787</v>
      </c>
      <c r="V112" s="14">
        <f>V42*Inputs!$C$57</f>
        <v>4.267082090486408</v>
      </c>
      <c r="W112" s="14">
        <f>W42*Inputs!$C$57</f>
        <v>4.1719658944959406</v>
      </c>
      <c r="X112" s="187">
        <f>X42*Inputs!$C$57</f>
        <v>4.2923869285323164</v>
      </c>
      <c r="Y112" s="158">
        <f>Y42*Inputs!$C$57</f>
        <v>4.3542283277121552</v>
      </c>
      <c r="Z112" s="158">
        <f>Z42*Inputs!$C$57</f>
        <v>4.4874263949511759</v>
      </c>
      <c r="AA112" s="158">
        <f>AA42*Inputs!$C$57</f>
        <v>4.6150374506463878</v>
      </c>
      <c r="AB112" s="158">
        <f>AB42*Inputs!$C$57</f>
        <v>4.6931940367775589</v>
      </c>
      <c r="AC112" s="158">
        <f>AC42*Inputs!$C$57</f>
        <v>4.6443468663311682</v>
      </c>
      <c r="AD112" s="158">
        <f>AD42*Inputs!$C$57</f>
        <v>4.6044756886719842</v>
      </c>
      <c r="AE112" s="158">
        <f>AE42*Inputs!$C$57</f>
        <v>4.5771649864173201</v>
      </c>
      <c r="AF112" s="158">
        <f>AF42*Inputs!$C$57</f>
        <v>4.5368804521717196</v>
      </c>
      <c r="AG112" s="158">
        <f>AG42*Inputs!$C$57</f>
        <v>4.4802712839713426</v>
      </c>
      <c r="AH112" s="187">
        <f>AH42*Inputs!$C$57</f>
        <v>4.3384026826014734</v>
      </c>
      <c r="AI112" s="31" t="s">
        <v>0</v>
      </c>
    </row>
    <row r="113" spans="1:35" s="20" customFormat="1">
      <c r="A113" s="10" t="s">
        <v>383</v>
      </c>
      <c r="B113" s="37"/>
      <c r="C113" s="334">
        <f>SUM(C100:C112)</f>
        <v>22.501200000000001</v>
      </c>
      <c r="D113" s="334">
        <f t="shared" ref="D113:AH113" si="87">SUM(D100:D112)</f>
        <v>150.26668464558406</v>
      </c>
      <c r="E113" s="334">
        <f t="shared" si="87"/>
        <v>162.66495861223979</v>
      </c>
      <c r="F113" s="334">
        <f t="shared" si="87"/>
        <v>167.41874728007039</v>
      </c>
      <c r="G113" s="334">
        <f t="shared" si="87"/>
        <v>171.90684942218829</v>
      </c>
      <c r="H113" s="404">
        <f t="shared" si="87"/>
        <v>154.29257973842181</v>
      </c>
      <c r="I113" s="19">
        <f t="shared" si="87"/>
        <v>195.59914080124986</v>
      </c>
      <c r="J113" s="19">
        <f t="shared" si="87"/>
        <v>248.39695914835465</v>
      </c>
      <c r="K113" s="19">
        <f t="shared" si="87"/>
        <v>314.00412894385084</v>
      </c>
      <c r="L113" s="19">
        <f t="shared" si="87"/>
        <v>389.24599684354394</v>
      </c>
      <c r="M113" s="19">
        <f t="shared" si="87"/>
        <v>478.31694646278396</v>
      </c>
      <c r="N113" s="182">
        <f t="shared" si="87"/>
        <v>578.70925112265263</v>
      </c>
      <c r="O113" s="19">
        <f t="shared" si="87"/>
        <v>578.92390051603581</v>
      </c>
      <c r="P113" s="19">
        <f t="shared" si="87"/>
        <v>569.83927238952253</v>
      </c>
      <c r="Q113" s="19">
        <f t="shared" si="87"/>
        <v>564.88743655285464</v>
      </c>
      <c r="R113" s="19">
        <f t="shared" si="87"/>
        <v>567.14741152384204</v>
      </c>
      <c r="S113" s="19">
        <f t="shared" si="87"/>
        <v>572.28572419785849</v>
      </c>
      <c r="T113" s="19">
        <f t="shared" si="87"/>
        <v>562.41631920136297</v>
      </c>
      <c r="U113" s="19">
        <f t="shared" si="87"/>
        <v>544.16109601932783</v>
      </c>
      <c r="V113" s="19">
        <f t="shared" si="87"/>
        <v>551.63739671742098</v>
      </c>
      <c r="W113" s="19">
        <f t="shared" si="87"/>
        <v>539.34669259474936</v>
      </c>
      <c r="X113" s="182">
        <f t="shared" si="87"/>
        <v>554.92016550165783</v>
      </c>
      <c r="Y113" s="206">
        <f t="shared" si="87"/>
        <v>562.91463438826531</v>
      </c>
      <c r="Z113" s="206">
        <f t="shared" si="87"/>
        <v>580.13407566770934</v>
      </c>
      <c r="AA113" s="206">
        <f t="shared" si="87"/>
        <v>596.6312050803092</v>
      </c>
      <c r="AB113" s="206">
        <f t="shared" si="87"/>
        <v>606.73485107308466</v>
      </c>
      <c r="AC113" s="206">
        <f t="shared" si="87"/>
        <v>600.41948324808584</v>
      </c>
      <c r="AD113" s="206">
        <f t="shared" si="87"/>
        <v>595.26453652625582</v>
      </c>
      <c r="AE113" s="206">
        <f t="shared" si="87"/>
        <v>591.73340844870995</v>
      </c>
      <c r="AF113" s="206">
        <f t="shared" si="87"/>
        <v>586.52503650032668</v>
      </c>
      <c r="AG113" s="206">
        <f t="shared" si="87"/>
        <v>579.20623493438529</v>
      </c>
      <c r="AH113" s="182">
        <f t="shared" si="87"/>
        <v>560.86517334318182</v>
      </c>
      <c r="AI113" s="31" t="s">
        <v>0</v>
      </c>
    </row>
    <row r="114" spans="1:35" s="20" customFormat="1">
      <c r="A114" s="10" t="s">
        <v>384</v>
      </c>
      <c r="B114" s="37"/>
      <c r="C114" s="334">
        <f>SUM(C101:C103)</f>
        <v>0.74850000000000005</v>
      </c>
      <c r="D114" s="334">
        <f t="shared" ref="D114:AH114" si="88">SUM(D101:D103)</f>
        <v>0.73752827700614887</v>
      </c>
      <c r="E114" s="334">
        <f t="shared" si="88"/>
        <v>0.74879579329517565</v>
      </c>
      <c r="F114" s="334">
        <f t="shared" si="88"/>
        <v>0.7206805626151237</v>
      </c>
      <c r="G114" s="334">
        <f t="shared" si="88"/>
        <v>0.68699796059042983</v>
      </c>
      <c r="H114" s="404">
        <f t="shared" si="88"/>
        <v>0.6112505507710444</v>
      </c>
      <c r="I114" s="19">
        <f t="shared" si="88"/>
        <v>0.62617325160992698</v>
      </c>
      <c r="J114" s="19">
        <f t="shared" si="88"/>
        <v>0.64359913183752282</v>
      </c>
      <c r="K114" s="19">
        <f t="shared" si="88"/>
        <v>0.659229345962421</v>
      </c>
      <c r="L114" s="19">
        <f t="shared" si="88"/>
        <v>0.66090681124720407</v>
      </c>
      <c r="M114" s="19">
        <f t="shared" si="88"/>
        <v>0.6566075748817688</v>
      </c>
      <c r="N114" s="182">
        <f t="shared" si="88"/>
        <v>0.64205207676133258</v>
      </c>
      <c r="O114" s="19">
        <f t="shared" si="88"/>
        <v>0.65066159039704707</v>
      </c>
      <c r="P114" s="19">
        <f t="shared" si="88"/>
        <v>0.64838832976181149</v>
      </c>
      <c r="Q114" s="19">
        <f t="shared" si="88"/>
        <v>0.65032798193284946</v>
      </c>
      <c r="R114" s="19">
        <f t="shared" si="88"/>
        <v>0.66024506727715593</v>
      </c>
      <c r="S114" s="19">
        <f t="shared" si="88"/>
        <v>0.67332277714232347</v>
      </c>
      <c r="T114" s="19">
        <f t="shared" si="88"/>
        <v>0.66840967628075454</v>
      </c>
      <c r="U114" s="19">
        <f t="shared" si="88"/>
        <v>0.65293506517469757</v>
      </c>
      <c r="V114" s="19">
        <f t="shared" si="88"/>
        <v>0.66795397406508195</v>
      </c>
      <c r="W114" s="19">
        <f t="shared" si="88"/>
        <v>0.65873785406792695</v>
      </c>
      <c r="X114" s="182">
        <f t="shared" si="88"/>
        <v>0.68333951579343499</v>
      </c>
      <c r="Y114" s="206">
        <f t="shared" si="88"/>
        <v>0.69279182150345098</v>
      </c>
      <c r="Z114" s="206">
        <f t="shared" si="88"/>
        <v>0.71357994056018881</v>
      </c>
      <c r="AA114" s="206">
        <f t="shared" si="88"/>
        <v>0.73345610297328112</v>
      </c>
      <c r="AB114" s="206">
        <f t="shared" si="88"/>
        <v>0.74545403408567268</v>
      </c>
      <c r="AC114" s="206">
        <f t="shared" si="88"/>
        <v>0.73727639425837288</v>
      </c>
      <c r="AD114" s="206">
        <f t="shared" si="88"/>
        <v>0.73053166867770891</v>
      </c>
      <c r="AE114" s="206">
        <f t="shared" si="88"/>
        <v>0.7257858080876054</v>
      </c>
      <c r="AF114" s="206">
        <f t="shared" si="88"/>
        <v>0.71898882681352505</v>
      </c>
      <c r="AG114" s="206">
        <f t="shared" si="88"/>
        <v>0.70961351425178565</v>
      </c>
      <c r="AH114" s="182">
        <f t="shared" si="88"/>
        <v>0.68675217839565705</v>
      </c>
      <c r="AI114" s="31"/>
    </row>
    <row r="115" spans="1:35" s="20" customFormat="1">
      <c r="A115" s="10" t="s">
        <v>385</v>
      </c>
      <c r="B115" s="37"/>
      <c r="C115" s="334">
        <f>SUMPRODUCT($B104:$B112,C104:C112)</f>
        <v>21.752700000000001</v>
      </c>
      <c r="D115" s="334">
        <f t="shared" ref="D115:AH115" si="89">SUMPRODUCT($B104:$B112,D104:D112)</f>
        <v>149.52915636857793</v>
      </c>
      <c r="E115" s="334">
        <f t="shared" si="89"/>
        <v>161.91616281894463</v>
      </c>
      <c r="F115" s="334">
        <f t="shared" si="89"/>
        <v>166.69806671745528</v>
      </c>
      <c r="G115" s="334">
        <f t="shared" si="89"/>
        <v>171.21985146159784</v>
      </c>
      <c r="H115" s="404">
        <f t="shared" si="89"/>
        <v>153.68132918765076</v>
      </c>
      <c r="I115" s="19">
        <f t="shared" si="89"/>
        <v>194.97296754963995</v>
      </c>
      <c r="J115" s="19">
        <f t="shared" si="89"/>
        <v>247.75336001651715</v>
      </c>
      <c r="K115" s="19">
        <f t="shared" si="89"/>
        <v>313.3448995978884</v>
      </c>
      <c r="L115" s="19">
        <f t="shared" si="89"/>
        <v>388.5850900322967</v>
      </c>
      <c r="M115" s="19">
        <f t="shared" si="89"/>
        <v>477.66033888790218</v>
      </c>
      <c r="N115" s="182">
        <f t="shared" si="89"/>
        <v>578.06719904589124</v>
      </c>
      <c r="O115" s="19">
        <f t="shared" si="89"/>
        <v>578.27323892563879</v>
      </c>
      <c r="P115" s="19">
        <f t="shared" si="89"/>
        <v>569.19088405976061</v>
      </c>
      <c r="Q115" s="19">
        <f t="shared" si="89"/>
        <v>564.23710857092181</v>
      </c>
      <c r="R115" s="19">
        <f t="shared" si="89"/>
        <v>566.48716645656486</v>
      </c>
      <c r="S115" s="19">
        <f t="shared" si="89"/>
        <v>571.61240142071608</v>
      </c>
      <c r="T115" s="19">
        <f t="shared" si="89"/>
        <v>561.74790952508226</v>
      </c>
      <c r="U115" s="19">
        <f t="shared" si="89"/>
        <v>543.50816095415314</v>
      </c>
      <c r="V115" s="19">
        <f t="shared" si="89"/>
        <v>550.9694427433559</v>
      </c>
      <c r="W115" s="19">
        <f t="shared" si="89"/>
        <v>538.68795474068156</v>
      </c>
      <c r="X115" s="182">
        <f t="shared" si="89"/>
        <v>554.23682598586447</v>
      </c>
      <c r="Y115" s="206">
        <f t="shared" si="89"/>
        <v>562.22184256676189</v>
      </c>
      <c r="Z115" s="206">
        <f t="shared" si="89"/>
        <v>579.42049572714916</v>
      </c>
      <c r="AA115" s="206">
        <f t="shared" si="89"/>
        <v>595.89774897733594</v>
      </c>
      <c r="AB115" s="206">
        <f t="shared" si="89"/>
        <v>605.98939703899896</v>
      </c>
      <c r="AC115" s="206">
        <f t="shared" si="89"/>
        <v>599.68220685382744</v>
      </c>
      <c r="AD115" s="206">
        <f t="shared" si="89"/>
        <v>594.53400485757811</v>
      </c>
      <c r="AE115" s="206">
        <f t="shared" si="89"/>
        <v>591.00762264062234</v>
      </c>
      <c r="AF115" s="206">
        <f t="shared" si="89"/>
        <v>585.80604767351315</v>
      </c>
      <c r="AG115" s="206">
        <f t="shared" si="89"/>
        <v>578.49662142013358</v>
      </c>
      <c r="AH115" s="182">
        <f t="shared" si="89"/>
        <v>560.17842116478619</v>
      </c>
    </row>
    <row r="116" spans="1:35" s="20" customFormat="1">
      <c r="A116" s="10" t="s">
        <v>142</v>
      </c>
      <c r="B116" s="37"/>
      <c r="C116" s="334">
        <f>C47*Inputs!$C$60</f>
        <v>579.73300000000006</v>
      </c>
      <c r="D116" s="334">
        <f>D47*Inputs!$C$60</f>
        <v>0</v>
      </c>
      <c r="E116" s="334">
        <f>E47*Inputs!$C$60</f>
        <v>0</v>
      </c>
      <c r="F116" s="334">
        <f>F47*Inputs!$C$60</f>
        <v>0</v>
      </c>
      <c r="G116" s="334">
        <f>G47*Inputs!$C$60</f>
        <v>0</v>
      </c>
      <c r="H116" s="404">
        <f>H47*Inputs!$C$60</f>
        <v>0</v>
      </c>
      <c r="I116" s="19">
        <f>I47*Inputs!$C$60</f>
        <v>0</v>
      </c>
      <c r="J116" s="19">
        <f>J47*Inputs!$C$60</f>
        <v>0</v>
      </c>
      <c r="K116" s="19">
        <f>K47*Inputs!$C$60</f>
        <v>0</v>
      </c>
      <c r="L116" s="19">
        <f>L47*Inputs!$C$60</f>
        <v>0</v>
      </c>
      <c r="M116" s="19">
        <f>M47*Inputs!$C$60</f>
        <v>0</v>
      </c>
      <c r="N116" s="182">
        <f>N47*Inputs!$C$60</f>
        <v>0</v>
      </c>
      <c r="O116" s="19">
        <f>O47*Inputs!$C$60</f>
        <v>0</v>
      </c>
      <c r="P116" s="19">
        <f>P47*Inputs!$C$60</f>
        <v>0</v>
      </c>
      <c r="Q116" s="19">
        <f>Q47*Inputs!$C$60</f>
        <v>0</v>
      </c>
      <c r="R116" s="19">
        <f>R47*Inputs!$C$60</f>
        <v>0</v>
      </c>
      <c r="S116" s="19">
        <f>S47*Inputs!$C$60</f>
        <v>0</v>
      </c>
      <c r="T116" s="19">
        <f>T47*Inputs!$C$60</f>
        <v>0</v>
      </c>
      <c r="U116" s="19">
        <f>U47*Inputs!$C$60</f>
        <v>0</v>
      </c>
      <c r="V116" s="19">
        <f>V47*Inputs!$C$60</f>
        <v>0</v>
      </c>
      <c r="W116" s="19">
        <f>W47*Inputs!$C$60</f>
        <v>0</v>
      </c>
      <c r="X116" s="182">
        <f>X47*Inputs!$C$60</f>
        <v>0</v>
      </c>
      <c r="Y116" s="206">
        <f>Y47*Inputs!$C$60</f>
        <v>0</v>
      </c>
      <c r="Z116" s="206">
        <f>Z47*Inputs!$C$60</f>
        <v>0</v>
      </c>
      <c r="AA116" s="206">
        <f>AA47*Inputs!$C$60</f>
        <v>0</v>
      </c>
      <c r="AB116" s="206">
        <f>AB47*Inputs!$C$60</f>
        <v>0</v>
      </c>
      <c r="AC116" s="206">
        <f>AC47*Inputs!$C$60</f>
        <v>0</v>
      </c>
      <c r="AD116" s="206">
        <f>AD47*Inputs!$C$60</f>
        <v>0</v>
      </c>
      <c r="AE116" s="206">
        <f>AE47*Inputs!$C$60</f>
        <v>0</v>
      </c>
      <c r="AF116" s="206">
        <f>AF47*Inputs!$C$60</f>
        <v>0</v>
      </c>
      <c r="AG116" s="206">
        <f>AG47*Inputs!$C$60</f>
        <v>0</v>
      </c>
      <c r="AH116" s="182">
        <f>AH47*Inputs!$C$60</f>
        <v>0</v>
      </c>
      <c r="AI116" s="31"/>
    </row>
    <row r="117" spans="1:35" s="20" customFormat="1">
      <c r="A117" s="10" t="s">
        <v>222</v>
      </c>
      <c r="B117" s="37"/>
      <c r="C117" s="334">
        <f>C48*Inputs!$C$61</f>
        <v>248.45700000000002</v>
      </c>
      <c r="D117" s="334">
        <f>D48*Inputs!$C$61</f>
        <v>812.46292648559313</v>
      </c>
      <c r="E117" s="334">
        <f>E48*Inputs!$C$61</f>
        <v>838.27092156157573</v>
      </c>
      <c r="F117" s="334">
        <f>F48*Inputs!$C$61</f>
        <v>818.7472876262043</v>
      </c>
      <c r="G117" s="334">
        <f>G48*Inputs!$C$61</f>
        <v>791.0795758968145</v>
      </c>
      <c r="H117" s="404">
        <f>H48*Inputs!$C$61</f>
        <v>839.46382792224824</v>
      </c>
      <c r="I117" s="19">
        <f>I48*Inputs!$C$61</f>
        <v>852.37572037054235</v>
      </c>
      <c r="J117" s="19">
        <f>J48*Inputs!$C$61</f>
        <v>866.35115148525108</v>
      </c>
      <c r="K117" s="19">
        <f>K48*Inputs!$C$61</f>
        <v>875.08931278176306</v>
      </c>
      <c r="L117" s="19">
        <f>L48*Inputs!$C$61</f>
        <v>861.09298987125032</v>
      </c>
      <c r="M117" s="19">
        <f>M48*Inputs!$C$61</f>
        <v>835.09966436675336</v>
      </c>
      <c r="N117" s="182">
        <f>N48*Inputs!$C$61</f>
        <v>791.44352095253748</v>
      </c>
      <c r="O117" s="19">
        <f>O48*Inputs!$C$61</f>
        <v>780.0154232687463</v>
      </c>
      <c r="P117" s="19">
        <f>P48*Inputs!$C$61</f>
        <v>756.36395421423197</v>
      </c>
      <c r="Q117" s="19">
        <f>Q48*Inputs!$C$61</f>
        <v>738.61226113786779</v>
      </c>
      <c r="R117" s="19">
        <f>R48*Inputs!$C$61</f>
        <v>730.51011690759731</v>
      </c>
      <c r="S117" s="19">
        <f>S48*Inputs!$C$61</f>
        <v>726.10410210937755</v>
      </c>
      <c r="T117" s="19">
        <f>T48*Inputs!$C$61</f>
        <v>702.8475232315626</v>
      </c>
      <c r="U117" s="19">
        <f>U48*Inputs!$C$61</f>
        <v>669.73491569032535</v>
      </c>
      <c r="V117" s="19">
        <f>V48*Inputs!$C$61</f>
        <v>668.70723986072983</v>
      </c>
      <c r="W117" s="19">
        <f>W48*Inputs!$C$61</f>
        <v>643.86650279375328</v>
      </c>
      <c r="X117" s="182">
        <f>X48*Inputs!$C$61</f>
        <v>652.45303498420094</v>
      </c>
      <c r="Y117" s="206">
        <f>Y48*Inputs!$C$61</f>
        <v>661.77204370721824</v>
      </c>
      <c r="Z117" s="206">
        <f>Z48*Inputs!$C$61</f>
        <v>681.97452417137197</v>
      </c>
      <c r="AA117" s="206">
        <f>AA48*Inputs!$C$61</f>
        <v>701.32222378998426</v>
      </c>
      <c r="AB117" s="206">
        <f>AB48*Inputs!$C$61</f>
        <v>713.12947733951682</v>
      </c>
      <c r="AC117" s="206">
        <f>AC48*Inputs!$C$61</f>
        <v>705.57618060076879</v>
      </c>
      <c r="AD117" s="206">
        <f>AD48*Inputs!$C$61</f>
        <v>699.38432648018056</v>
      </c>
      <c r="AE117" s="206">
        <f>AE48*Inputs!$C$61</f>
        <v>695.11259483829349</v>
      </c>
      <c r="AF117" s="206">
        <f>AF48*Inputs!$C$61</f>
        <v>688.86039241856031</v>
      </c>
      <c r="AG117" s="206">
        <f>AG48*Inputs!$C$61</f>
        <v>680.11979811559877</v>
      </c>
      <c r="AH117" s="182">
        <f>AH48*Inputs!$C$61</f>
        <v>658.38019974786278</v>
      </c>
      <c r="AI117" s="31"/>
    </row>
    <row r="118" spans="1:35" s="20" customFormat="1">
      <c r="A118" s="10" t="s">
        <v>58</v>
      </c>
      <c r="B118" s="37"/>
      <c r="C118" s="334">
        <f>SUM(C113,C116,C117)</f>
        <v>850.69120000000009</v>
      </c>
      <c r="D118" s="334">
        <f>SUM(D113,D116,D117)</f>
        <v>962.72961113117719</v>
      </c>
      <c r="E118" s="334">
        <f t="shared" ref="E118:AH118" si="90">SUM(E113,E116,E117)</f>
        <v>1000.9358801738156</v>
      </c>
      <c r="F118" s="334">
        <f t="shared" si="90"/>
        <v>986.16603490627472</v>
      </c>
      <c r="G118" s="334">
        <f t="shared" si="90"/>
        <v>962.98642531900282</v>
      </c>
      <c r="H118" s="404">
        <f t="shared" si="90"/>
        <v>993.75640766066999</v>
      </c>
      <c r="I118" s="19">
        <f t="shared" si="90"/>
        <v>1047.9748611717923</v>
      </c>
      <c r="J118" s="19">
        <f t="shared" si="90"/>
        <v>1114.7481106336058</v>
      </c>
      <c r="K118" s="19">
        <f t="shared" si="90"/>
        <v>1189.093441725614</v>
      </c>
      <c r="L118" s="19">
        <f t="shared" si="90"/>
        <v>1250.3389867147944</v>
      </c>
      <c r="M118" s="19">
        <f t="shared" si="90"/>
        <v>1313.4166108295374</v>
      </c>
      <c r="N118" s="182">
        <f t="shared" si="90"/>
        <v>1370.1527720751901</v>
      </c>
      <c r="O118" s="19">
        <f t="shared" si="90"/>
        <v>1358.9393237847821</v>
      </c>
      <c r="P118" s="19">
        <f t="shared" si="90"/>
        <v>1326.2032266037545</v>
      </c>
      <c r="Q118" s="19">
        <f t="shared" si="90"/>
        <v>1303.4996976907223</v>
      </c>
      <c r="R118" s="19">
        <f t="shared" si="90"/>
        <v>1297.6575284314395</v>
      </c>
      <c r="S118" s="19">
        <f t="shared" si="90"/>
        <v>1298.389826307236</v>
      </c>
      <c r="T118" s="19">
        <f t="shared" si="90"/>
        <v>1265.2638424329257</v>
      </c>
      <c r="U118" s="19">
        <f t="shared" si="90"/>
        <v>1213.8960117096531</v>
      </c>
      <c r="V118" s="19">
        <f t="shared" si="90"/>
        <v>1220.3446365781508</v>
      </c>
      <c r="W118" s="19">
        <f t="shared" si="90"/>
        <v>1183.2131953885028</v>
      </c>
      <c r="X118" s="182">
        <f t="shared" si="90"/>
        <v>1207.3732004858589</v>
      </c>
      <c r="Y118" s="206">
        <f t="shared" si="90"/>
        <v>1224.6866780954836</v>
      </c>
      <c r="Z118" s="206">
        <f t="shared" si="90"/>
        <v>1262.1085998390813</v>
      </c>
      <c r="AA118" s="206">
        <f t="shared" si="90"/>
        <v>1297.9534288702935</v>
      </c>
      <c r="AB118" s="206">
        <f t="shared" si="90"/>
        <v>1319.8643284126015</v>
      </c>
      <c r="AC118" s="206">
        <f t="shared" si="90"/>
        <v>1305.9956638488547</v>
      </c>
      <c r="AD118" s="206">
        <f t="shared" si="90"/>
        <v>1294.6488630064364</v>
      </c>
      <c r="AE118" s="206">
        <f t="shared" si="90"/>
        <v>1286.8460032870034</v>
      </c>
      <c r="AF118" s="206">
        <f t="shared" si="90"/>
        <v>1275.3854289188871</v>
      </c>
      <c r="AG118" s="206">
        <f t="shared" si="90"/>
        <v>1259.3260330499841</v>
      </c>
      <c r="AH118" s="182">
        <f t="shared" si="90"/>
        <v>1219.2453730910447</v>
      </c>
      <c r="AI118" s="31"/>
    </row>
    <row r="119" spans="1:35" s="1" customFormat="1">
      <c r="A119" s="1" t="s">
        <v>335</v>
      </c>
      <c r="B119" s="13"/>
      <c r="C119" s="341">
        <f>C118-'Output - Jobs vs Yr (BAU)'!C55</f>
        <v>-0.10999999999989996</v>
      </c>
      <c r="D119" s="341">
        <f>D118-'Output - Jobs vs Yr (BAU)'!D55</f>
        <v>-15.337788868822827</v>
      </c>
      <c r="E119" s="341">
        <f>E118-'Output - Jobs vs Yr (BAU)'!E55</f>
        <v>-14.519424372287517</v>
      </c>
      <c r="F119" s="341">
        <f>F118-'Output - Jobs vs Yr (BAU)'!F55</f>
        <v>-13.854211414962947</v>
      </c>
      <c r="G119" s="341">
        <f>G118-'Output - Jobs vs Yr (BAU)'!G55</f>
        <v>-13.877235251764205</v>
      </c>
      <c r="H119" s="405">
        <f>H118-'Output - Jobs vs Yr (BAU)'!H55</f>
        <v>-20.157501603924857</v>
      </c>
      <c r="I119" s="15">
        <f>I118-'Output - Jobs vs Yr (BAU)'!I55</f>
        <v>10.931042739304758</v>
      </c>
      <c r="J119" s="15">
        <f>J118-'Output - Jobs vs Yr (BAU)'!J55</f>
        <v>50.228276806132726</v>
      </c>
      <c r="K119" s="15">
        <f>K118-'Output - Jobs vs Yr (BAU)'!K55</f>
        <v>96.745751242403003</v>
      </c>
      <c r="L119" s="15">
        <f>L118-'Output - Jobs vs Yr (BAU)'!L55</f>
        <v>153.22914204530912</v>
      </c>
      <c r="M119" s="15">
        <f>M118-'Output - Jobs vs Yr (BAU)'!M55</f>
        <v>221.48957167514641</v>
      </c>
      <c r="N119" s="182">
        <f>N118-'Output - Jobs vs Yr (BAU)'!N55</f>
        <v>300.45595201034621</v>
      </c>
      <c r="O119" s="15">
        <f>O118-'Output - Jobs vs Yr (BAU)'!O55</f>
        <v>302.54900934953548</v>
      </c>
      <c r="P119" s="15">
        <f>P118-'Output - Jobs vs Yr (BAU)'!P55</f>
        <v>299.29124592795824</v>
      </c>
      <c r="Q119" s="15">
        <f>Q118-'Output - Jobs vs Yr (BAU)'!Q55</f>
        <v>298.52962100293144</v>
      </c>
      <c r="R119" s="15">
        <f>R118-'Output - Jobs vs Yr (BAU)'!R55</f>
        <v>301.30316185948175</v>
      </c>
      <c r="S119" s="15">
        <f>S118-'Output - Jobs vs Yr (BAU)'!S55</f>
        <v>305.52494454400539</v>
      </c>
      <c r="T119" s="15">
        <f>T118-'Output - Jobs vs Yr (BAU)'!T55</f>
        <v>301.745381899726</v>
      </c>
      <c r="U119" s="15">
        <f>U118-'Output - Jobs vs Yr (BAU)'!U55</f>
        <v>293.59949765072201</v>
      </c>
      <c r="V119" s="15">
        <f>V118-'Output - Jobs vs Yr (BAU)'!V55</f>
        <v>299.52282539412465</v>
      </c>
      <c r="W119" s="15">
        <f>W118-'Output - Jobs vs Yr (BAU)'!W55</f>
        <v>294.27133492980988</v>
      </c>
      <c r="X119" s="190">
        <f>X118-'Output - Jobs vs Yr (BAU)'!X55</f>
        <v>304.27566095174564</v>
      </c>
      <c r="Y119" s="130">
        <f>Y118-'Output - Jobs vs Yr (BAU)'!Y55</f>
        <v>308.68274661968871</v>
      </c>
      <c r="Z119" s="130">
        <f>Z118-'Output - Jobs vs Yr (BAU)'!Z55</f>
        <v>318.17356911702836</v>
      </c>
      <c r="AA119" s="130">
        <f>AA118-'Output - Jobs vs Yr (BAU)'!AA55</f>
        <v>327.43172561587403</v>
      </c>
      <c r="AB119" s="130">
        <f>AB118-'Output - Jobs vs Yr (BAU)'!AB55</f>
        <v>333.23460578611423</v>
      </c>
      <c r="AC119" s="130">
        <f>AC118-'Output - Jobs vs Yr (BAU)'!AC55</f>
        <v>329.78916212701802</v>
      </c>
      <c r="AD119" s="130">
        <f>AD118-'Output - Jobs vs Yr (BAU)'!AD55</f>
        <v>327.42617537862191</v>
      </c>
      <c r="AE119" s="130">
        <f>AE118-'Output - Jobs vs Yr (BAU)'!AE55</f>
        <v>325.91216264570596</v>
      </c>
      <c r="AF119" s="130">
        <f>AF118-'Output - Jobs vs Yr (BAU)'!AF55</f>
        <v>322.88839842906214</v>
      </c>
      <c r="AG119" s="130">
        <f>AG118-'Output - Jobs vs Yr (BAU)'!AG55</f>
        <v>319.01441216435239</v>
      </c>
      <c r="AH119" s="190">
        <f>AH118-'Output - Jobs vs Yr (BAU)'!AH55</f>
        <v>309.0195262273005</v>
      </c>
    </row>
    <row r="120" spans="1:35" s="1" customFormat="1">
      <c r="B120" s="13"/>
      <c r="C120" s="328"/>
      <c r="D120" s="341"/>
      <c r="E120" s="341"/>
      <c r="F120" s="341"/>
      <c r="G120" s="341"/>
      <c r="H120" s="405"/>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80"/>
    </row>
    <row r="121" spans="1:35" hidden="1">
      <c r="W121" s="2" t="s">
        <v>133</v>
      </c>
      <c r="X121" s="187">
        <f>X100</f>
        <v>0</v>
      </c>
    </row>
    <row r="122" spans="1:35" hidden="1">
      <c r="W122" s="2" t="s">
        <v>136</v>
      </c>
      <c r="X122" s="187">
        <f>X103-'Output - Jobs vs Yr (BAU)'!X43</f>
        <v>0</v>
      </c>
    </row>
    <row r="123" spans="1:35" hidden="1">
      <c r="W123" s="2" t="s">
        <v>134</v>
      </c>
      <c r="X123" s="187">
        <f>X115-'Output - Jobs vs Yr (BAU)'!X51</f>
        <v>411.64289975391779</v>
      </c>
    </row>
    <row r="124" spans="1:35" hidden="1">
      <c r="W124" s="2" t="s">
        <v>137</v>
      </c>
      <c r="X124" s="187">
        <f>SUM(X101,X106,X111)</f>
        <v>0</v>
      </c>
    </row>
    <row r="125" spans="1:35" hidden="1">
      <c r="W125" s="2" t="s">
        <v>132</v>
      </c>
      <c r="X125" s="187">
        <f>SUM(X121:X124)</f>
        <v>411.64289975391779</v>
      </c>
    </row>
    <row r="126" spans="1:35">
      <c r="A126" s="1" t="s">
        <v>140</v>
      </c>
      <c r="C126" s="328">
        <v>2009</v>
      </c>
      <c r="D126" s="328">
        <v>2010</v>
      </c>
      <c r="E126" s="328">
        <v>2011</v>
      </c>
      <c r="F126" s="328">
        <v>2012</v>
      </c>
      <c r="G126" s="328">
        <v>2013</v>
      </c>
      <c r="H126" s="400">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1">
        <v>0</v>
      </c>
      <c r="D127" s="331">
        <f xml:space="preserve"> IF(D100&gt; 0, D100*Inputs!$H44, 0)</f>
        <v>0</v>
      </c>
      <c r="E127" s="331">
        <f xml:space="preserve"> IF(E100&gt; 0, E100*Inputs!$H44, 0)</f>
        <v>0</v>
      </c>
      <c r="F127" s="331">
        <f xml:space="preserve"> IF(F100&gt; 0, F100*Inputs!$H44, 0)</f>
        <v>0</v>
      </c>
      <c r="G127" s="331">
        <f xml:space="preserve"> IF(G100&gt; 0, G100*Inputs!$H44, 0)</f>
        <v>0</v>
      </c>
      <c r="H127" s="402">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1">
        <f>C101*Inputs!$H47</f>
        <v>0</v>
      </c>
      <c r="D128" s="331">
        <f>D101*Inputs!$H47</f>
        <v>0</v>
      </c>
      <c r="E128" s="331">
        <f>E101*Inputs!$H47</f>
        <v>0</v>
      </c>
      <c r="F128" s="331">
        <f>F101*Inputs!$H47</f>
        <v>0</v>
      </c>
      <c r="G128" s="331">
        <f>G101*Inputs!$H47</f>
        <v>0</v>
      </c>
      <c r="H128" s="402">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1">
        <f>C102*Inputs!$H48</f>
        <v>0.67365000000000008</v>
      </c>
      <c r="D129" s="331">
        <f>D102*Inputs!$H48</f>
        <v>0.663775449305534</v>
      </c>
      <c r="E129" s="331">
        <f>E102*Inputs!$H48</f>
        <v>0.67391621396565815</v>
      </c>
      <c r="F129" s="331">
        <f>F102*Inputs!$H48</f>
        <v>0.64861250635361134</v>
      </c>
      <c r="G129" s="331">
        <f>G102*Inputs!$H48</f>
        <v>0.61829816453138686</v>
      </c>
      <c r="H129" s="402">
        <f>H102*Inputs!$H48</f>
        <v>0.55012549569393998</v>
      </c>
      <c r="I129" s="14">
        <f>I102*Inputs!$H48</f>
        <v>0.56355592644893426</v>
      </c>
      <c r="J129" s="14">
        <f>J102*Inputs!$H48</f>
        <v>0.57923921865377059</v>
      </c>
      <c r="K129" s="14">
        <f>K102*Inputs!$H48</f>
        <v>0.5933064113661789</v>
      </c>
      <c r="L129" s="14">
        <f>L102*Inputs!$H48</f>
        <v>0.59481613012248369</v>
      </c>
      <c r="M129" s="14">
        <f>M102*Inputs!$H48</f>
        <v>0.59094681739359189</v>
      </c>
      <c r="N129" s="182">
        <f>N102*Inputs!$H48</f>
        <v>0.57784686908519933</v>
      </c>
      <c r="O129" s="14">
        <f>O102*Inputs!$H48</f>
        <v>0.58559543135734238</v>
      </c>
      <c r="P129" s="14">
        <f>P102*Inputs!$H48</f>
        <v>0.58354949678563039</v>
      </c>
      <c r="Q129" s="14">
        <f>Q102*Inputs!$H48</f>
        <v>0.58529518373956457</v>
      </c>
      <c r="R129" s="14">
        <f>R102*Inputs!$H48</f>
        <v>0.59422056054944039</v>
      </c>
      <c r="S129" s="14">
        <f>S102*Inputs!$H48</f>
        <v>0.60599049942809113</v>
      </c>
      <c r="T129" s="14">
        <f>T102*Inputs!$H48</f>
        <v>0.60156870865267908</v>
      </c>
      <c r="U129" s="14">
        <f>U102*Inputs!$H48</f>
        <v>0.58764155865722778</v>
      </c>
      <c r="V129" s="14">
        <f>V102*Inputs!$H48</f>
        <v>0.60115857665857375</v>
      </c>
      <c r="W129" s="14">
        <f>W102*Inputs!$H48</f>
        <v>0.59286406866113428</v>
      </c>
      <c r="X129" s="187">
        <f>X102*Inputs!$H48</f>
        <v>0.61500556421409147</v>
      </c>
      <c r="Y129" s="158">
        <f>Y102*Inputs!$H48</f>
        <v>0.62351263935310586</v>
      </c>
      <c r="Z129" s="158">
        <f>Z102*Inputs!$H48</f>
        <v>0.64222194650416997</v>
      </c>
      <c r="AA129" s="158">
        <f>AA102*Inputs!$H48</f>
        <v>0.66011049267595301</v>
      </c>
      <c r="AB129" s="158">
        <f>AB102*Inputs!$H48</f>
        <v>0.67090863067710538</v>
      </c>
      <c r="AC129" s="158">
        <f>AC102*Inputs!$H48</f>
        <v>0.66354875483253561</v>
      </c>
      <c r="AD129" s="158">
        <f>AD102*Inputs!$H48</f>
        <v>0.65747850180993805</v>
      </c>
      <c r="AE129" s="158">
        <f>AE102*Inputs!$H48</f>
        <v>0.65320722727884484</v>
      </c>
      <c r="AF129" s="158">
        <f>AF102*Inputs!$H48</f>
        <v>0.64708994413217258</v>
      </c>
      <c r="AG129" s="158">
        <f>AG102*Inputs!$H48</f>
        <v>0.63865216282660708</v>
      </c>
      <c r="AH129" s="187">
        <f>AH102*Inputs!$H48</f>
        <v>0.6180769605560914</v>
      </c>
    </row>
    <row r="130" spans="1:35">
      <c r="A130" s="10" t="s">
        <v>59</v>
      </c>
      <c r="B130" s="35">
        <v>0</v>
      </c>
      <c r="C130" s="331">
        <f>C103*Inputs!$H53</f>
        <v>0</v>
      </c>
      <c r="D130" s="331">
        <f>D103*Inputs!$H53</f>
        <v>0</v>
      </c>
      <c r="E130" s="331">
        <f>E103*Inputs!$H53</f>
        <v>0</v>
      </c>
      <c r="F130" s="331">
        <f>F103*Inputs!$H53</f>
        <v>0</v>
      </c>
      <c r="G130" s="331">
        <f>G103*Inputs!$H53</f>
        <v>0</v>
      </c>
      <c r="H130" s="402">
        <f>H103*Inputs!$H53</f>
        <v>0</v>
      </c>
      <c r="I130" s="14">
        <f>I103*Inputs!$H53</f>
        <v>0</v>
      </c>
      <c r="J130" s="14">
        <f>J103*Inputs!$H53</f>
        <v>0</v>
      </c>
      <c r="K130" s="14">
        <f>K103*Inputs!$H53</f>
        <v>0</v>
      </c>
      <c r="L130" s="14">
        <f>L103*Inputs!$H53</f>
        <v>0</v>
      </c>
      <c r="M130" s="14">
        <f>M103*Inputs!$H53</f>
        <v>0</v>
      </c>
      <c r="N130" s="182">
        <f>N103*Inputs!$H53</f>
        <v>0</v>
      </c>
      <c r="O130" s="14">
        <f>O103*Inputs!$H53</f>
        <v>0</v>
      </c>
      <c r="P130" s="14">
        <f>P103*Inputs!$H53</f>
        <v>0</v>
      </c>
      <c r="Q130" s="14">
        <f>Q103*Inputs!$H53</f>
        <v>0</v>
      </c>
      <c r="R130" s="14">
        <f>R103*Inputs!$H53</f>
        <v>0</v>
      </c>
      <c r="S130" s="14">
        <f>S103*Inputs!$H53</f>
        <v>0</v>
      </c>
      <c r="T130" s="14">
        <f>T103*Inputs!$H53</f>
        <v>0</v>
      </c>
      <c r="U130" s="14">
        <f>U103*Inputs!$H53</f>
        <v>0</v>
      </c>
      <c r="V130" s="14">
        <f>V103*Inputs!$H53</f>
        <v>0</v>
      </c>
      <c r="W130" s="14">
        <f>W103*Inputs!$H53</f>
        <v>0</v>
      </c>
      <c r="X130" s="187">
        <f>X103*Inputs!$H53</f>
        <v>0</v>
      </c>
      <c r="Y130" s="158">
        <f>Y103*Inputs!$H53</f>
        <v>0</v>
      </c>
      <c r="Z130" s="158">
        <f>Z103*Inputs!$H53</f>
        <v>0</v>
      </c>
      <c r="AA130" s="158">
        <f>AA103*Inputs!$H53</f>
        <v>0</v>
      </c>
      <c r="AB130" s="158">
        <f>AB103*Inputs!$H53</f>
        <v>0</v>
      </c>
      <c r="AC130" s="158">
        <f>AC103*Inputs!$H53</f>
        <v>0</v>
      </c>
      <c r="AD130" s="158">
        <f>AD103*Inputs!$H53</f>
        <v>0</v>
      </c>
      <c r="AE130" s="158">
        <f>AE103*Inputs!$H53</f>
        <v>0</v>
      </c>
      <c r="AF130" s="158">
        <f>AF103*Inputs!$H53</f>
        <v>0</v>
      </c>
      <c r="AG130" s="158">
        <f>AG103*Inputs!$H53</f>
        <v>0</v>
      </c>
      <c r="AH130" s="187">
        <f>AH103*Inputs!$H53</f>
        <v>0</v>
      </c>
    </row>
    <row r="131" spans="1:35">
      <c r="A131" s="10" t="s">
        <v>121</v>
      </c>
      <c r="B131" s="35">
        <v>1</v>
      </c>
      <c r="C131" s="330">
        <f>Inputs!$H46*'Output -Jobs vs Yr'!C104</f>
        <v>0</v>
      </c>
      <c r="D131" s="330">
        <f>Inputs!$H46*'Output -Jobs vs Yr'!D104</f>
        <v>0</v>
      </c>
      <c r="E131" s="330">
        <f>Inputs!$H46*'Output -Jobs vs Yr'!E104</f>
        <v>0.92659952700000026</v>
      </c>
      <c r="F131" s="330">
        <f>Inputs!$H46*'Output -Jobs vs Yr'!F104</f>
        <v>0.93900208499999993</v>
      </c>
      <c r="G131" s="330">
        <f>Inputs!$H46*'Output -Jobs vs Yr'!G104</f>
        <v>0.78014512800000002</v>
      </c>
      <c r="H131" s="286">
        <f>Inputs!$H46*'Output -Jobs vs Yr'!H104</f>
        <v>0.807685074</v>
      </c>
      <c r="I131" s="40">
        <f>Inputs!$H46*'Output -Jobs vs Yr'!I104</f>
        <v>1.0837511386741185</v>
      </c>
      <c r="J131" s="40">
        <f>Inputs!$H46*'Output -Jobs vs Yr'!J104</f>
        <v>1.4590304323527401</v>
      </c>
      <c r="K131" s="40">
        <f>Inputs!$H46*'Output -Jobs vs Yr'!K104</f>
        <v>1.9574959378950478</v>
      </c>
      <c r="L131" s="40">
        <f>Inputs!$H46*'Output -Jobs vs Yr'!L104</f>
        <v>2.5705236191830734</v>
      </c>
      <c r="M131" s="40">
        <f>Inputs!$H46*'Output -Jobs vs Yr'!M104</f>
        <v>3.3450752819789646</v>
      </c>
      <c r="N131" s="177">
        <f>Inputs!$H46*'Output -Jobs vs Yr'!N104</f>
        <v>4.2844049093692673</v>
      </c>
      <c r="O131" s="40">
        <f>Inputs!$H46*'Output -Jobs vs Yr'!O104</f>
        <v>4.2859319952751491</v>
      </c>
      <c r="P131" s="40">
        <f>Inputs!$H46*'Output -Jobs vs Yr'!P104</f>
        <v>4.2186171816337117</v>
      </c>
      <c r="Q131" s="40">
        <f>Inputs!$H46*'Output -Jobs vs Yr'!Q104</f>
        <v>4.1819017615937488</v>
      </c>
      <c r="R131" s="40">
        <f>Inputs!$H46*'Output -Jobs vs Yr'!R104</f>
        <v>4.1985782986253017</v>
      </c>
      <c r="S131" s="40">
        <f>Inputs!$H46*'Output -Jobs vs Yr'!S104</f>
        <v>4.2365645083225889</v>
      </c>
      <c r="T131" s="40">
        <f>Inputs!$H46*'Output -Jobs vs Yr'!T104</f>
        <v>4.1634528050883564</v>
      </c>
      <c r="U131" s="40">
        <f>Inputs!$H46*'Output -Jobs vs Yr'!U104</f>
        <v>4.0282670196780588</v>
      </c>
      <c r="V131" s="40">
        <f>Inputs!$H46*'Output -Jobs vs Yr'!V104</f>
        <v>4.0835670823361889</v>
      </c>
      <c r="W131" s="40">
        <f>Inputs!$H46*'Output -Jobs vs Yr'!W104</f>
        <v>3.9925415621546834</v>
      </c>
      <c r="X131" s="184">
        <f>Inputs!$H46*'Output -Jobs vs Yr'!X104</f>
        <v>4.1077836316026062</v>
      </c>
      <c r="Y131" s="271">
        <f>Inputs!$H46*'Output -Jobs vs Yr'!Y104</f>
        <v>4.1669654089064538</v>
      </c>
      <c r="Z131" s="271">
        <f>Inputs!$H46*'Output -Jobs vs Yr'!Z104</f>
        <v>4.2944350078674773</v>
      </c>
      <c r="AA131" s="271">
        <f>Inputs!$H46*'Output -Jobs vs Yr'!AA104</f>
        <v>4.4165578766871239</v>
      </c>
      <c r="AB131" s="271">
        <f>Inputs!$H46*'Output -Jobs vs Yr'!AB104</f>
        <v>4.4913531713697816</v>
      </c>
      <c r="AC131" s="271">
        <f>Inputs!$H46*'Output -Jobs vs Yr'!AC104</f>
        <v>4.4446067781506615</v>
      </c>
      <c r="AD131" s="271">
        <f>Inputs!$H46*'Output -Jobs vs Yr'!AD104</f>
        <v>4.4064503459165527</v>
      </c>
      <c r="AE131" s="271">
        <f>Inputs!$H46*'Output -Jobs vs Yr'!AE104</f>
        <v>4.3803141989295327</v>
      </c>
      <c r="AF131" s="271">
        <f>Inputs!$H46*'Output -Jobs vs Yr'!AF104</f>
        <v>4.3417621873946848</v>
      </c>
      <c r="AG131" s="271">
        <f>Inputs!$H46*'Output -Jobs vs Yr'!AG104</f>
        <v>4.2875876177662056</v>
      </c>
      <c r="AH131" s="184">
        <f>Inputs!$H46*'Output -Jobs vs Yr'!AH104</f>
        <v>4.1518203795725208</v>
      </c>
    </row>
    <row r="132" spans="1:35">
      <c r="A132" s="10" t="s">
        <v>50</v>
      </c>
      <c r="B132" s="35">
        <v>1</v>
      </c>
      <c r="C132" s="331">
        <f>C105*Inputs!$H49</f>
        <v>0</v>
      </c>
      <c r="D132" s="331">
        <f>D105*Inputs!$H49</f>
        <v>0</v>
      </c>
      <c r="E132" s="331">
        <f>E105*Inputs!$H49</f>
        <v>2.2500000000000003E-8</v>
      </c>
      <c r="F132" s="331">
        <f>F105*Inputs!$H49</f>
        <v>2.2500000000000003E-8</v>
      </c>
      <c r="G132" s="331">
        <f>G105*Inputs!$H49</f>
        <v>2.2500000000000003E-8</v>
      </c>
      <c r="H132" s="402">
        <f>H105*Inputs!$H49</f>
        <v>2.2500000000000003E-8</v>
      </c>
      <c r="I132" s="14">
        <f>I105*Inputs!$H49</f>
        <v>2.8233723354546099E-8</v>
      </c>
      <c r="J132" s="14">
        <f>J105*Inputs!$H49</f>
        <v>3.554684545130392E-8</v>
      </c>
      <c r="K132" s="14">
        <f>K105*Inputs!$H49</f>
        <v>4.4600087663534476E-8</v>
      </c>
      <c r="L132" s="14">
        <f>L105*Inputs!$H49</f>
        <v>5.4771491672457964E-8</v>
      </c>
      <c r="M132" s="14">
        <f>M105*Inputs!$H49</f>
        <v>6.6655653952554389E-8</v>
      </c>
      <c r="N132" s="182">
        <f>N105*Inputs!$H49</f>
        <v>7.9839853806121337E-8</v>
      </c>
      <c r="O132" s="14">
        <f>O105*Inputs!$H49</f>
        <v>7.9868311040685812E-8</v>
      </c>
      <c r="P132" s="14">
        <f>P105*Inputs!$H49</f>
        <v>7.8613899986220415E-8</v>
      </c>
      <c r="Q132" s="14">
        <f>Q105*Inputs!$H49</f>
        <v>7.7929708405258821E-8</v>
      </c>
      <c r="R132" s="14">
        <f>R105*Inputs!$H49</f>
        <v>7.8240475549531293E-8</v>
      </c>
      <c r="S132" s="14">
        <f>S105*Inputs!$H49</f>
        <v>7.8948348286360563E-8</v>
      </c>
      <c r="T132" s="14">
        <f>T105*Inputs!$H49</f>
        <v>7.7585912237197114E-8</v>
      </c>
      <c r="U132" s="14">
        <f>U105*Inputs!$H49</f>
        <v>7.5066726125674138E-8</v>
      </c>
      <c r="V132" s="14">
        <f>V105*Inputs!$H49</f>
        <v>7.6097242384405721E-8</v>
      </c>
      <c r="W132" s="14">
        <f>W105*Inputs!$H49</f>
        <v>7.4400982488889133E-8</v>
      </c>
      <c r="X132" s="187">
        <f>X105*Inputs!$H49</f>
        <v>7.6548517600922059E-8</v>
      </c>
      <c r="Y132" s="158">
        <f>Y105*Inputs!$H49</f>
        <v>7.7651369583374183E-8</v>
      </c>
      <c r="Z132" s="158">
        <f>Z105*Inputs!$H49</f>
        <v>8.0026764617470379E-8</v>
      </c>
      <c r="AA132" s="158">
        <f>AA105*Inputs!$H49</f>
        <v>8.2302523374917068E-8</v>
      </c>
      <c r="AB132" s="158">
        <f>AB105*Inputs!$H49</f>
        <v>8.3696333138273034E-8</v>
      </c>
      <c r="AC132" s="158">
        <f>AC105*Inputs!$H49</f>
        <v>8.2825214446289415E-8</v>
      </c>
      <c r="AD132" s="158">
        <f>AD105*Inputs!$H49</f>
        <v>8.2114169613745112E-8</v>
      </c>
      <c r="AE132" s="158">
        <f>AE105*Inputs!$H49</f>
        <v>8.1627122707899288E-8</v>
      </c>
      <c r="AF132" s="158">
        <f>AF105*Inputs!$H49</f>
        <v>8.0908706258010728E-8</v>
      </c>
      <c r="AG132" s="158">
        <f>AG105*Inputs!$H49</f>
        <v>7.9899163553564501E-8</v>
      </c>
      <c r="AH132" s="187">
        <f>AH105*Inputs!$H49</f>
        <v>7.736914207372254E-8</v>
      </c>
    </row>
    <row r="133" spans="1:35">
      <c r="A133" s="10" t="s">
        <v>119</v>
      </c>
      <c r="B133" s="35">
        <v>1</v>
      </c>
      <c r="C133" s="331">
        <f>C106*Inputs!$H50</f>
        <v>0</v>
      </c>
      <c r="D133" s="331">
        <f>D106*Inputs!$H50</f>
        <v>0</v>
      </c>
      <c r="E133" s="331">
        <f>E106*Inputs!$H50</f>
        <v>0</v>
      </c>
      <c r="F133" s="331">
        <f>F106*Inputs!$H50</f>
        <v>0</v>
      </c>
      <c r="G133" s="331">
        <f>G106*Inputs!$H50</f>
        <v>0</v>
      </c>
      <c r="H133" s="402">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1">
        <f>C107*Inputs!$H52</f>
        <v>19.574999999999999</v>
      </c>
      <c r="D134" s="331">
        <f>D107*Inputs!$H52</f>
        <v>24.065673233513301</v>
      </c>
      <c r="E134" s="331">
        <f>E107*Inputs!$H52</f>
        <v>30.498290293555765</v>
      </c>
      <c r="F134" s="331">
        <f>F107*Inputs!$H52</f>
        <v>36.655472884098408</v>
      </c>
      <c r="G134" s="331">
        <f>G107*Inputs!$H52</f>
        <v>43.655084013986496</v>
      </c>
      <c r="H134" s="402">
        <f>H107*Inputs!$H52</f>
        <v>23.604288610280694</v>
      </c>
      <c r="I134" s="14">
        <f>I107*Inputs!$H52</f>
        <v>29.619069999529078</v>
      </c>
      <c r="J134" s="14">
        <f>J107*Inputs!$H52</f>
        <v>37.290584806155081</v>
      </c>
      <c r="K134" s="14">
        <f>K107*Inputs!$H52</f>
        <v>46.787377778809322</v>
      </c>
      <c r="L134" s="14">
        <f>L107*Inputs!$H52</f>
        <v>57.456931310552577</v>
      </c>
      <c r="M134" s="14">
        <f>M107*Inputs!$H52</f>
        <v>69.922945892106299</v>
      </c>
      <c r="N134" s="182">
        <f>N107*Inputs!$H52</f>
        <v>83.752411691915952</v>
      </c>
      <c r="O134" s="14">
        <f>O107*Inputs!$H52</f>
        <v>83.782263475345289</v>
      </c>
      <c r="P134" s="14">
        <f>P107*Inputs!$H52</f>
        <v>82.466379915242612</v>
      </c>
      <c r="Q134" s="14">
        <f>Q107*Inputs!$H52</f>
        <v>81.748659475723912</v>
      </c>
      <c r="R134" s="14">
        <f>R107*Inputs!$H52</f>
        <v>82.074655786671968</v>
      </c>
      <c r="S134" s="14">
        <f>S107*Inputs!$H52</f>
        <v>82.817217878836814</v>
      </c>
      <c r="T134" s="14">
        <f>T107*Inputs!$H52</f>
        <v>81.388015551255677</v>
      </c>
      <c r="U134" s="14">
        <f>U107*Inputs!$H52</f>
        <v>78.745376539751732</v>
      </c>
      <c r="V134" s="14">
        <f>V107*Inputs!$H52</f>
        <v>79.826393323250457</v>
      </c>
      <c r="W134" s="14">
        <f>W107*Inputs!$H52</f>
        <v>78.047008087265695</v>
      </c>
      <c r="X134" s="187">
        <f>X107*Inputs!$H52</f>
        <v>80.299783314818086</v>
      </c>
      <c r="Y134" s="158">
        <f>Y107*Inputs!$H52</f>
        <v>81.456680639478463</v>
      </c>
      <c r="Z134" s="158">
        <f>Z107*Inputs!$H52</f>
        <v>83.94848208127047</v>
      </c>
      <c r="AA134" s="158">
        <f>AA107*Inputs!$H52</f>
        <v>86.335764563375207</v>
      </c>
      <c r="AB134" s="158">
        <f>AB107*Inputs!$H52</f>
        <v>87.797878076311676</v>
      </c>
      <c r="AC134" s="158">
        <f>AC107*Inputs!$H52</f>
        <v>86.884070148998774</v>
      </c>
      <c r="AD134" s="158">
        <f>AD107*Inputs!$H52</f>
        <v>86.138180512335964</v>
      </c>
      <c r="AE134" s="158">
        <f>AE107*Inputs!$H52</f>
        <v>85.627265837182279</v>
      </c>
      <c r="AF134" s="158">
        <f>AF107*Inputs!$H52</f>
        <v>84.87364333652711</v>
      </c>
      <c r="AG134" s="158">
        <f>AG107*Inputs!$H52</f>
        <v>83.814627917878283</v>
      </c>
      <c r="AH134" s="187">
        <f>AH107*Inputs!$H52</f>
        <v>81.160622550036962</v>
      </c>
    </row>
    <row r="135" spans="1:35">
      <c r="A135" s="9" t="s">
        <v>347</v>
      </c>
      <c r="B135" s="35">
        <v>1</v>
      </c>
      <c r="C135" s="331">
        <f>C108*Inputs!$H54</f>
        <v>0</v>
      </c>
      <c r="D135" s="331">
        <f>D108*Inputs!$H54</f>
        <v>110.04858</v>
      </c>
      <c r="E135" s="331">
        <f>E108*Inputs!$H54</f>
        <v>114.14478321241414</v>
      </c>
      <c r="F135" s="331">
        <f>F108*Inputs!$H54</f>
        <v>112.2141438718208</v>
      </c>
      <c r="G135" s="331">
        <f>G108*Inputs!$H54</f>
        <v>109.3136639203618</v>
      </c>
      <c r="H135" s="402">
        <f>H108*Inputs!$H54</f>
        <v>113.55045327871736</v>
      </c>
      <c r="I135" s="14">
        <f>I108*Inputs!$H54</f>
        <v>143.93390834825271</v>
      </c>
      <c r="J135" s="14">
        <f>J108*Inputs!$H54</f>
        <v>183.05628249280733</v>
      </c>
      <c r="K135" s="14">
        <f>K108*Inputs!$H54</f>
        <v>232.01063567896301</v>
      </c>
      <c r="L135" s="14">
        <f>L108*Inputs!$H54</f>
        <v>287.81628267514083</v>
      </c>
      <c r="M135" s="14">
        <f>M108*Inputs!$H54</f>
        <v>353.82327141515572</v>
      </c>
      <c r="N135" s="182">
        <f>N108*Inputs!$H54</f>
        <v>428.11233609992286</v>
      </c>
      <c r="O135" s="14">
        <f>O108*Inputs!$H54</f>
        <v>428.26492772663011</v>
      </c>
      <c r="P135" s="14">
        <f>P108*Inputs!$H54</f>
        <v>421.53860219676574</v>
      </c>
      <c r="Q135" s="14">
        <f>Q108*Inputs!$H54</f>
        <v>417.86987233189581</v>
      </c>
      <c r="R135" s="14">
        <f>R108*Inputs!$H54</f>
        <v>419.53624873133981</v>
      </c>
      <c r="S135" s="14">
        <f>S108*Inputs!$H54</f>
        <v>423.33196022852439</v>
      </c>
      <c r="T135" s="14">
        <f>T108*Inputs!$H54</f>
        <v>416.02638973974928</v>
      </c>
      <c r="U135" s="14">
        <f>U108*Inputs!$H54</f>
        <v>402.5181654650213</v>
      </c>
      <c r="V135" s="14">
        <f>V108*Inputs!$H54</f>
        <v>408.04393614072751</v>
      </c>
      <c r="W135" s="14">
        <f>W108*Inputs!$H54</f>
        <v>398.94835602774702</v>
      </c>
      <c r="X135" s="187">
        <f>X108*Inputs!$H54</f>
        <v>410.46373625253585</v>
      </c>
      <c r="Y135" s="158">
        <f>Y108*Inputs!$H54</f>
        <v>416.37738108117674</v>
      </c>
      <c r="Z135" s="158">
        <f>Z108*Inputs!$H54</f>
        <v>429.11457771578671</v>
      </c>
      <c r="AA135" s="158">
        <f>AA108*Inputs!$H54</f>
        <v>441.31751085762636</v>
      </c>
      <c r="AB135" s="158">
        <f>AB108*Inputs!$H54</f>
        <v>448.79131154015545</v>
      </c>
      <c r="AC135" s="158">
        <f>AC108*Inputs!$H54</f>
        <v>444.12025265832125</v>
      </c>
      <c r="AD135" s="158">
        <f>AD108*Inputs!$H54</f>
        <v>440.30753194528586</v>
      </c>
      <c r="AE135" s="158">
        <f>AE108*Inputs!$H54</f>
        <v>437.6959190889018</v>
      </c>
      <c r="AF135" s="158">
        <f>AF108*Inputs!$H54</f>
        <v>433.84367074434357</v>
      </c>
      <c r="AG135" s="158">
        <f>AG108*Inputs!$H54</f>
        <v>428.43036316686926</v>
      </c>
      <c r="AH135" s="187">
        <f>AH108*Inputs!$H54</f>
        <v>414.86403814893595</v>
      </c>
    </row>
    <row r="136" spans="1:35">
      <c r="A136" s="9" t="s">
        <v>348</v>
      </c>
      <c r="B136" s="35">
        <v>1</v>
      </c>
      <c r="C136" s="331">
        <f>C109*Inputs!$H55</f>
        <v>0</v>
      </c>
      <c r="D136" s="331">
        <f>D109*Inputs!$H55</f>
        <v>0</v>
      </c>
      <c r="E136" s="331">
        <f>E109*Inputs!$H55</f>
        <v>2.0700000000000003E-2</v>
      </c>
      <c r="F136" s="331">
        <f>F109*Inputs!$H55</f>
        <v>2.0700000000000003E-2</v>
      </c>
      <c r="G136" s="331">
        <f>G109*Inputs!$H55</f>
        <v>2.0700000000000003E-2</v>
      </c>
      <c r="H136" s="402">
        <f>H109*Inputs!$H55</f>
        <v>2.0700000000000003E-2</v>
      </c>
      <c r="I136" s="14">
        <f>I109*Inputs!$H55</f>
        <v>2.5975025486182409E-2</v>
      </c>
      <c r="J136" s="14">
        <f>J109*Inputs!$H55</f>
        <v>3.270309781519961E-2</v>
      </c>
      <c r="K136" s="14">
        <f>K109*Inputs!$H55</f>
        <v>4.1032080650451705E-2</v>
      </c>
      <c r="L136" s="14">
        <f>L109*Inputs!$H55</f>
        <v>5.0389772338661327E-2</v>
      </c>
      <c r="M136" s="14">
        <f>M109*Inputs!$H55</f>
        <v>6.1323201636350029E-2</v>
      </c>
      <c r="N136" s="187">
        <f>N109*Inputs!$H55</f>
        <v>7.3452665501631625E-2</v>
      </c>
      <c r="O136" s="14">
        <f>O109*Inputs!$H55</f>
        <v>7.3478846157430944E-2</v>
      </c>
      <c r="P136" s="14">
        <f>P109*Inputs!$H55</f>
        <v>7.2324787987322767E-2</v>
      </c>
      <c r="Q136" s="14">
        <f>Q109*Inputs!$H55</f>
        <v>7.1695331732838097E-2</v>
      </c>
      <c r="R136" s="14">
        <f>R109*Inputs!$H55</f>
        <v>7.1981237505568757E-2</v>
      </c>
      <c r="S136" s="14">
        <f>S109*Inputs!$H55</f>
        <v>7.263248042345169E-2</v>
      </c>
      <c r="T136" s="14">
        <f>T109*Inputs!$H55</f>
        <v>7.1379039258221325E-2</v>
      </c>
      <c r="U136" s="14">
        <f>U109*Inputs!$H55</f>
        <v>6.9061388035620189E-2</v>
      </c>
      <c r="V136" s="14">
        <f>V109*Inputs!$H55</f>
        <v>7.0009462993653238E-2</v>
      </c>
      <c r="W136" s="14">
        <f>W109*Inputs!$H55</f>
        <v>6.8448903889777979E-2</v>
      </c>
      <c r="X136" s="187">
        <f>X109*Inputs!$H55</f>
        <v>7.0424636192848306E-2</v>
      </c>
      <c r="Y136" s="158">
        <f>Y109*Inputs!$H55</f>
        <v>7.1439260016704281E-2</v>
      </c>
      <c r="Z136" s="158">
        <f>Z109*Inputs!$H55</f>
        <v>7.362462344807276E-2</v>
      </c>
      <c r="AA136" s="158">
        <f>AA109*Inputs!$H55</f>
        <v>7.5718321504923719E-2</v>
      </c>
      <c r="AB136" s="158">
        <f>AB109*Inputs!$H55</f>
        <v>7.7000626487211218E-2</v>
      </c>
      <c r="AC136" s="158">
        <f>AC109*Inputs!$H55</f>
        <v>7.6199197290586274E-2</v>
      </c>
      <c r="AD136" s="158">
        <f>AD109*Inputs!$H55</f>
        <v>7.5545036044645519E-2</v>
      </c>
      <c r="AE136" s="158">
        <f>AE109*Inputs!$H55</f>
        <v>7.5096952891267374E-2</v>
      </c>
      <c r="AF136" s="158">
        <f>AF109*Inputs!$H55</f>
        <v>7.4436009757369886E-2</v>
      </c>
      <c r="AG136" s="158">
        <f>AG109*Inputs!$H55</f>
        <v>7.3507230469279358E-2</v>
      </c>
      <c r="AH136" s="187">
        <f>AH109*Inputs!$H55</f>
        <v>7.1179610707824761E-2</v>
      </c>
    </row>
    <row r="137" spans="1:35">
      <c r="A137" s="9" t="s">
        <v>344</v>
      </c>
      <c r="B137" s="35">
        <v>1</v>
      </c>
      <c r="C137" s="331">
        <f>C110*Inputs!$H56</f>
        <v>2.16E-3</v>
      </c>
      <c r="D137" s="331">
        <f>D110*Inputs!$H56</f>
        <v>2.6555539616274987E-3</v>
      </c>
      <c r="E137" s="331">
        <f>E110*Inputs!$H56</f>
        <v>3.3654081654205109E-3</v>
      </c>
      <c r="F137" s="331">
        <f>F110*Inputs!$H56</f>
        <v>4.0448853078362485E-3</v>
      </c>
      <c r="G137" s="331">
        <f>G110*Inputs!$H56</f>
        <v>4.8173405459551082E-3</v>
      </c>
      <c r="H137" s="402">
        <f>H110*Inputs!$H56</f>
        <v>2.16E-3</v>
      </c>
      <c r="I137" s="14">
        <f>I110*Inputs!$H56</f>
        <v>2.7104374420364253E-3</v>
      </c>
      <c r="J137" s="14">
        <f>J110*Inputs!$H56</f>
        <v>3.4124971633251763E-3</v>
      </c>
      <c r="K137" s="14">
        <f>K110*Inputs!$H56</f>
        <v>4.2816084156993093E-3</v>
      </c>
      <c r="L137" s="14">
        <f>L110*Inputs!$H56</f>
        <v>5.2580632005559645E-3</v>
      </c>
      <c r="M137" s="14">
        <f>M110*Inputs!$H56</f>
        <v>6.3989427794452214E-3</v>
      </c>
      <c r="N137" s="187">
        <f>N110*Inputs!$H56</f>
        <v>7.6646259653876479E-3</v>
      </c>
      <c r="O137" s="14">
        <f>O110*Inputs!$H56</f>
        <v>7.667357859905838E-3</v>
      </c>
      <c r="P137" s="14">
        <f>P110*Inputs!$H56</f>
        <v>7.5469343986771589E-3</v>
      </c>
      <c r="Q137" s="14">
        <f>Q110*Inputs!$H56</f>
        <v>7.4812520069048472E-3</v>
      </c>
      <c r="R137" s="14">
        <f>R110*Inputs!$H56</f>
        <v>7.5110856527550035E-3</v>
      </c>
      <c r="S137" s="14">
        <f>S110*Inputs!$H56</f>
        <v>7.5790414354906122E-3</v>
      </c>
      <c r="T137" s="14">
        <f>T110*Inputs!$H56</f>
        <v>7.4482475747709208E-3</v>
      </c>
      <c r="U137" s="14">
        <f>U110*Inputs!$H56</f>
        <v>7.2064057080647162E-3</v>
      </c>
      <c r="V137" s="14">
        <f>V110*Inputs!$H56</f>
        <v>7.305335268902949E-3</v>
      </c>
      <c r="W137" s="14">
        <f>W110*Inputs!$H56</f>
        <v>7.1424943189333555E-3</v>
      </c>
      <c r="X137" s="187">
        <f>X110*Inputs!$H56</f>
        <v>7.3486576896885179E-3</v>
      </c>
      <c r="Y137" s="158">
        <f>Y110*Inputs!$H56</f>
        <v>7.4545314800039224E-3</v>
      </c>
      <c r="Z137" s="158">
        <f>Z110*Inputs!$H56</f>
        <v>7.6825694032771567E-3</v>
      </c>
      <c r="AA137" s="158">
        <f>AA110*Inputs!$H56</f>
        <v>7.9010422439920371E-3</v>
      </c>
      <c r="AB137" s="158">
        <f>AB110*Inputs!$H56</f>
        <v>8.0348479812742107E-3</v>
      </c>
      <c r="AC137" s="158">
        <f>AC110*Inputs!$H56</f>
        <v>7.9512205868437838E-3</v>
      </c>
      <c r="AD137" s="158">
        <f>AD110*Inputs!$H56</f>
        <v>7.8829602829195312E-3</v>
      </c>
      <c r="AE137" s="158">
        <f>AE110*Inputs!$H56</f>
        <v>7.8362037799583322E-3</v>
      </c>
      <c r="AF137" s="158">
        <f>AF110*Inputs!$H56</f>
        <v>7.7672358007690309E-3</v>
      </c>
      <c r="AG137" s="158">
        <f>AG110*Inputs!$H56</f>
        <v>7.6703197011421921E-3</v>
      </c>
      <c r="AH137" s="187">
        <f>AH110*Inputs!$H56</f>
        <v>7.4274376390773642E-3</v>
      </c>
    </row>
    <row r="138" spans="1:35">
      <c r="A138" s="10" t="s">
        <v>120</v>
      </c>
      <c r="B138" s="35">
        <v>1</v>
      </c>
      <c r="C138" s="331">
        <f>C111*Inputs!$H56</f>
        <v>0</v>
      </c>
      <c r="D138" s="331">
        <f>D111*Inputs!$H56</f>
        <v>0</v>
      </c>
      <c r="E138" s="331">
        <f>E111*Inputs!$H56</f>
        <v>0</v>
      </c>
      <c r="F138" s="331">
        <f>F111*Inputs!$H56</f>
        <v>0</v>
      </c>
      <c r="G138" s="331">
        <f>G111*Inputs!$H56</f>
        <v>0</v>
      </c>
      <c r="H138" s="402">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1">
        <f>C112*Inputs!$H57</f>
        <v>0</v>
      </c>
      <c r="D139" s="331">
        <f>D112*Inputs!$H57</f>
        <v>0.45900000000000002</v>
      </c>
      <c r="E139" s="331">
        <f>E112*Inputs!$H57</f>
        <v>0.13038739739413679</v>
      </c>
      <c r="F139" s="331">
        <f>F112*Inputs!$H57</f>
        <v>0.19439068631921824</v>
      </c>
      <c r="G139" s="331">
        <f>G112*Inputs!$H57</f>
        <v>0.32285372247556998</v>
      </c>
      <c r="H139" s="402">
        <f>H112*Inputs!$H57</f>
        <v>0.32763928338762205</v>
      </c>
      <c r="I139" s="14">
        <f>I112*Inputs!$H57</f>
        <v>0.80991701237785019</v>
      </c>
      <c r="J139" s="14">
        <f>J112*Inputs!$H57</f>
        <v>1.1355840908794788</v>
      </c>
      <c r="K139" s="14">
        <f>K112*Inputs!$H57</f>
        <v>1.2090513077140068</v>
      </c>
      <c r="L139" s="14">
        <f>L112*Inputs!$H57</f>
        <v>1.8265382759797966</v>
      </c>
      <c r="M139" s="14">
        <f>M112*Inputs!$H57</f>
        <v>2.7344903309521262</v>
      </c>
      <c r="N139" s="182">
        <f>N112*Inputs!$H57</f>
        <v>4.0292509905414349</v>
      </c>
      <c r="O139" s="14">
        <f>O112*Inputs!$H57</f>
        <v>4.0306871322061628</v>
      </c>
      <c r="P139" s="14">
        <f>P112*Inputs!$H57</f>
        <v>3.9673811923427893</v>
      </c>
      <c r="Q139" s="14">
        <f>Q112*Inputs!$H57</f>
        <v>3.9328523264457647</v>
      </c>
      <c r="R139" s="14">
        <f>R112*Inputs!$H57</f>
        <v>3.948535707165977</v>
      </c>
      <c r="S139" s="14">
        <f>S112*Inputs!$H57</f>
        <v>3.9842596819740068</v>
      </c>
      <c r="T139" s="14">
        <f>T112*Inputs!$H57</f>
        <v>3.9155020811150192</v>
      </c>
      <c r="U139" s="14">
        <f>U112*Inputs!$H57</f>
        <v>3.788367164762831</v>
      </c>
      <c r="V139" s="14">
        <f>V112*Inputs!$H57</f>
        <v>3.8403738814377673</v>
      </c>
      <c r="W139" s="14">
        <f>W112*Inputs!$H57</f>
        <v>3.7547693050463464</v>
      </c>
      <c r="X139" s="187">
        <f>X112*Inputs!$H57</f>
        <v>3.8631482356790849</v>
      </c>
      <c r="Y139" s="158">
        <f>Y112*Inputs!$H57</f>
        <v>3.9188054949409397</v>
      </c>
      <c r="Z139" s="158">
        <f>Z112*Inputs!$H57</f>
        <v>4.0386837554560584</v>
      </c>
      <c r="AA139" s="158">
        <f>AA112*Inputs!$H57</f>
        <v>4.1535337055817489</v>
      </c>
      <c r="AB139" s="158">
        <f>AB112*Inputs!$H57</f>
        <v>4.2238746330998032</v>
      </c>
      <c r="AC139" s="158">
        <f>AC112*Inputs!$H57</f>
        <v>4.1799121796980518</v>
      </c>
      <c r="AD139" s="158">
        <f>AD112*Inputs!$H57</f>
        <v>4.1440281198047861</v>
      </c>
      <c r="AE139" s="158">
        <f>AE112*Inputs!$H57</f>
        <v>4.1194484877755881</v>
      </c>
      <c r="AF139" s="158">
        <f>AF112*Inputs!$H57</f>
        <v>4.0831924069545478</v>
      </c>
      <c r="AG139" s="158">
        <f>AG112*Inputs!$H57</f>
        <v>4.0322441555742081</v>
      </c>
      <c r="AH139" s="187">
        <f>AH112*Inputs!$H57</f>
        <v>3.904562414341326</v>
      </c>
      <c r="AI139" s="31">
        <f>SUM(C139:X139)</f>
        <v>52.204979806196995</v>
      </c>
    </row>
    <row r="140" spans="1:35">
      <c r="A140" s="10" t="s">
        <v>383</v>
      </c>
      <c r="C140" s="331">
        <f t="shared" ref="C140:AH140" si="91">SUM(C127:C139)</f>
        <v>20.250809999999998</v>
      </c>
      <c r="D140" s="331">
        <f t="shared" si="91"/>
        <v>135.23968423678048</v>
      </c>
      <c r="E140" s="331">
        <f t="shared" si="91"/>
        <v>146.39804207499515</v>
      </c>
      <c r="F140" s="331">
        <f t="shared" si="91"/>
        <v>150.67636694139989</v>
      </c>
      <c r="G140" s="331">
        <f t="shared" si="91"/>
        <v>154.71556231240123</v>
      </c>
      <c r="H140" s="402">
        <f t="shared" si="91"/>
        <v>138.86305176457961</v>
      </c>
      <c r="I140" s="14">
        <f t="shared" si="91"/>
        <v>176.03888791644462</v>
      </c>
      <c r="J140" s="14">
        <f t="shared" si="91"/>
        <v>223.55683667137379</v>
      </c>
      <c r="K140" s="14">
        <f t="shared" si="91"/>
        <v>282.60318084841373</v>
      </c>
      <c r="L140" s="14">
        <f t="shared" si="91"/>
        <v>350.32073990128941</v>
      </c>
      <c r="M140" s="14">
        <f t="shared" si="91"/>
        <v>430.48445194865815</v>
      </c>
      <c r="N140" s="182">
        <f t="shared" si="91"/>
        <v>520.83736793214155</v>
      </c>
      <c r="O140" s="14">
        <f t="shared" si="91"/>
        <v>521.03055204469956</v>
      </c>
      <c r="P140" s="14">
        <f t="shared" si="91"/>
        <v>512.85440178377041</v>
      </c>
      <c r="Q140" s="14">
        <f t="shared" si="91"/>
        <v>508.39775774106823</v>
      </c>
      <c r="R140" s="14">
        <f t="shared" si="91"/>
        <v>510.4317314857513</v>
      </c>
      <c r="S140" s="14">
        <f t="shared" si="91"/>
        <v>515.05620439789311</v>
      </c>
      <c r="T140" s="14">
        <f t="shared" si="91"/>
        <v>506.17375625027984</v>
      </c>
      <c r="U140" s="14">
        <f t="shared" si="91"/>
        <v>489.74408561668156</v>
      </c>
      <c r="V140" s="14">
        <f t="shared" si="91"/>
        <v>496.47274387877025</v>
      </c>
      <c r="W140" s="14">
        <f t="shared" si="91"/>
        <v>485.41113052348459</v>
      </c>
      <c r="X140" s="187">
        <f t="shared" si="91"/>
        <v>499.42723036928084</v>
      </c>
      <c r="Y140" s="158">
        <f t="shared" si="91"/>
        <v>506.62223913300375</v>
      </c>
      <c r="Z140" s="158">
        <f t="shared" si="91"/>
        <v>522.11970777976296</v>
      </c>
      <c r="AA140" s="158">
        <f t="shared" si="91"/>
        <v>536.96709694199785</v>
      </c>
      <c r="AB140" s="158">
        <f t="shared" si="91"/>
        <v>546.06036160977874</v>
      </c>
      <c r="AC140" s="158">
        <f t="shared" si="91"/>
        <v>540.37654102070394</v>
      </c>
      <c r="AD140" s="158">
        <f t="shared" si="91"/>
        <v>535.7370975035949</v>
      </c>
      <c r="AE140" s="158">
        <f t="shared" si="91"/>
        <v>532.55908807836636</v>
      </c>
      <c r="AF140" s="158">
        <f t="shared" si="91"/>
        <v>527.87156194581905</v>
      </c>
      <c r="AG140" s="158">
        <f t="shared" si="91"/>
        <v>521.28465265098407</v>
      </c>
      <c r="AH140" s="187">
        <f t="shared" si="91"/>
        <v>504.77772757915892</v>
      </c>
      <c r="AI140" s="48" t="s">
        <v>0</v>
      </c>
    </row>
    <row r="141" spans="1:35">
      <c r="A141" s="10" t="s">
        <v>386</v>
      </c>
      <c r="C141" s="331">
        <f>SUM(C128:C130)</f>
        <v>0.67365000000000008</v>
      </c>
      <c r="D141" s="331">
        <f t="shared" ref="D141:AH141" si="92">SUM(D128:D130)</f>
        <v>0.663775449305534</v>
      </c>
      <c r="E141" s="331">
        <f t="shared" si="92"/>
        <v>0.67391621396565815</v>
      </c>
      <c r="F141" s="331">
        <f t="shared" si="92"/>
        <v>0.64861250635361134</v>
      </c>
      <c r="G141" s="331">
        <f t="shared" si="92"/>
        <v>0.61829816453138686</v>
      </c>
      <c r="H141" s="402">
        <f t="shared" si="92"/>
        <v>0.55012549569393998</v>
      </c>
      <c r="I141" s="14">
        <f t="shared" si="92"/>
        <v>0.56355592644893426</v>
      </c>
      <c r="J141" s="14">
        <f t="shared" si="92"/>
        <v>0.57923921865377059</v>
      </c>
      <c r="K141" s="14">
        <f t="shared" si="92"/>
        <v>0.5933064113661789</v>
      </c>
      <c r="L141" s="14">
        <f t="shared" si="92"/>
        <v>0.59481613012248369</v>
      </c>
      <c r="M141" s="14">
        <f t="shared" si="92"/>
        <v>0.59094681739359189</v>
      </c>
      <c r="N141" s="187">
        <f t="shared" si="92"/>
        <v>0.57784686908519933</v>
      </c>
      <c r="O141" s="14">
        <f t="shared" si="92"/>
        <v>0.58559543135734238</v>
      </c>
      <c r="P141" s="14">
        <f t="shared" si="92"/>
        <v>0.58354949678563039</v>
      </c>
      <c r="Q141" s="14">
        <f t="shared" si="92"/>
        <v>0.58529518373956457</v>
      </c>
      <c r="R141" s="14">
        <f t="shared" si="92"/>
        <v>0.59422056054944039</v>
      </c>
      <c r="S141" s="14">
        <f t="shared" si="92"/>
        <v>0.60599049942809113</v>
      </c>
      <c r="T141" s="14">
        <f t="shared" si="92"/>
        <v>0.60156870865267908</v>
      </c>
      <c r="U141" s="14">
        <f t="shared" si="92"/>
        <v>0.58764155865722778</v>
      </c>
      <c r="V141" s="14">
        <f t="shared" si="92"/>
        <v>0.60115857665857375</v>
      </c>
      <c r="W141" s="14">
        <f t="shared" si="92"/>
        <v>0.59286406866113428</v>
      </c>
      <c r="X141" s="187">
        <f t="shared" si="92"/>
        <v>0.61500556421409147</v>
      </c>
      <c r="Y141" s="158">
        <f t="shared" si="92"/>
        <v>0.62351263935310586</v>
      </c>
      <c r="Z141" s="158">
        <f t="shared" si="92"/>
        <v>0.64222194650416997</v>
      </c>
      <c r="AA141" s="158">
        <f t="shared" si="92"/>
        <v>0.66011049267595301</v>
      </c>
      <c r="AB141" s="158">
        <f t="shared" si="92"/>
        <v>0.67090863067710538</v>
      </c>
      <c r="AC141" s="158">
        <f t="shared" si="92"/>
        <v>0.66354875483253561</v>
      </c>
      <c r="AD141" s="158">
        <f t="shared" si="92"/>
        <v>0.65747850180993805</v>
      </c>
      <c r="AE141" s="158">
        <f t="shared" si="92"/>
        <v>0.65320722727884484</v>
      </c>
      <c r="AF141" s="158">
        <f t="shared" si="92"/>
        <v>0.64708994413217258</v>
      </c>
      <c r="AG141" s="158">
        <f t="shared" si="92"/>
        <v>0.63865216282660708</v>
      </c>
      <c r="AH141" s="187">
        <f t="shared" si="92"/>
        <v>0.6180769605560914</v>
      </c>
      <c r="AI141" s="48"/>
    </row>
    <row r="142" spans="1:35">
      <c r="A142" s="10" t="s">
        <v>385</v>
      </c>
      <c r="C142" s="330">
        <f t="shared" ref="C142:AH142" si="93">SUMPRODUCT($B131:$B139,C131:C139)</f>
        <v>19.577159999999999</v>
      </c>
      <c r="D142" s="330">
        <f t="shared" si="93"/>
        <v>134.57590878747493</v>
      </c>
      <c r="E142" s="330">
        <f t="shared" si="93"/>
        <v>145.72412586102948</v>
      </c>
      <c r="F142" s="330">
        <f t="shared" si="93"/>
        <v>150.02775443504629</v>
      </c>
      <c r="G142" s="330">
        <f t="shared" si="93"/>
        <v>154.09726414786985</v>
      </c>
      <c r="H142" s="286">
        <f t="shared" si="93"/>
        <v>138.31292626888566</v>
      </c>
      <c r="I142" s="40">
        <f t="shared" si="93"/>
        <v>175.47533198999571</v>
      </c>
      <c r="J142" s="40">
        <f t="shared" si="93"/>
        <v>222.97759745272</v>
      </c>
      <c r="K142" s="40">
        <f t="shared" si="93"/>
        <v>282.00987443704759</v>
      </c>
      <c r="L142" s="40">
        <f t="shared" si="93"/>
        <v>349.72592377116689</v>
      </c>
      <c r="M142" s="40">
        <f t="shared" si="93"/>
        <v>429.89350513126453</v>
      </c>
      <c r="N142" s="177">
        <f t="shared" si="93"/>
        <v>520.25952106305635</v>
      </c>
      <c r="O142" s="40">
        <f t="shared" si="93"/>
        <v>520.44495661334224</v>
      </c>
      <c r="P142" s="40">
        <f t="shared" si="93"/>
        <v>512.27085228698479</v>
      </c>
      <c r="Q142" s="40">
        <f t="shared" si="93"/>
        <v>507.81246255732867</v>
      </c>
      <c r="R142" s="40">
        <f t="shared" si="93"/>
        <v>509.83751092520185</v>
      </c>
      <c r="S142" s="40">
        <f t="shared" si="93"/>
        <v>514.45021389846511</v>
      </c>
      <c r="T142" s="40">
        <f t="shared" si="93"/>
        <v>505.57218754162716</v>
      </c>
      <c r="U142" s="40">
        <f t="shared" si="93"/>
        <v>489.15644405802431</v>
      </c>
      <c r="V142" s="40">
        <f t="shared" si="93"/>
        <v>495.87158530211167</v>
      </c>
      <c r="W142" s="40">
        <f t="shared" si="93"/>
        <v>484.81826645482346</v>
      </c>
      <c r="X142" s="184">
        <f t="shared" si="93"/>
        <v>498.81222480506671</v>
      </c>
      <c r="Y142" s="271">
        <f t="shared" si="93"/>
        <v>505.99872649365068</v>
      </c>
      <c r="Z142" s="271">
        <f t="shared" si="93"/>
        <v>521.47748583325881</v>
      </c>
      <c r="AA142" s="271">
        <f t="shared" si="93"/>
        <v>536.30698644932193</v>
      </c>
      <c r="AB142" s="271">
        <f t="shared" si="93"/>
        <v>545.38945297910163</v>
      </c>
      <c r="AC142" s="271">
        <f t="shared" si="93"/>
        <v>539.71299226587143</v>
      </c>
      <c r="AD142" s="271">
        <f t="shared" si="93"/>
        <v>535.07961900178498</v>
      </c>
      <c r="AE142" s="271">
        <f t="shared" si="93"/>
        <v>531.90588085108755</v>
      </c>
      <c r="AF142" s="271">
        <f t="shared" si="93"/>
        <v>527.22447200168688</v>
      </c>
      <c r="AG142" s="271">
        <f t="shared" si="93"/>
        <v>520.64600048815748</v>
      </c>
      <c r="AH142" s="184">
        <f t="shared" si="93"/>
        <v>504.15965061860283</v>
      </c>
    </row>
    <row r="143" spans="1:35">
      <c r="A143" s="10" t="s">
        <v>142</v>
      </c>
      <c r="C143" s="331">
        <f>C116*Inputs!$H$60</f>
        <v>521.75970000000007</v>
      </c>
      <c r="D143" s="331">
        <f>D116*Inputs!$H$60</f>
        <v>0</v>
      </c>
      <c r="E143" s="331">
        <f>E116*Inputs!$H$60</f>
        <v>0</v>
      </c>
      <c r="F143" s="331">
        <f>F116*Inputs!$H$60</f>
        <v>0</v>
      </c>
      <c r="G143" s="331">
        <f>G116*Inputs!$H$60</f>
        <v>0</v>
      </c>
      <c r="H143" s="402">
        <f>H116*Inputs!$H$60</f>
        <v>0</v>
      </c>
      <c r="I143" s="14">
        <f>I116*Inputs!$H$60</f>
        <v>0</v>
      </c>
      <c r="J143" s="14">
        <f>J116*Inputs!$H$60</f>
        <v>0</v>
      </c>
      <c r="K143" s="14">
        <f>K116*Inputs!$H$60</f>
        <v>0</v>
      </c>
      <c r="L143" s="14">
        <f>L116*Inputs!$H$60</f>
        <v>0</v>
      </c>
      <c r="M143" s="14">
        <f>M116*Inputs!$H$60</f>
        <v>0</v>
      </c>
      <c r="N143" s="182">
        <f>N116*Inputs!$H$60</f>
        <v>0</v>
      </c>
      <c r="O143" s="14">
        <f>O116*Inputs!$H$60</f>
        <v>0</v>
      </c>
      <c r="P143" s="14">
        <f>P116*Inputs!$H$60</f>
        <v>0</v>
      </c>
      <c r="Q143" s="14">
        <f>Q116*Inputs!$H$60</f>
        <v>0</v>
      </c>
      <c r="R143" s="14">
        <f>R116*Inputs!$H$60</f>
        <v>0</v>
      </c>
      <c r="S143" s="14">
        <f>S116*Inputs!$H$60</f>
        <v>0</v>
      </c>
      <c r="T143" s="14">
        <f>T116*Inputs!$H$60</f>
        <v>0</v>
      </c>
      <c r="U143" s="14">
        <f>U116*Inputs!$H$60</f>
        <v>0</v>
      </c>
      <c r="V143" s="14">
        <f>V116*Inputs!$H$60</f>
        <v>0</v>
      </c>
      <c r="W143" s="14">
        <f>W116*Inputs!$H$60</f>
        <v>0</v>
      </c>
      <c r="X143" s="187">
        <f>X116*Inputs!$H$60</f>
        <v>0</v>
      </c>
      <c r="Y143" s="158">
        <f>Y116*Inputs!$H$60</f>
        <v>0</v>
      </c>
      <c r="Z143" s="158">
        <f>Z116*Inputs!$H$60</f>
        <v>0</v>
      </c>
      <c r="AA143" s="158">
        <f>AA116*Inputs!$H$60</f>
        <v>0</v>
      </c>
      <c r="AB143" s="158">
        <f>AB116*Inputs!$H$60</f>
        <v>0</v>
      </c>
      <c r="AC143" s="158">
        <f>AC116*Inputs!$H$60</f>
        <v>0</v>
      </c>
      <c r="AD143" s="158">
        <f>AD116*Inputs!$H$60</f>
        <v>0</v>
      </c>
      <c r="AE143" s="158">
        <f>AE116*Inputs!$H$60</f>
        <v>0</v>
      </c>
      <c r="AF143" s="158">
        <f>AF116*Inputs!$H$60</f>
        <v>0</v>
      </c>
      <c r="AG143" s="158">
        <f>AG116*Inputs!$H$60</f>
        <v>0</v>
      </c>
      <c r="AH143" s="187">
        <f>AH116*Inputs!$H$60</f>
        <v>0</v>
      </c>
      <c r="AI143" s="48"/>
    </row>
    <row r="144" spans="1:35">
      <c r="A144" s="10" t="s">
        <v>222</v>
      </c>
      <c r="C144" s="331">
        <f>C117*Inputs!$H$61</f>
        <v>223.61130000000003</v>
      </c>
      <c r="D144" s="331">
        <f>D117*Inputs!$H$61</f>
        <v>731.21663383703378</v>
      </c>
      <c r="E144" s="331">
        <f>E117*Inputs!$H$61</f>
        <v>754.44382940541823</v>
      </c>
      <c r="F144" s="331">
        <f>F117*Inputs!$H$61</f>
        <v>736.87255886358389</v>
      </c>
      <c r="G144" s="331">
        <f>G117*Inputs!$H$61</f>
        <v>711.9716183071331</v>
      </c>
      <c r="H144" s="402">
        <f>H117*Inputs!$H$61</f>
        <v>755.51744513002348</v>
      </c>
      <c r="I144" s="14">
        <f>I117*Inputs!$H$61</f>
        <v>767.13814833348818</v>
      </c>
      <c r="J144" s="14">
        <f>J117*Inputs!$H$61</f>
        <v>779.71603633672601</v>
      </c>
      <c r="K144" s="14">
        <f>K117*Inputs!$H$61</f>
        <v>787.58038150358675</v>
      </c>
      <c r="L144" s="14">
        <f>L117*Inputs!$H$61</f>
        <v>774.98369088412528</v>
      </c>
      <c r="M144" s="14">
        <f>M117*Inputs!$H$61</f>
        <v>751.58969793007805</v>
      </c>
      <c r="N144" s="182">
        <f>N117*Inputs!$H$61</f>
        <v>712.2991688572838</v>
      </c>
      <c r="O144" s="14">
        <f>O117*Inputs!$H$61</f>
        <v>702.01388094187166</v>
      </c>
      <c r="P144" s="14">
        <f>P117*Inputs!$H$61</f>
        <v>680.72755879280874</v>
      </c>
      <c r="Q144" s="14">
        <f>Q117*Inputs!$H$61</f>
        <v>664.75103502408103</v>
      </c>
      <c r="R144" s="14">
        <f>R117*Inputs!$H$61</f>
        <v>657.45910521683754</v>
      </c>
      <c r="S144" s="14">
        <f>S117*Inputs!$H$61</f>
        <v>653.49369189843981</v>
      </c>
      <c r="T144" s="14">
        <f>T117*Inputs!$H$61</f>
        <v>632.56277090840638</v>
      </c>
      <c r="U144" s="14">
        <f>U117*Inputs!$H$61</f>
        <v>602.76142412129286</v>
      </c>
      <c r="V144" s="14">
        <f>V117*Inputs!$H$61</f>
        <v>601.83651587465681</v>
      </c>
      <c r="W144" s="14">
        <f>W117*Inputs!$H$61</f>
        <v>579.47985251437797</v>
      </c>
      <c r="X144" s="187">
        <f>X117*Inputs!$H$61</f>
        <v>587.20773148578087</v>
      </c>
      <c r="Y144" s="158">
        <f>Y117*Inputs!$H$61</f>
        <v>595.59483933649642</v>
      </c>
      <c r="Z144" s="158">
        <f>Z117*Inputs!$H$61</f>
        <v>613.77707175423484</v>
      </c>
      <c r="AA144" s="158">
        <f>AA117*Inputs!$H$61</f>
        <v>631.19000141098581</v>
      </c>
      <c r="AB144" s="158">
        <f>AB117*Inputs!$H$61</f>
        <v>641.81652960556517</v>
      </c>
      <c r="AC144" s="158">
        <f>AC117*Inputs!$H$61</f>
        <v>635.01856254069196</v>
      </c>
      <c r="AD144" s="158">
        <f>AD117*Inputs!$H$61</f>
        <v>629.44589383216248</v>
      </c>
      <c r="AE144" s="158">
        <f>AE117*Inputs!$H$61</f>
        <v>625.60133535446414</v>
      </c>
      <c r="AF144" s="158">
        <f>AF117*Inputs!$H$61</f>
        <v>619.97435317670431</v>
      </c>
      <c r="AG144" s="158">
        <f>AG117*Inputs!$H$61</f>
        <v>612.10781830403891</v>
      </c>
      <c r="AH144" s="187">
        <f>AH117*Inputs!$H$61</f>
        <v>592.54217977307655</v>
      </c>
      <c r="AI144" s="48"/>
    </row>
    <row r="145" spans="1:35">
      <c r="A145" s="10" t="s">
        <v>58</v>
      </c>
      <c r="C145" s="331">
        <f>SUM(C140,C143,C144)</f>
        <v>765.6218100000001</v>
      </c>
      <c r="D145" s="331">
        <f>SUM(D140,D143,D144)</f>
        <v>866.45631807381426</v>
      </c>
      <c r="E145" s="331">
        <f t="shared" ref="E145:AH145" si="94">SUM(E140,E143,E144)</f>
        <v>900.84187148041337</v>
      </c>
      <c r="F145" s="331">
        <f t="shared" si="94"/>
        <v>887.54892580498381</v>
      </c>
      <c r="G145" s="331">
        <f t="shared" si="94"/>
        <v>866.68718061953427</v>
      </c>
      <c r="H145" s="402">
        <f t="shared" si="94"/>
        <v>894.38049689460308</v>
      </c>
      <c r="I145" s="14">
        <f t="shared" si="94"/>
        <v>943.17703624993283</v>
      </c>
      <c r="J145" s="14">
        <f t="shared" si="94"/>
        <v>1003.2728730080999</v>
      </c>
      <c r="K145" s="14">
        <f t="shared" si="94"/>
        <v>1070.1835623520005</v>
      </c>
      <c r="L145" s="14">
        <f t="shared" si="94"/>
        <v>1125.3044307854148</v>
      </c>
      <c r="M145" s="14">
        <f t="shared" si="94"/>
        <v>1182.0741498787361</v>
      </c>
      <c r="N145" s="187">
        <f t="shared" si="94"/>
        <v>1233.1365367894255</v>
      </c>
      <c r="O145" s="14">
        <f t="shared" si="94"/>
        <v>1223.0444329865713</v>
      </c>
      <c r="P145" s="14">
        <f t="shared" si="94"/>
        <v>1193.5819605765791</v>
      </c>
      <c r="Q145" s="14">
        <f t="shared" si="94"/>
        <v>1173.1487927651492</v>
      </c>
      <c r="R145" s="14">
        <f t="shared" si="94"/>
        <v>1167.8908367025888</v>
      </c>
      <c r="S145" s="14">
        <f t="shared" si="94"/>
        <v>1168.5498962963329</v>
      </c>
      <c r="T145" s="14">
        <f t="shared" si="94"/>
        <v>1138.7365271586862</v>
      </c>
      <c r="U145" s="14">
        <f t="shared" si="94"/>
        <v>1092.5055097379745</v>
      </c>
      <c r="V145" s="14">
        <f t="shared" si="94"/>
        <v>1098.3092597534271</v>
      </c>
      <c r="W145" s="14">
        <f t="shared" si="94"/>
        <v>1064.8909830378625</v>
      </c>
      <c r="X145" s="187">
        <f t="shared" si="94"/>
        <v>1086.6349618550616</v>
      </c>
      <c r="Y145" s="158">
        <f t="shared" si="94"/>
        <v>1102.2170784695002</v>
      </c>
      <c r="Z145" s="158">
        <f t="shared" si="94"/>
        <v>1135.8967795339977</v>
      </c>
      <c r="AA145" s="158">
        <f t="shared" si="94"/>
        <v>1168.1570983529837</v>
      </c>
      <c r="AB145" s="158">
        <f t="shared" si="94"/>
        <v>1187.8768912153439</v>
      </c>
      <c r="AC145" s="158">
        <f t="shared" si="94"/>
        <v>1175.3951035613959</v>
      </c>
      <c r="AD145" s="158">
        <f t="shared" si="94"/>
        <v>1165.1829913357574</v>
      </c>
      <c r="AE145" s="158">
        <f t="shared" si="94"/>
        <v>1158.1604234328306</v>
      </c>
      <c r="AF145" s="158">
        <f t="shared" si="94"/>
        <v>1147.8459151225234</v>
      </c>
      <c r="AG145" s="158">
        <f t="shared" si="94"/>
        <v>1133.3924709550229</v>
      </c>
      <c r="AH145" s="187">
        <f t="shared" si="94"/>
        <v>1097.3199073522355</v>
      </c>
      <c r="AI145" s="48"/>
    </row>
    <row r="146" spans="1:35" s="1" customFormat="1">
      <c r="A146" s="1" t="s">
        <v>335</v>
      </c>
      <c r="B146" s="13"/>
      <c r="C146" s="341">
        <f>C145-'Output - Jobs vs Yr (BAU)'!C73</f>
        <v>-9.9269999999933134E-2</v>
      </c>
      <c r="D146" s="341">
        <f>D145-'Output - Jobs vs Yr (BAU)'!D73</f>
        <v>-13.804341926185771</v>
      </c>
      <c r="E146" s="341">
        <f>E145-'Output - Jobs vs Yr (BAU)'!E73</f>
        <v>-13.067902611079489</v>
      </c>
      <c r="F146" s="341">
        <f>F145-'Output - Jobs vs Yr (BAU)'!F73</f>
        <v>-12.469295884130133</v>
      </c>
      <c r="G146" s="341">
        <f>G145-'Output - Jobs vs Yr (BAU)'!G73</f>
        <v>-12.490113894156138</v>
      </c>
      <c r="H146" s="405">
        <f>H145-'Output - Jobs vs Yr (BAU)'!H73</f>
        <v>-18.142021443532258</v>
      </c>
      <c r="I146" s="15">
        <f>I145-'Output - Jobs vs Yr (BAU)'!I73</f>
        <v>9.8375996606940816</v>
      </c>
      <c r="J146" s="15">
        <f>J145-'Output - Jobs vs Yr (BAU)'!J73</f>
        <v>45.205022563373859</v>
      </c>
      <c r="K146" s="15">
        <f>K145-'Output - Jobs vs Yr (BAU)'!K73</f>
        <v>87.070640917110609</v>
      </c>
      <c r="L146" s="15">
        <f>L145-'Output - Jobs vs Yr (BAU)'!L73</f>
        <v>137.90557058287811</v>
      </c>
      <c r="M146" s="15">
        <f>M145-'Output - Jobs vs Yr (BAU)'!M73</f>
        <v>199.33981463978421</v>
      </c>
      <c r="N146" s="182">
        <f>N145-'Output - Jobs vs Yr (BAU)'!N73</f>
        <v>270.40939873106606</v>
      </c>
      <c r="O146" s="15">
        <f>O145-'Output - Jobs vs Yr (BAU)'!O73</f>
        <v>272.2931499948495</v>
      </c>
      <c r="P146" s="15">
        <f>P145-'Output - Jobs vs Yr (BAU)'!P73</f>
        <v>269.36117796836254</v>
      </c>
      <c r="Q146" s="15">
        <f>Q145-'Output - Jobs vs Yr (BAU)'!Q73</f>
        <v>268.67572374613746</v>
      </c>
      <c r="R146" s="15">
        <f>R145-'Output - Jobs vs Yr (BAU)'!R73</f>
        <v>271.17190678782686</v>
      </c>
      <c r="S146" s="15">
        <f>S145-'Output - Jobs vs Yr (BAU)'!S73</f>
        <v>274.97150270942529</v>
      </c>
      <c r="T146" s="15">
        <f>T145-'Output - Jobs vs Yr (BAU)'!T73</f>
        <v>271.56991267880642</v>
      </c>
      <c r="U146" s="15">
        <f>U145-'Output - Jobs vs Yr (BAU)'!U73</f>
        <v>264.23864708493659</v>
      </c>
      <c r="V146" s="15">
        <f>V145-'Output - Jobs vs Yr (BAU)'!V73</f>
        <v>269.56962968780351</v>
      </c>
      <c r="W146" s="15">
        <f>W145-'Output - Jobs vs Yr (BAU)'!W73</f>
        <v>264.84330862503896</v>
      </c>
      <c r="X146" s="190">
        <f>X145-'Output - Jobs vs Yr (BAU)'!X73</f>
        <v>273.84717627435975</v>
      </c>
      <c r="Y146" s="130">
        <f>Y145-'Output - Jobs vs Yr (BAU)'!Y73</f>
        <v>277.81354014128488</v>
      </c>
      <c r="Z146" s="130">
        <f>Z145-'Output - Jobs vs Yr (BAU)'!Z73</f>
        <v>286.35525188414999</v>
      </c>
      <c r="AA146" s="130">
        <f>AA145-'Output - Jobs vs Yr (BAU)'!AA73</f>
        <v>294.68756542400604</v>
      </c>
      <c r="AB146" s="130">
        <f>AB145-'Output - Jobs vs Yr (BAU)'!AB73</f>
        <v>299.91014085150528</v>
      </c>
      <c r="AC146" s="130">
        <f>AC145-'Output - Jobs vs Yr (BAU)'!AC73</f>
        <v>296.80925201174284</v>
      </c>
      <c r="AD146" s="130">
        <f>AD145-'Output - Jobs vs Yr (BAU)'!AD73</f>
        <v>294.68257247072427</v>
      </c>
      <c r="AE146" s="130">
        <f>AE145-'Output - Jobs vs Yr (BAU)'!AE73</f>
        <v>293.31996685566287</v>
      </c>
      <c r="AF146" s="130">
        <f>AF145-'Output - Jobs vs Yr (BAU)'!AF73</f>
        <v>290.59858768168078</v>
      </c>
      <c r="AG146" s="130">
        <f>AG145-'Output - Jobs vs Yr (BAU)'!AG73</f>
        <v>287.11201215795427</v>
      </c>
      <c r="AH146" s="190">
        <f>AH145-'Output - Jobs vs Yr (BAU)'!AH73</f>
        <v>278.11664517486565</v>
      </c>
    </row>
    <row r="147" spans="1:35" s="1" customFormat="1">
      <c r="A147" s="11"/>
      <c r="B147" s="13"/>
      <c r="C147" s="328"/>
      <c r="D147" s="341"/>
      <c r="E147" s="341"/>
      <c r="F147" s="341"/>
      <c r="G147" s="341"/>
      <c r="H147" s="405"/>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80"/>
    </row>
    <row r="148" spans="1:35" hidden="1">
      <c r="A148" s="1" t="s">
        <v>199</v>
      </c>
    </row>
    <row r="149" spans="1:35" hidden="1">
      <c r="A149" s="20" t="s">
        <v>197</v>
      </c>
      <c r="C149" s="333">
        <f>'backup - EIA liq_fuelS_aeo2014'!E44</f>
        <v>7088.7783050537164</v>
      </c>
      <c r="D149" s="333">
        <f>'backup - EIA liq_fuelS_aeo2014'!F44</f>
        <v>7149.5953941345133</v>
      </c>
      <c r="E149" s="333">
        <f>'backup - EIA liq_fuelS_aeo2014'!G44</f>
        <v>6912.5827950000003</v>
      </c>
      <c r="F149" s="333">
        <f>'backup - EIA liq_fuelS_aeo2014'!H44</f>
        <v>6786.185485</v>
      </c>
      <c r="G149" s="333">
        <f>'backup - EIA liq_fuelS_aeo2014'!I44</f>
        <v>6929.6414350000005</v>
      </c>
      <c r="H149" s="406">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0">
        <f>'backup - EIA liq_fuelS_aeo2014'!Z44</f>
        <v>6908.05278</v>
      </c>
    </row>
    <row r="150" spans="1:35" hidden="1">
      <c r="A150" s="20" t="s">
        <v>198</v>
      </c>
      <c r="C150" s="333">
        <f>'backup - EIA liq_fuelS_aeo2014'!E44</f>
        <v>7088.7783050537164</v>
      </c>
      <c r="D150" s="333">
        <f>'backup - EIA liq_fuelS_aeo2014'!F44</f>
        <v>7149.5953941345133</v>
      </c>
      <c r="E150" s="333">
        <f>'backup - EIA liq_fuelS_aeo2014'!G44</f>
        <v>6912.5827950000003</v>
      </c>
      <c r="F150" s="333">
        <f>'backup - EIA liq_fuelS_aeo2014'!H44</f>
        <v>6786.185485</v>
      </c>
      <c r="G150" s="333">
        <f>'backup - EIA liq_fuelS_aeo2014'!I44</f>
        <v>6929.6414350000005</v>
      </c>
      <c r="H150" s="406">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0">
        <f>'backup - EIA liq_fuelS_aeo2014'!Z44</f>
        <v>6908.05278</v>
      </c>
    </row>
    <row r="151" spans="1:35" hidden="1">
      <c r="A151" s="20" t="s">
        <v>200</v>
      </c>
      <c r="C151" s="342">
        <f>'backup - EIA liq_fuelS_aeo2014'!E46</f>
        <v>273.77869168296451</v>
      </c>
      <c r="D151" s="342">
        <f>'backup - EIA liq_fuelS_aeo2014'!F46</f>
        <v>330.59007454663532</v>
      </c>
      <c r="E151" s="342">
        <f>'backup - EIA liq_fuelS_aeo2014'!G46</f>
        <v>346.41273999999999</v>
      </c>
      <c r="F151" s="342">
        <f>'backup - EIA liq_fuelS_aeo2014'!H46</f>
        <v>332.23648773503913</v>
      </c>
      <c r="G151" s="342">
        <f>'backup - EIA liq_fuelS_aeo2014'!I46</f>
        <v>336.63400877733272</v>
      </c>
      <c r="H151" s="407">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1">
        <f>'backup - EIA liq_fuelS_aeo2014'!Z46</f>
        <v>459.60339229062083</v>
      </c>
    </row>
    <row r="152" spans="1:35" hidden="1">
      <c r="A152" s="20" t="s">
        <v>203</v>
      </c>
      <c r="C152" s="332">
        <f>C151/C149</f>
        <v>3.8621421054708789E-2</v>
      </c>
      <c r="D152" s="332">
        <f t="shared" ref="D152:X152" si="95">D151/D149</f>
        <v>4.62389906452398E-2</v>
      </c>
      <c r="E152" s="332">
        <f t="shared" si="95"/>
        <v>5.0113358533740347E-2</v>
      </c>
      <c r="F152" s="332">
        <f t="shared" si="95"/>
        <v>4.8957766991398283E-2</v>
      </c>
      <c r="G152" s="332">
        <f t="shared" si="95"/>
        <v>4.8578849560248959E-2</v>
      </c>
      <c r="H152" s="284">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2">
        <f>'backup - EIA liq_fuelS_aeo2014'!E46</f>
        <v>273.77869168296451</v>
      </c>
      <c r="D153" s="342">
        <f>'backup - EIA liq_fuelS_aeo2014'!F46</f>
        <v>330.59007454663532</v>
      </c>
      <c r="E153" s="342">
        <f>'backup - EIA liq_fuelS_aeo2014'!G46</f>
        <v>346.41273999999999</v>
      </c>
      <c r="F153" s="342">
        <f>'backup - EIA liq_fuelS_aeo2014'!H46</f>
        <v>332.23648773503913</v>
      </c>
      <c r="G153" s="342">
        <f>'backup - EIA liq_fuelS_aeo2014'!I46</f>
        <v>336.63400877733272</v>
      </c>
      <c r="H153" s="407">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1">
        <f>'backup - EIA liq_fuelS_aeo2014'!Z46</f>
        <v>459.60339229062083</v>
      </c>
    </row>
    <row r="154" spans="1:35" hidden="1">
      <c r="A154" t="s">
        <v>204</v>
      </c>
      <c r="C154" s="332">
        <f>C153/C149</f>
        <v>3.8621421054708789E-2</v>
      </c>
      <c r="D154" s="332">
        <f t="shared" ref="D154:X154" si="96">D153/D149</f>
        <v>4.62389906452398E-2</v>
      </c>
      <c r="E154" s="332">
        <f t="shared" si="96"/>
        <v>5.0113358533740347E-2</v>
      </c>
      <c r="F154" s="332">
        <f t="shared" si="96"/>
        <v>4.8957766991398283E-2</v>
      </c>
      <c r="G154" s="332">
        <f t="shared" si="96"/>
        <v>4.8578849560248959E-2</v>
      </c>
      <c r="H154" s="284">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2">
        <f>MAX(C151,C153)</f>
        <v>273.77869168296451</v>
      </c>
      <c r="D155" s="342">
        <f t="shared" ref="D155:X155" si="97">MAX(D151,D153)</f>
        <v>330.59007454663532</v>
      </c>
      <c r="E155" s="342">
        <f t="shared" si="97"/>
        <v>346.41273999999999</v>
      </c>
      <c r="F155" s="342">
        <f t="shared" si="97"/>
        <v>332.23648773503913</v>
      </c>
      <c r="G155" s="342">
        <f t="shared" si="97"/>
        <v>336.63400877733272</v>
      </c>
      <c r="H155" s="407">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1">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3">
        <f>C149-C150</f>
        <v>0</v>
      </c>
      <c r="D157" s="333">
        <f t="shared" ref="D157:X157" si="98">D149-D150</f>
        <v>0</v>
      </c>
      <c r="E157" s="333">
        <f t="shared" si="98"/>
        <v>0</v>
      </c>
      <c r="F157" s="333">
        <f t="shared" si="98"/>
        <v>0</v>
      </c>
      <c r="G157" s="333">
        <f t="shared" si="98"/>
        <v>0</v>
      </c>
      <c r="H157" s="406">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0">
        <f t="shared" si="98"/>
        <v>0</v>
      </c>
    </row>
    <row r="158" spans="1:35" hidden="1"/>
    <row r="159" spans="1:35" hidden="1">
      <c r="A159" s="1" t="s">
        <v>252</v>
      </c>
    </row>
    <row r="160" spans="1:35" hidden="1">
      <c r="A160" t="s">
        <v>285</v>
      </c>
      <c r="C160" s="330">
        <v>0</v>
      </c>
      <c r="D160" s="330">
        <v>0</v>
      </c>
      <c r="E160" s="330">
        <v>0</v>
      </c>
      <c r="F160" s="330">
        <v>0</v>
      </c>
      <c r="G160" s="330">
        <v>0</v>
      </c>
      <c r="H160" s="286">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30">
        <v>0</v>
      </c>
      <c r="D161" s="330">
        <v>0</v>
      </c>
      <c r="E161" s="330">
        <v>0</v>
      </c>
      <c r="F161" s="330">
        <v>0</v>
      </c>
      <c r="G161" s="330">
        <v>0</v>
      </c>
      <c r="H161" s="286">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30">
        <v>0</v>
      </c>
      <c r="D162" s="330">
        <v>0</v>
      </c>
      <c r="E162" s="330">
        <v>0</v>
      </c>
      <c r="F162" s="330">
        <v>0</v>
      </c>
      <c r="G162" s="330">
        <v>0</v>
      </c>
      <c r="H162" s="286">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30">
        <v>0</v>
      </c>
      <c r="D163" s="330">
        <v>0</v>
      </c>
      <c r="E163" s="330">
        <v>0</v>
      </c>
      <c r="F163" s="330">
        <v>0</v>
      </c>
      <c r="G163" s="330">
        <v>0</v>
      </c>
      <c r="H163" s="286">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30" t="e">
        <f>C157*#REF!</f>
        <v>#REF!</v>
      </c>
      <c r="D164" s="330" t="e">
        <f>D157*#REF!</f>
        <v>#REF!</v>
      </c>
      <c r="E164" s="330" t="e">
        <f>E157*#REF!</f>
        <v>#REF!</v>
      </c>
      <c r="F164" s="330" t="e">
        <f>F157*#REF!</f>
        <v>#REF!</v>
      </c>
      <c r="G164" s="330" t="e">
        <f>G157*#REF!</f>
        <v>#REF!</v>
      </c>
      <c r="H164" s="286"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30">
        <v>0</v>
      </c>
      <c r="D165" s="330">
        <v>0</v>
      </c>
      <c r="E165" s="330">
        <v>0</v>
      </c>
      <c r="F165" s="330">
        <v>0</v>
      </c>
      <c r="G165" s="330">
        <v>0</v>
      </c>
      <c r="H165" s="286">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30" t="e">
        <f>C162-C160+C164+C165</f>
        <v>#REF!</v>
      </c>
      <c r="D166" s="330">
        <v>0</v>
      </c>
      <c r="E166" s="330">
        <v>0</v>
      </c>
      <c r="F166" s="330">
        <v>0</v>
      </c>
      <c r="G166" s="330">
        <v>0</v>
      </c>
      <c r="H166" s="286">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0">
        <v>0</v>
      </c>
      <c r="D169" s="330">
        <v>0</v>
      </c>
      <c r="E169" s="330">
        <v>0</v>
      </c>
      <c r="F169" s="330">
        <v>0</v>
      </c>
      <c r="G169" s="330">
        <v>0</v>
      </c>
      <c r="H169" s="286">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30">
        <v>0</v>
      </c>
      <c r="D170" s="330">
        <v>0</v>
      </c>
      <c r="E170" s="330">
        <v>0</v>
      </c>
      <c r="F170" s="330">
        <v>0</v>
      </c>
      <c r="G170" s="330">
        <v>0</v>
      </c>
      <c r="H170" s="286">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30">
        <v>0</v>
      </c>
      <c r="D171" s="330">
        <v>0</v>
      </c>
      <c r="E171" s="330">
        <v>0</v>
      </c>
      <c r="F171" s="330">
        <v>0</v>
      </c>
      <c r="G171" s="330">
        <v>0</v>
      </c>
      <c r="H171" s="286">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30">
        <v>0</v>
      </c>
      <c r="D172" s="330">
        <v>0</v>
      </c>
      <c r="E172" s="330">
        <v>0</v>
      </c>
      <c r="F172" s="330">
        <v>0</v>
      </c>
      <c r="G172" s="330">
        <v>0</v>
      </c>
      <c r="H172" s="286">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30" t="e">
        <f>'backup - Mass Transit'!BC34</f>
        <v>#REF!</v>
      </c>
      <c r="D173" s="330" t="e">
        <f>'backup - Mass Transit'!BD34</f>
        <v>#REF!</v>
      </c>
      <c r="E173" s="330" t="e">
        <f>'backup - Mass Transit'!BE34</f>
        <v>#REF!</v>
      </c>
      <c r="F173" s="330" t="e">
        <f>'backup - Mass Transit'!BF34</f>
        <v>#REF!</v>
      </c>
      <c r="G173" s="330" t="e">
        <f>'backup - Mass Transit'!BG34</f>
        <v>#REF!</v>
      </c>
      <c r="H173" s="286"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8">
        <v>2009</v>
      </c>
      <c r="D175" s="328">
        <v>2010</v>
      </c>
      <c r="E175" s="328">
        <v>2011</v>
      </c>
      <c r="F175" s="328">
        <v>2012</v>
      </c>
      <c r="G175" s="328">
        <v>2013</v>
      </c>
      <c r="H175" s="400">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4">
        <f>'Output - Jobs vs Yr (BAU)'!C55+'Output - Jobs vs Yr (BAU)'!C73</f>
        <v>1616.5222800000001</v>
      </c>
      <c r="D176" s="334">
        <f>'Output - Jobs vs Yr (BAU)'!D55+'Output - Jobs vs Yr (BAU)'!D73</f>
        <v>1858.3280600000001</v>
      </c>
      <c r="E176" s="334">
        <f>'Output - Jobs vs Yr (BAU)'!E55+'Output - Jobs vs Yr (BAU)'!E73</f>
        <v>1929.3650786375961</v>
      </c>
      <c r="F176" s="334">
        <f>'Output - Jobs vs Yr (BAU)'!F55+'Output - Jobs vs Yr (BAU)'!F73</f>
        <v>1900.0384680103516</v>
      </c>
      <c r="G176" s="334">
        <f>'Output - Jobs vs Yr (BAU)'!G55+'Output - Jobs vs Yr (BAU)'!G73</f>
        <v>1856.0409550844574</v>
      </c>
      <c r="H176" s="404">
        <f>'Output - Jobs vs Yr (BAU)'!H55+'Output - Jobs vs Yr (BAU)'!H73</f>
        <v>1926.4364276027302</v>
      </c>
      <c r="I176" s="19">
        <f>'Output - Jobs vs Yr (BAU)'!I55+'Output - Jobs vs Yr (BAU)'!I73</f>
        <v>1970.3832550217262</v>
      </c>
      <c r="J176" s="19">
        <f>'Output - Jobs vs Yr (BAU)'!J55+'Output - Jobs vs Yr (BAU)'!J73</f>
        <v>2022.5876842721991</v>
      </c>
      <c r="K176" s="19">
        <f>'Output - Jobs vs Yr (BAU)'!K55+'Output - Jobs vs Yr (BAU)'!K73</f>
        <v>2075.4606119181008</v>
      </c>
      <c r="L176" s="19">
        <f>'Output - Jobs vs Yr (BAU)'!L55+'Output - Jobs vs Yr (BAU)'!L73</f>
        <v>2084.508704872022</v>
      </c>
      <c r="M176" s="19">
        <f>'Output - Jobs vs Yr (BAU)'!M55+'Output - Jobs vs Yr (BAU)'!M73</f>
        <v>2074.6613743933431</v>
      </c>
      <c r="N176" s="182">
        <f>'Output - Jobs vs Yr (BAU)'!N55+'Output - Jobs vs Yr (BAU)'!N73</f>
        <v>2032.4239581232032</v>
      </c>
      <c r="O176" s="19">
        <f>'Output - Jobs vs Yr (BAU)'!O55+'Output - Jobs vs Yr (BAU)'!O73</f>
        <v>2007.1415974269685</v>
      </c>
      <c r="P176" s="19">
        <f>'Output - Jobs vs Yr (BAU)'!P55+'Output - Jobs vs Yr (BAU)'!P73</f>
        <v>1951.132763284013</v>
      </c>
      <c r="Q176" s="19">
        <f>'Output - Jobs vs Yr (BAU)'!Q55+'Output - Jobs vs Yr (BAU)'!Q73</f>
        <v>1909.4431457068026</v>
      </c>
      <c r="R176" s="19">
        <f>'Output - Jobs vs Yr (BAU)'!R55+'Output - Jobs vs Yr (BAU)'!R73</f>
        <v>1893.0732964867198</v>
      </c>
      <c r="S176" s="19">
        <f>'Output - Jobs vs Yr (BAU)'!S55+'Output - Jobs vs Yr (BAU)'!S73</f>
        <v>1886.4432753501383</v>
      </c>
      <c r="T176" s="19">
        <f>'Output - Jobs vs Yr (BAU)'!T55+'Output - Jobs vs Yr (BAU)'!T73</f>
        <v>1830.6850750130793</v>
      </c>
      <c r="U176" s="19">
        <f>'Output - Jobs vs Yr (BAU)'!U55+'Output - Jobs vs Yr (BAU)'!U73</f>
        <v>1748.5633767119689</v>
      </c>
      <c r="V176" s="19">
        <f>'Output - Jobs vs Yr (BAU)'!V55+'Output - Jobs vs Yr (BAU)'!V73</f>
        <v>1749.5614412496498</v>
      </c>
      <c r="W176" s="19">
        <f>'Output - Jobs vs Yr (BAU)'!W55+'Output - Jobs vs Yr (BAU)'!W73</f>
        <v>1688.9895348715163</v>
      </c>
      <c r="X176" s="182">
        <f>'Output - Jobs vs Yr (BAU)'!X55+'Output - Jobs vs Yr (BAU)'!X73</f>
        <v>1715.8853251148153</v>
      </c>
      <c r="Y176" s="206">
        <f>'Output - Jobs vs Yr (BAU)'!Y55+'Output - Jobs vs Yr (BAU)'!Y73</f>
        <v>1740.4074698040101</v>
      </c>
      <c r="Z176" s="206">
        <f>'Output - Jobs vs Yr (BAU)'!Z55+'Output - Jobs vs Yr (BAU)'!Z73</f>
        <v>1793.4765583719006</v>
      </c>
      <c r="AA176" s="206">
        <f>'Output - Jobs vs Yr (BAU)'!AA55+'Output - Jobs vs Yr (BAU)'!AA73</f>
        <v>1843.9912361833972</v>
      </c>
      <c r="AB176" s="206">
        <f>'Output - Jobs vs Yr (BAU)'!AB55+'Output - Jobs vs Yr (BAU)'!AB73</f>
        <v>1874.5964729903258</v>
      </c>
      <c r="AC176" s="206">
        <f>'Output - Jobs vs Yr (BAU)'!AC55+'Output - Jobs vs Yr (BAU)'!AC73</f>
        <v>1854.7923532714899</v>
      </c>
      <c r="AD176" s="206">
        <f>'Output - Jobs vs Yr (BAU)'!AD55+'Output - Jobs vs Yr (BAU)'!AD73</f>
        <v>1837.7231064928476</v>
      </c>
      <c r="AE176" s="206">
        <f>'Output - Jobs vs Yr (BAU)'!AE55+'Output - Jobs vs Yr (BAU)'!AE73</f>
        <v>1825.7742972184651</v>
      </c>
      <c r="AF176" s="206">
        <f>'Output - Jobs vs Yr (BAU)'!AF55+'Output - Jobs vs Yr (BAU)'!AF73</f>
        <v>1809.7443579306675</v>
      </c>
      <c r="AG176" s="206">
        <f>'Output - Jobs vs Yr (BAU)'!AG55+'Output - Jobs vs Yr (BAU)'!AG73</f>
        <v>1786.5920796827004</v>
      </c>
      <c r="AH176" s="182">
        <f>'Output - Jobs vs Yr (BAU)'!AH55+'Output - Jobs vs Yr (BAU)'!AH73</f>
        <v>1729.4291090411141</v>
      </c>
      <c r="AI176" s="1"/>
    </row>
    <row r="177" spans="1:35">
      <c r="A177" s="76" t="s">
        <v>300</v>
      </c>
      <c r="C177" s="334">
        <f>'Output - Jobs vs Yr (BAU)'!C55</f>
        <v>850.80119999999999</v>
      </c>
      <c r="D177" s="334">
        <f>'Output - Jobs vs Yr (BAU)'!D55</f>
        <v>978.06740000000002</v>
      </c>
      <c r="E177" s="334">
        <f>'Output - Jobs vs Yr (BAU)'!E55</f>
        <v>1015.4553045461031</v>
      </c>
      <c r="F177" s="334">
        <f>'Output - Jobs vs Yr (BAU)'!F55</f>
        <v>1000.0202463212377</v>
      </c>
      <c r="G177" s="334">
        <f>'Output - Jobs vs Yr (BAU)'!G55</f>
        <v>976.86366057076702</v>
      </c>
      <c r="H177" s="404">
        <f>'Output - Jobs vs Yr (BAU)'!H55</f>
        <v>1013.9139092645948</v>
      </c>
      <c r="I177" s="19">
        <f>'Output - Jobs vs Yr (BAU)'!I55</f>
        <v>1037.0438184324876</v>
      </c>
      <c r="J177" s="19">
        <f>'Output - Jobs vs Yr (BAU)'!J55</f>
        <v>1064.5198338274731</v>
      </c>
      <c r="K177" s="19">
        <f>'Output - Jobs vs Yr (BAU)'!K55</f>
        <v>1092.347690483211</v>
      </c>
      <c r="L177" s="19">
        <f>'Output - Jobs vs Yr (BAU)'!L55</f>
        <v>1097.1098446694853</v>
      </c>
      <c r="M177" s="19">
        <f>'Output - Jobs vs Yr (BAU)'!M55</f>
        <v>1091.927039154391</v>
      </c>
      <c r="N177" s="182">
        <f>'Output - Jobs vs Yr (BAU)'!N55</f>
        <v>1069.6968200648439</v>
      </c>
      <c r="O177" s="19">
        <f>'Output - Jobs vs Yr (BAU)'!O55</f>
        <v>1056.3903144352466</v>
      </c>
      <c r="P177" s="19">
        <f>'Output - Jobs vs Yr (BAU)'!P55</f>
        <v>1026.9119806757963</v>
      </c>
      <c r="Q177" s="19">
        <f>'Output - Jobs vs Yr (BAU)'!Q55</f>
        <v>1004.9700766877909</v>
      </c>
      <c r="R177" s="19">
        <f>'Output - Jobs vs Yr (BAU)'!R55</f>
        <v>996.35436657195771</v>
      </c>
      <c r="S177" s="19">
        <f>'Output - Jobs vs Yr (BAU)'!S55</f>
        <v>992.86488176323064</v>
      </c>
      <c r="T177" s="19">
        <f>'Output - Jobs vs Yr (BAU)'!T55</f>
        <v>963.51846053319969</v>
      </c>
      <c r="U177" s="19">
        <f>'Output - Jobs vs Yr (BAU)'!U55</f>
        <v>920.29651405893105</v>
      </c>
      <c r="V177" s="19">
        <f>'Output - Jobs vs Yr (BAU)'!V55</f>
        <v>920.82181118402616</v>
      </c>
      <c r="W177" s="19">
        <f>'Output - Jobs vs Yr (BAU)'!W55</f>
        <v>888.94186045869287</v>
      </c>
      <c r="X177" s="182">
        <f>'Output - Jobs vs Yr (BAU)'!X55</f>
        <v>903.09753953411325</v>
      </c>
      <c r="Y177" s="206">
        <f>'Output - Jobs vs Yr (BAU)'!Y55</f>
        <v>916.00393147579484</v>
      </c>
      <c r="Z177" s="206">
        <f>'Output - Jobs vs Yr (BAU)'!Z55</f>
        <v>943.93503072205294</v>
      </c>
      <c r="AA177" s="206">
        <f>'Output - Jobs vs Yr (BAU)'!AA55</f>
        <v>970.52170325441944</v>
      </c>
      <c r="AB177" s="206">
        <f>'Output - Jobs vs Yr (BAU)'!AB55</f>
        <v>986.62972262648725</v>
      </c>
      <c r="AC177" s="206">
        <f>'Output - Jobs vs Yr (BAU)'!AC55</f>
        <v>976.20650172183673</v>
      </c>
      <c r="AD177" s="206">
        <f>'Output - Jobs vs Yr (BAU)'!AD55</f>
        <v>967.22268762781448</v>
      </c>
      <c r="AE177" s="206">
        <f>'Output - Jobs vs Yr (BAU)'!AE55</f>
        <v>960.93384064129748</v>
      </c>
      <c r="AF177" s="206">
        <f>'Output - Jobs vs Yr (BAU)'!AF55</f>
        <v>952.49703048982497</v>
      </c>
      <c r="AG177" s="206">
        <f>'Output - Jobs vs Yr (BAU)'!AG55</f>
        <v>940.31162088563167</v>
      </c>
      <c r="AH177" s="182">
        <f>'Output - Jobs vs Yr (BAU)'!AH55</f>
        <v>910.22584686374421</v>
      </c>
      <c r="AI177" s="1"/>
    </row>
    <row r="178" spans="1:35">
      <c r="A178" s="76" t="s">
        <v>301</v>
      </c>
      <c r="C178" s="334">
        <f>'Output - Jobs vs Yr (BAU)'!C73</f>
        <v>765.72108000000003</v>
      </c>
      <c r="D178" s="334">
        <f>'Output - Jobs vs Yr (BAU)'!D73</f>
        <v>880.26066000000003</v>
      </c>
      <c r="E178" s="334">
        <f>'Output - Jobs vs Yr (BAU)'!E73</f>
        <v>913.90977409149286</v>
      </c>
      <c r="F178" s="334">
        <f>'Output - Jobs vs Yr (BAU)'!F73</f>
        <v>900.01822168911394</v>
      </c>
      <c r="G178" s="334">
        <f>'Output - Jobs vs Yr (BAU)'!G73</f>
        <v>879.17729451369041</v>
      </c>
      <c r="H178" s="404">
        <f>'Output - Jobs vs Yr (BAU)'!H73</f>
        <v>912.52251833813534</v>
      </c>
      <c r="I178" s="19">
        <f>'Output - Jobs vs Yr (BAU)'!I73</f>
        <v>933.33943658923874</v>
      </c>
      <c r="J178" s="19">
        <f>'Output - Jobs vs Yr (BAU)'!J73</f>
        <v>958.06785044472599</v>
      </c>
      <c r="K178" s="19">
        <f>'Output - Jobs vs Yr (BAU)'!K73</f>
        <v>983.11292143488993</v>
      </c>
      <c r="L178" s="19">
        <f>'Output - Jobs vs Yr (BAU)'!L73</f>
        <v>987.39886020253664</v>
      </c>
      <c r="M178" s="19">
        <f>'Output - Jobs vs Yr (BAU)'!M73</f>
        <v>982.73433523895187</v>
      </c>
      <c r="N178" s="182">
        <f>'Output - Jobs vs Yr (BAU)'!N73</f>
        <v>962.7271380583594</v>
      </c>
      <c r="O178" s="19">
        <f>'Output - Jobs vs Yr (BAU)'!O73</f>
        <v>950.75128299172184</v>
      </c>
      <c r="P178" s="19">
        <f>'Output - Jobs vs Yr (BAU)'!P73</f>
        <v>924.22078260821661</v>
      </c>
      <c r="Q178" s="19">
        <f>'Output - Jobs vs Yr (BAU)'!Q73</f>
        <v>904.47306901901175</v>
      </c>
      <c r="R178" s="19">
        <f>'Output - Jobs vs Yr (BAU)'!R73</f>
        <v>896.71892991476193</v>
      </c>
      <c r="S178" s="19">
        <f>'Output - Jobs vs Yr (BAU)'!S73</f>
        <v>893.57839358690762</v>
      </c>
      <c r="T178" s="19">
        <f>'Output - Jobs vs Yr (BAU)'!T73</f>
        <v>867.16661447987974</v>
      </c>
      <c r="U178" s="19">
        <f>'Output - Jobs vs Yr (BAU)'!U73</f>
        <v>828.26686265303795</v>
      </c>
      <c r="V178" s="19">
        <f>'Output - Jobs vs Yr (BAU)'!V73</f>
        <v>828.7396300656236</v>
      </c>
      <c r="W178" s="19">
        <f>'Output - Jobs vs Yr (BAU)'!W73</f>
        <v>800.04767441282354</v>
      </c>
      <c r="X178" s="182">
        <f>'Output - Jobs vs Yr (BAU)'!X73</f>
        <v>812.78778558070189</v>
      </c>
      <c r="Y178" s="206">
        <f>'Output - Jobs vs Yr (BAU)'!Y73</f>
        <v>824.40353832821529</v>
      </c>
      <c r="Z178" s="206">
        <f>'Output - Jobs vs Yr (BAU)'!Z73</f>
        <v>849.54152764984769</v>
      </c>
      <c r="AA178" s="206">
        <f>'Output - Jobs vs Yr (BAU)'!AA73</f>
        <v>873.46953292897763</v>
      </c>
      <c r="AB178" s="206">
        <f>'Output - Jobs vs Yr (BAU)'!AB73</f>
        <v>887.96675036383863</v>
      </c>
      <c r="AC178" s="206">
        <f>'Output - Jobs vs Yr (BAU)'!AC73</f>
        <v>878.58585154965306</v>
      </c>
      <c r="AD178" s="206">
        <f>'Output - Jobs vs Yr (BAU)'!AD73</f>
        <v>870.50041886503311</v>
      </c>
      <c r="AE178" s="206">
        <f>'Output - Jobs vs Yr (BAU)'!AE73</f>
        <v>864.84045657716774</v>
      </c>
      <c r="AF178" s="206">
        <f>'Output - Jobs vs Yr (BAU)'!AF73</f>
        <v>857.24732744084258</v>
      </c>
      <c r="AG178" s="206">
        <f>'Output - Jobs vs Yr (BAU)'!AG73</f>
        <v>846.2804587970686</v>
      </c>
      <c r="AH178" s="182">
        <f>'Output - Jobs vs Yr (BAU)'!AH73</f>
        <v>819.20326217736988</v>
      </c>
      <c r="AI178" s="80" t="s">
        <v>0</v>
      </c>
    </row>
    <row r="179" spans="1:35">
      <c r="A179" s="75" t="s">
        <v>298</v>
      </c>
      <c r="C179" s="331">
        <f>SUM(C118,C145)</f>
        <v>1616.3130100000003</v>
      </c>
      <c r="D179" s="331">
        <f t="shared" ref="D179:AH179" si="99">SUM(D118,D145)+D249+D252</f>
        <v>1829.1859292049915</v>
      </c>
      <c r="E179" s="331">
        <f t="shared" si="99"/>
        <v>1901.777751654229</v>
      </c>
      <c r="F179" s="331">
        <f t="shared" si="99"/>
        <v>1873.7149607112585</v>
      </c>
      <c r="G179" s="331">
        <f t="shared" si="99"/>
        <v>1829.6736059385371</v>
      </c>
      <c r="H179" s="402">
        <f>SUM(H118,H145)+H249+H252</f>
        <v>1888.1369045552731</v>
      </c>
      <c r="I179" s="14">
        <f t="shared" si="99"/>
        <v>1991.1518974217252</v>
      </c>
      <c r="J179" s="14">
        <f t="shared" si="99"/>
        <v>2118.0209836417057</v>
      </c>
      <c r="K179" s="14">
        <f t="shared" si="99"/>
        <v>2259.2770040776145</v>
      </c>
      <c r="L179" s="14">
        <f t="shared" si="99"/>
        <v>2375.6434175002091</v>
      </c>
      <c r="M179" s="14">
        <f t="shared" si="99"/>
        <v>2495.4907607082732</v>
      </c>
      <c r="N179" s="187">
        <f t="shared" si="99"/>
        <v>2603.2893088646156</v>
      </c>
      <c r="O179" s="14">
        <f t="shared" si="99"/>
        <v>2581.9837567713535</v>
      </c>
      <c r="P179" s="14">
        <f t="shared" si="99"/>
        <v>2519.7851871803337</v>
      </c>
      <c r="Q179" s="14">
        <f t="shared" si="99"/>
        <v>2476.6484904558715</v>
      </c>
      <c r="R179" s="14">
        <f t="shared" si="99"/>
        <v>2465.5483651340282</v>
      </c>
      <c r="S179" s="14">
        <f t="shared" si="99"/>
        <v>2466.939722603569</v>
      </c>
      <c r="T179" s="14">
        <f t="shared" si="99"/>
        <v>2404.0003695916121</v>
      </c>
      <c r="U179" s="14">
        <f t="shared" si="99"/>
        <v>2306.4015214476276</v>
      </c>
      <c r="V179" s="14">
        <f t="shared" si="99"/>
        <v>2318.6538963315779</v>
      </c>
      <c r="W179" s="14">
        <f t="shared" si="99"/>
        <v>2248.1041784263653</v>
      </c>
      <c r="X179" s="187">
        <f t="shared" si="99"/>
        <v>2294.0081623409205</v>
      </c>
      <c r="Y179" s="158">
        <f t="shared" si="99"/>
        <v>2326.9037565649837</v>
      </c>
      <c r="Z179" s="158">
        <f t="shared" si="99"/>
        <v>2398.005379373079</v>
      </c>
      <c r="AA179" s="158">
        <f t="shared" si="99"/>
        <v>2466.1105272232771</v>
      </c>
      <c r="AB179" s="158">
        <f t="shared" si="99"/>
        <v>2507.7412196279456</v>
      </c>
      <c r="AC179" s="158">
        <f t="shared" si="99"/>
        <v>2481.3907674102506</v>
      </c>
      <c r="AD179" s="158">
        <f t="shared" si="99"/>
        <v>2459.8318543421938</v>
      </c>
      <c r="AE179" s="158">
        <f t="shared" si="99"/>
        <v>2445.0064267198341</v>
      </c>
      <c r="AF179" s="158">
        <f t="shared" si="99"/>
        <v>2423.2313440414105</v>
      </c>
      <c r="AG179" s="158">
        <f t="shared" si="99"/>
        <v>2392.7185040050072</v>
      </c>
      <c r="AH179" s="187">
        <f t="shared" si="99"/>
        <v>2316.5652804432802</v>
      </c>
    </row>
    <row r="180" spans="1:35">
      <c r="A180" s="76" t="s">
        <v>302</v>
      </c>
      <c r="C180" s="331">
        <f>C118</f>
        <v>850.69120000000009</v>
      </c>
      <c r="D180" s="331">
        <f t="shared" ref="D180:AH180" si="100">D118+D250+D253</f>
        <v>962.72961113117719</v>
      </c>
      <c r="E180" s="331">
        <f t="shared" si="100"/>
        <v>1000.9358801738156</v>
      </c>
      <c r="F180" s="331">
        <f t="shared" si="100"/>
        <v>986.16603490627472</v>
      </c>
      <c r="G180" s="331">
        <f t="shared" si="100"/>
        <v>962.98642531900282</v>
      </c>
      <c r="H180" s="402">
        <f t="shared" si="100"/>
        <v>993.75640766066999</v>
      </c>
      <c r="I180" s="14">
        <f t="shared" si="100"/>
        <v>1047.9748611717923</v>
      </c>
      <c r="J180" s="14">
        <f t="shared" si="100"/>
        <v>1114.7481106336058</v>
      </c>
      <c r="K180" s="14">
        <f t="shared" si="100"/>
        <v>1189.093441725614</v>
      </c>
      <c r="L180" s="14">
        <f t="shared" si="100"/>
        <v>1250.3389867147944</v>
      </c>
      <c r="M180" s="14">
        <f t="shared" si="100"/>
        <v>1313.4166108295374</v>
      </c>
      <c r="N180" s="187">
        <f t="shared" si="100"/>
        <v>1370.1527720751901</v>
      </c>
      <c r="O180" s="14">
        <f t="shared" si="100"/>
        <v>1358.9393237847821</v>
      </c>
      <c r="P180" s="14">
        <f t="shared" si="100"/>
        <v>1326.2032266037545</v>
      </c>
      <c r="Q180" s="14">
        <f t="shared" si="100"/>
        <v>1303.4996976907223</v>
      </c>
      <c r="R180" s="14">
        <f t="shared" si="100"/>
        <v>1297.6575284314395</v>
      </c>
      <c r="S180" s="14">
        <f t="shared" si="100"/>
        <v>1298.389826307236</v>
      </c>
      <c r="T180" s="14">
        <f t="shared" si="100"/>
        <v>1265.2638424329257</v>
      </c>
      <c r="U180" s="14">
        <f t="shared" si="100"/>
        <v>1213.8960117096531</v>
      </c>
      <c r="V180" s="14">
        <f t="shared" si="100"/>
        <v>1220.3446365781508</v>
      </c>
      <c r="W180" s="14">
        <f t="shared" si="100"/>
        <v>1183.2131953885028</v>
      </c>
      <c r="X180" s="187">
        <f t="shared" si="100"/>
        <v>1207.3732004858589</v>
      </c>
      <c r="Y180" s="158">
        <f t="shared" si="100"/>
        <v>1224.6866780954836</v>
      </c>
      <c r="Z180" s="158">
        <f t="shared" si="100"/>
        <v>1262.1085998390813</v>
      </c>
      <c r="AA180" s="158">
        <f t="shared" si="100"/>
        <v>1297.9534288702935</v>
      </c>
      <c r="AB180" s="158">
        <f t="shared" si="100"/>
        <v>1319.8643284126015</v>
      </c>
      <c r="AC180" s="158">
        <f t="shared" si="100"/>
        <v>1305.9956638488547</v>
      </c>
      <c r="AD180" s="158">
        <f t="shared" si="100"/>
        <v>1294.6488630064364</v>
      </c>
      <c r="AE180" s="158">
        <f t="shared" si="100"/>
        <v>1286.8460032870034</v>
      </c>
      <c r="AF180" s="158">
        <f t="shared" si="100"/>
        <v>1275.3854289188871</v>
      </c>
      <c r="AG180" s="158">
        <f t="shared" si="100"/>
        <v>1259.3260330499841</v>
      </c>
      <c r="AH180" s="187">
        <f t="shared" si="100"/>
        <v>1219.2453730910447</v>
      </c>
    </row>
    <row r="181" spans="1:35">
      <c r="A181" s="76" t="s">
        <v>303</v>
      </c>
      <c r="C181" s="331">
        <f>C145</f>
        <v>765.6218100000001</v>
      </c>
      <c r="D181" s="331">
        <f t="shared" ref="D181:AH181" si="101">D145+D251+D254</f>
        <v>866.45631807381426</v>
      </c>
      <c r="E181" s="331">
        <f t="shared" si="101"/>
        <v>900.84187148041337</v>
      </c>
      <c r="F181" s="331">
        <f t="shared" si="101"/>
        <v>887.54892580498381</v>
      </c>
      <c r="G181" s="331">
        <f t="shared" si="101"/>
        <v>866.68718061953427</v>
      </c>
      <c r="H181" s="402">
        <f>H145+H251+H254</f>
        <v>894.38049689460308</v>
      </c>
      <c r="I181" s="14">
        <f t="shared" si="101"/>
        <v>943.17703624993283</v>
      </c>
      <c r="J181" s="14">
        <f t="shared" si="101"/>
        <v>1003.2728730080999</v>
      </c>
      <c r="K181" s="14">
        <f t="shared" si="101"/>
        <v>1070.1835623520005</v>
      </c>
      <c r="L181" s="14">
        <f t="shared" si="101"/>
        <v>1125.3044307854148</v>
      </c>
      <c r="M181" s="14">
        <f t="shared" si="101"/>
        <v>1182.0741498787361</v>
      </c>
      <c r="N181" s="187">
        <f t="shared" si="101"/>
        <v>1233.1365367894255</v>
      </c>
      <c r="O181" s="14">
        <f t="shared" si="101"/>
        <v>1223.0444329865713</v>
      </c>
      <c r="P181" s="14">
        <f t="shared" si="101"/>
        <v>1193.5819605765791</v>
      </c>
      <c r="Q181" s="14">
        <f t="shared" si="101"/>
        <v>1173.1487927651492</v>
      </c>
      <c r="R181" s="14">
        <f t="shared" si="101"/>
        <v>1167.8908367025888</v>
      </c>
      <c r="S181" s="14">
        <f t="shared" si="101"/>
        <v>1168.5498962963329</v>
      </c>
      <c r="T181" s="14">
        <f t="shared" si="101"/>
        <v>1138.7365271586862</v>
      </c>
      <c r="U181" s="14">
        <f t="shared" si="101"/>
        <v>1092.5055097379745</v>
      </c>
      <c r="V181" s="14">
        <f t="shared" si="101"/>
        <v>1098.3092597534271</v>
      </c>
      <c r="W181" s="14">
        <f t="shared" si="101"/>
        <v>1064.8909830378625</v>
      </c>
      <c r="X181" s="187">
        <f t="shared" si="101"/>
        <v>1086.6349618550616</v>
      </c>
      <c r="Y181" s="158">
        <f t="shared" si="101"/>
        <v>1102.2170784695002</v>
      </c>
      <c r="Z181" s="158">
        <f t="shared" si="101"/>
        <v>1135.8967795339977</v>
      </c>
      <c r="AA181" s="158">
        <f t="shared" si="101"/>
        <v>1168.1570983529837</v>
      </c>
      <c r="AB181" s="158">
        <f t="shared" si="101"/>
        <v>1187.8768912153439</v>
      </c>
      <c r="AC181" s="158">
        <f t="shared" si="101"/>
        <v>1175.3951035613959</v>
      </c>
      <c r="AD181" s="158">
        <f t="shared" si="101"/>
        <v>1165.1829913357574</v>
      </c>
      <c r="AE181" s="158">
        <f t="shared" si="101"/>
        <v>1158.1604234328306</v>
      </c>
      <c r="AF181" s="158">
        <f t="shared" si="101"/>
        <v>1147.8459151225234</v>
      </c>
      <c r="AG181" s="158">
        <f t="shared" si="101"/>
        <v>1133.3924709550229</v>
      </c>
      <c r="AH181" s="187">
        <f t="shared" si="101"/>
        <v>1097.3199073522355</v>
      </c>
      <c r="AI181" s="31" t="s">
        <v>0</v>
      </c>
    </row>
    <row r="182" spans="1:35" s="1" customFormat="1">
      <c r="A182" s="75" t="s">
        <v>304</v>
      </c>
      <c r="B182" s="13"/>
      <c r="C182" s="341" t="s">
        <v>0</v>
      </c>
      <c r="D182" s="341">
        <f t="shared" ref="D182:AH182" si="102">D179-D176</f>
        <v>-29.142130795008597</v>
      </c>
      <c r="E182" s="341">
        <f t="shared" si="102"/>
        <v>-27.58732698336712</v>
      </c>
      <c r="F182" s="341">
        <f t="shared" si="102"/>
        <v>-26.32350729909308</v>
      </c>
      <c r="G182" s="341">
        <f t="shared" si="102"/>
        <v>-26.367349145920343</v>
      </c>
      <c r="H182" s="405">
        <f>H179-H176</f>
        <v>-38.299523047457114</v>
      </c>
      <c r="I182" s="15">
        <f t="shared" si="102"/>
        <v>20.768642399998953</v>
      </c>
      <c r="J182" s="15">
        <f t="shared" si="102"/>
        <v>95.433299369506585</v>
      </c>
      <c r="K182" s="15">
        <f t="shared" si="102"/>
        <v>183.81639215951373</v>
      </c>
      <c r="L182" s="15">
        <f t="shared" si="102"/>
        <v>291.13471262818712</v>
      </c>
      <c r="M182" s="15">
        <f t="shared" si="102"/>
        <v>420.82938631493016</v>
      </c>
      <c r="N182" s="190">
        <f t="shared" si="102"/>
        <v>570.86535074141239</v>
      </c>
      <c r="O182" s="15">
        <f t="shared" si="102"/>
        <v>574.84215934438498</v>
      </c>
      <c r="P182" s="15">
        <f t="shared" si="102"/>
        <v>568.65242389632067</v>
      </c>
      <c r="Q182" s="15">
        <f t="shared" si="102"/>
        <v>567.2053447490689</v>
      </c>
      <c r="R182" s="15">
        <f t="shared" si="102"/>
        <v>572.47506864730849</v>
      </c>
      <c r="S182" s="15">
        <f t="shared" si="102"/>
        <v>580.49644725343069</v>
      </c>
      <c r="T182" s="15">
        <f t="shared" si="102"/>
        <v>573.31529457853276</v>
      </c>
      <c r="U182" s="15">
        <f t="shared" si="102"/>
        <v>557.83814473565872</v>
      </c>
      <c r="V182" s="15">
        <f t="shared" si="102"/>
        <v>569.09245508192816</v>
      </c>
      <c r="W182" s="15">
        <f t="shared" si="102"/>
        <v>559.11464355484895</v>
      </c>
      <c r="X182" s="190">
        <f t="shared" si="102"/>
        <v>578.12283722610528</v>
      </c>
      <c r="Y182" s="130">
        <f t="shared" si="102"/>
        <v>586.49628676097359</v>
      </c>
      <c r="Z182" s="130">
        <f t="shared" si="102"/>
        <v>604.52882100117836</v>
      </c>
      <c r="AA182" s="130">
        <f t="shared" si="102"/>
        <v>622.11929103987995</v>
      </c>
      <c r="AB182" s="130">
        <f t="shared" si="102"/>
        <v>633.14474663761985</v>
      </c>
      <c r="AC182" s="130">
        <f t="shared" si="102"/>
        <v>626.59841413876075</v>
      </c>
      <c r="AD182" s="130">
        <f t="shared" si="102"/>
        <v>622.10874784934617</v>
      </c>
      <c r="AE182" s="130">
        <f t="shared" si="102"/>
        <v>619.23212950136895</v>
      </c>
      <c r="AF182" s="130">
        <f t="shared" si="102"/>
        <v>613.48698611074292</v>
      </c>
      <c r="AG182" s="130">
        <f t="shared" si="102"/>
        <v>606.12642432230678</v>
      </c>
      <c r="AH182" s="190">
        <f t="shared" si="102"/>
        <v>587.13617140216616</v>
      </c>
    </row>
    <row r="183" spans="1:35" s="20" customFormat="1">
      <c r="A183" s="20" t="s">
        <v>305</v>
      </c>
      <c r="B183" s="33"/>
      <c r="C183" s="334" t="s">
        <v>0</v>
      </c>
      <c r="D183" s="334">
        <f t="shared" ref="D183:AH183" si="103">D180-D177</f>
        <v>-15.337788868822827</v>
      </c>
      <c r="E183" s="334">
        <f t="shared" si="103"/>
        <v>-14.519424372287517</v>
      </c>
      <c r="F183" s="334">
        <f t="shared" si="103"/>
        <v>-13.854211414962947</v>
      </c>
      <c r="G183" s="334">
        <f t="shared" si="103"/>
        <v>-13.877235251764205</v>
      </c>
      <c r="H183" s="404">
        <f>H180-H177</f>
        <v>-20.157501603924857</v>
      </c>
      <c r="I183" s="19">
        <f t="shared" si="103"/>
        <v>10.931042739304758</v>
      </c>
      <c r="J183" s="19">
        <f t="shared" si="103"/>
        <v>50.228276806132726</v>
      </c>
      <c r="K183" s="19">
        <f t="shared" si="103"/>
        <v>96.745751242403003</v>
      </c>
      <c r="L183" s="19">
        <f t="shared" si="103"/>
        <v>153.22914204530912</v>
      </c>
      <c r="M183" s="19">
        <f t="shared" si="103"/>
        <v>221.48957167514641</v>
      </c>
      <c r="N183" s="182">
        <f t="shared" si="103"/>
        <v>300.45595201034621</v>
      </c>
      <c r="O183" s="19">
        <f t="shared" si="103"/>
        <v>302.54900934953548</v>
      </c>
      <c r="P183" s="19">
        <f t="shared" si="103"/>
        <v>299.29124592795824</v>
      </c>
      <c r="Q183" s="19">
        <f t="shared" si="103"/>
        <v>298.52962100293144</v>
      </c>
      <c r="R183" s="19">
        <f t="shared" si="103"/>
        <v>301.30316185948175</v>
      </c>
      <c r="S183" s="19">
        <f t="shared" si="103"/>
        <v>305.52494454400539</v>
      </c>
      <c r="T183" s="19">
        <f t="shared" si="103"/>
        <v>301.745381899726</v>
      </c>
      <c r="U183" s="19">
        <f t="shared" si="103"/>
        <v>293.59949765072201</v>
      </c>
      <c r="V183" s="19">
        <f t="shared" si="103"/>
        <v>299.52282539412465</v>
      </c>
      <c r="W183" s="19">
        <f t="shared" si="103"/>
        <v>294.27133492980988</v>
      </c>
      <c r="X183" s="182">
        <f t="shared" si="103"/>
        <v>304.27566095174564</v>
      </c>
      <c r="Y183" s="206">
        <f t="shared" si="103"/>
        <v>308.68274661968871</v>
      </c>
      <c r="Z183" s="206">
        <f t="shared" si="103"/>
        <v>318.17356911702836</v>
      </c>
      <c r="AA183" s="206">
        <f t="shared" si="103"/>
        <v>327.43172561587403</v>
      </c>
      <c r="AB183" s="206">
        <f t="shared" si="103"/>
        <v>333.23460578611423</v>
      </c>
      <c r="AC183" s="206">
        <f t="shared" si="103"/>
        <v>329.78916212701802</v>
      </c>
      <c r="AD183" s="206">
        <f t="shared" si="103"/>
        <v>327.42617537862191</v>
      </c>
      <c r="AE183" s="206">
        <f t="shared" si="103"/>
        <v>325.91216264570596</v>
      </c>
      <c r="AF183" s="206">
        <f t="shared" si="103"/>
        <v>322.88839842906214</v>
      </c>
      <c r="AG183" s="206">
        <f t="shared" si="103"/>
        <v>319.01441216435239</v>
      </c>
      <c r="AH183" s="182">
        <f t="shared" si="103"/>
        <v>309.0195262273005</v>
      </c>
    </row>
    <row r="184" spans="1:35" s="20" customFormat="1">
      <c r="A184" s="20" t="s">
        <v>306</v>
      </c>
      <c r="B184" s="33"/>
      <c r="C184" s="334" t="s">
        <v>0</v>
      </c>
      <c r="D184" s="334">
        <f t="shared" ref="D184:AH184" si="104">D181-D178</f>
        <v>-13.804341926185771</v>
      </c>
      <c r="E184" s="334">
        <f t="shared" si="104"/>
        <v>-13.067902611079489</v>
      </c>
      <c r="F184" s="334">
        <f t="shared" si="104"/>
        <v>-12.469295884130133</v>
      </c>
      <c r="G184" s="334">
        <f t="shared" si="104"/>
        <v>-12.490113894156138</v>
      </c>
      <c r="H184" s="404">
        <f t="shared" si="104"/>
        <v>-18.142021443532258</v>
      </c>
      <c r="I184" s="19">
        <f t="shared" si="104"/>
        <v>9.8375996606940816</v>
      </c>
      <c r="J184" s="19">
        <f t="shared" si="104"/>
        <v>45.205022563373859</v>
      </c>
      <c r="K184" s="19">
        <f t="shared" si="104"/>
        <v>87.070640917110609</v>
      </c>
      <c r="L184" s="19">
        <f t="shared" si="104"/>
        <v>137.90557058287811</v>
      </c>
      <c r="M184" s="19">
        <f t="shared" si="104"/>
        <v>199.33981463978421</v>
      </c>
      <c r="N184" s="182">
        <f t="shared" si="104"/>
        <v>270.40939873106606</v>
      </c>
      <c r="O184" s="19">
        <f t="shared" si="104"/>
        <v>272.2931499948495</v>
      </c>
      <c r="P184" s="19">
        <f t="shared" si="104"/>
        <v>269.36117796836254</v>
      </c>
      <c r="Q184" s="19">
        <f t="shared" si="104"/>
        <v>268.67572374613746</v>
      </c>
      <c r="R184" s="19">
        <f t="shared" si="104"/>
        <v>271.17190678782686</v>
      </c>
      <c r="S184" s="19">
        <f t="shared" si="104"/>
        <v>274.97150270942529</v>
      </c>
      <c r="T184" s="19">
        <f t="shared" si="104"/>
        <v>271.56991267880642</v>
      </c>
      <c r="U184" s="19">
        <f t="shared" si="104"/>
        <v>264.23864708493659</v>
      </c>
      <c r="V184" s="19">
        <f t="shared" si="104"/>
        <v>269.56962968780351</v>
      </c>
      <c r="W184" s="19">
        <f t="shared" si="104"/>
        <v>264.84330862503896</v>
      </c>
      <c r="X184" s="182">
        <f t="shared" si="104"/>
        <v>273.84717627435975</v>
      </c>
      <c r="Y184" s="206">
        <f t="shared" si="104"/>
        <v>277.81354014128488</v>
      </c>
      <c r="Z184" s="206">
        <f t="shared" si="104"/>
        <v>286.35525188414999</v>
      </c>
      <c r="AA184" s="206">
        <f t="shared" si="104"/>
        <v>294.68756542400604</v>
      </c>
      <c r="AB184" s="206">
        <f t="shared" si="104"/>
        <v>299.91014085150528</v>
      </c>
      <c r="AC184" s="206">
        <f t="shared" si="104"/>
        <v>296.80925201174284</v>
      </c>
      <c r="AD184" s="206">
        <f t="shared" si="104"/>
        <v>294.68257247072427</v>
      </c>
      <c r="AE184" s="206">
        <f t="shared" si="104"/>
        <v>293.31996685566287</v>
      </c>
      <c r="AF184" s="206">
        <f t="shared" si="104"/>
        <v>290.59858768168078</v>
      </c>
      <c r="AG184" s="206">
        <f t="shared" si="104"/>
        <v>287.11201215795427</v>
      </c>
      <c r="AH184" s="182">
        <f t="shared" si="104"/>
        <v>278.11664517486565</v>
      </c>
    </row>
    <row r="185" spans="1:35" s="1" customFormat="1">
      <c r="A185" s="1" t="s">
        <v>449</v>
      </c>
      <c r="B185" s="13"/>
      <c r="C185" s="341"/>
      <c r="D185" s="341">
        <f>D182</f>
        <v>-29.142130795008597</v>
      </c>
      <c r="E185" s="341">
        <f>D185+E182</f>
        <v>-56.729457778375718</v>
      </c>
      <c r="F185" s="341">
        <f t="shared" ref="E185:N187" si="105">E185+F182</f>
        <v>-83.052965077468798</v>
      </c>
      <c r="G185" s="341">
        <f t="shared" si="105"/>
        <v>-109.42031422338914</v>
      </c>
      <c r="H185" s="405">
        <f>H182</f>
        <v>-38.299523047457114</v>
      </c>
      <c r="I185" s="15">
        <f t="shared" si="105"/>
        <v>-17.530880647458162</v>
      </c>
      <c r="J185" s="15">
        <f t="shared" si="105"/>
        <v>77.902418722048424</v>
      </c>
      <c r="K185" s="15">
        <f t="shared" si="105"/>
        <v>261.71881088156215</v>
      </c>
      <c r="L185" s="15">
        <f t="shared" si="105"/>
        <v>552.85352350974927</v>
      </c>
      <c r="M185" s="15">
        <f t="shared" si="105"/>
        <v>973.68290982467943</v>
      </c>
      <c r="N185" s="15">
        <f t="shared" si="105"/>
        <v>1544.5482605660918</v>
      </c>
      <c r="O185" s="15">
        <f t="shared" ref="O185:X185" si="106">N185+O182</f>
        <v>2119.3904199104768</v>
      </c>
      <c r="P185" s="15">
        <f t="shared" si="106"/>
        <v>2688.0428438067975</v>
      </c>
      <c r="Q185" s="15">
        <f t="shared" si="106"/>
        <v>3255.2481885558664</v>
      </c>
      <c r="R185" s="15">
        <f t="shared" si="106"/>
        <v>3827.7232572031749</v>
      </c>
      <c r="S185" s="130">
        <f t="shared" si="106"/>
        <v>4408.2197044566055</v>
      </c>
      <c r="T185" s="15">
        <f t="shared" si="106"/>
        <v>4981.5349990351388</v>
      </c>
      <c r="U185" s="15">
        <f t="shared" si="106"/>
        <v>5539.3731437707975</v>
      </c>
      <c r="V185" s="15">
        <f t="shared" si="106"/>
        <v>6108.4655988527256</v>
      </c>
      <c r="W185" s="15">
        <f t="shared" si="106"/>
        <v>6667.5802424075746</v>
      </c>
      <c r="X185" s="190">
        <f t="shared" si="106"/>
        <v>7245.7030796336803</v>
      </c>
      <c r="Y185" s="130">
        <f t="shared" ref="Y185:AH185" si="107">X185+Y182</f>
        <v>7832.1993663946541</v>
      </c>
      <c r="Z185" s="130">
        <f t="shared" si="107"/>
        <v>8436.7281873958327</v>
      </c>
      <c r="AA185" s="130">
        <f t="shared" si="107"/>
        <v>9058.8474784357131</v>
      </c>
      <c r="AB185" s="130">
        <f t="shared" si="107"/>
        <v>9691.9922250733325</v>
      </c>
      <c r="AC185" s="130">
        <f t="shared" si="107"/>
        <v>10318.590639212092</v>
      </c>
      <c r="AD185" s="130">
        <f t="shared" si="107"/>
        <v>10940.699387061439</v>
      </c>
      <c r="AE185" s="130">
        <f t="shared" si="107"/>
        <v>11559.931516562807</v>
      </c>
      <c r="AF185" s="130">
        <f t="shared" si="107"/>
        <v>12173.41850267355</v>
      </c>
      <c r="AG185" s="130">
        <f t="shared" si="107"/>
        <v>12779.544926995857</v>
      </c>
      <c r="AH185" s="190">
        <f t="shared" si="107"/>
        <v>13366.681098398023</v>
      </c>
    </row>
    <row r="186" spans="1:35" s="20" customFormat="1">
      <c r="A186" s="20" t="s">
        <v>450</v>
      </c>
      <c r="B186" s="33"/>
      <c r="C186" s="334"/>
      <c r="D186" s="334">
        <f>D183</f>
        <v>-15.337788868822827</v>
      </c>
      <c r="E186" s="334">
        <f t="shared" si="105"/>
        <v>-29.857213241110344</v>
      </c>
      <c r="F186" s="334">
        <f t="shared" si="105"/>
        <v>-43.711424656073291</v>
      </c>
      <c r="G186" s="334">
        <f t="shared" si="105"/>
        <v>-57.588659907837496</v>
      </c>
      <c r="H186" s="404">
        <f t="shared" si="105"/>
        <v>-77.746161511762352</v>
      </c>
      <c r="I186" s="19">
        <f t="shared" ref="I186:X186" si="108">H186+I183</f>
        <v>-66.815118772457595</v>
      </c>
      <c r="J186" s="19">
        <f t="shared" si="108"/>
        <v>-16.586841966324869</v>
      </c>
      <c r="K186" s="19">
        <f t="shared" si="108"/>
        <v>80.158909276078134</v>
      </c>
      <c r="L186" s="19">
        <f t="shared" si="108"/>
        <v>233.38805132138725</v>
      </c>
      <c r="M186" s="19">
        <f t="shared" si="108"/>
        <v>454.87762299653366</v>
      </c>
      <c r="N186" s="182">
        <f t="shared" si="108"/>
        <v>755.33357500687987</v>
      </c>
      <c r="O186" s="19">
        <f t="shared" si="108"/>
        <v>1057.8825843564155</v>
      </c>
      <c r="P186" s="19">
        <f t="shared" si="108"/>
        <v>1357.1738302843737</v>
      </c>
      <c r="Q186" s="19">
        <f t="shared" si="108"/>
        <v>1655.7034512873051</v>
      </c>
      <c r="R186" s="19">
        <f t="shared" si="108"/>
        <v>1957.006613146787</v>
      </c>
      <c r="S186" s="206">
        <f t="shared" si="108"/>
        <v>2262.5315576907924</v>
      </c>
      <c r="T186" s="19">
        <f t="shared" si="108"/>
        <v>2564.2769395905184</v>
      </c>
      <c r="U186" s="19">
        <f t="shared" si="108"/>
        <v>2857.8764372412406</v>
      </c>
      <c r="V186" s="19">
        <f t="shared" si="108"/>
        <v>3157.3992626353652</v>
      </c>
      <c r="W186" s="19">
        <f t="shared" si="108"/>
        <v>3451.6705975651748</v>
      </c>
      <c r="X186" s="182">
        <f t="shared" si="108"/>
        <v>3755.9462585169204</v>
      </c>
      <c r="Y186" s="206">
        <f t="shared" ref="Y186:AH186" si="109">X186+Y183</f>
        <v>4064.6290051366091</v>
      </c>
      <c r="Z186" s="206">
        <f t="shared" si="109"/>
        <v>4382.8025742536374</v>
      </c>
      <c r="AA186" s="206">
        <f t="shared" si="109"/>
        <v>4710.2342998695112</v>
      </c>
      <c r="AB186" s="206">
        <f t="shared" si="109"/>
        <v>5043.4689056556253</v>
      </c>
      <c r="AC186" s="206">
        <f t="shared" si="109"/>
        <v>5373.2580677826436</v>
      </c>
      <c r="AD186" s="206">
        <f t="shared" si="109"/>
        <v>5700.6842431612658</v>
      </c>
      <c r="AE186" s="206">
        <f t="shared" si="109"/>
        <v>6026.5964058069721</v>
      </c>
      <c r="AF186" s="206">
        <f t="shared" si="109"/>
        <v>6349.4848042360345</v>
      </c>
      <c r="AG186" s="206">
        <f t="shared" si="109"/>
        <v>6668.499216400387</v>
      </c>
      <c r="AH186" s="182">
        <f t="shared" si="109"/>
        <v>6977.518742627688</v>
      </c>
    </row>
    <row r="187" spans="1:35" s="20" customFormat="1">
      <c r="A187" s="20" t="s">
        <v>451</v>
      </c>
      <c r="B187" s="33"/>
      <c r="C187" s="334"/>
      <c r="D187" s="334">
        <f>D184</f>
        <v>-13.804341926185771</v>
      </c>
      <c r="E187" s="334">
        <f t="shared" si="105"/>
        <v>-26.87224453726526</v>
      </c>
      <c r="F187" s="334">
        <f t="shared" si="105"/>
        <v>-39.341540421395393</v>
      </c>
      <c r="G187" s="334">
        <f t="shared" si="105"/>
        <v>-51.831654315551532</v>
      </c>
      <c r="H187" s="404">
        <f t="shared" si="105"/>
        <v>-69.97367575908379</v>
      </c>
      <c r="I187" s="19">
        <f t="shared" ref="I187:X187" si="110">H187+I184</f>
        <v>-60.136076098389708</v>
      </c>
      <c r="J187" s="19">
        <f t="shared" si="110"/>
        <v>-14.931053535015849</v>
      </c>
      <c r="K187" s="19">
        <f t="shared" si="110"/>
        <v>72.13958738209476</v>
      </c>
      <c r="L187" s="19">
        <f t="shared" si="110"/>
        <v>210.04515796497287</v>
      </c>
      <c r="M187" s="19">
        <f t="shared" si="110"/>
        <v>409.38497260475708</v>
      </c>
      <c r="N187" s="182">
        <f t="shared" si="110"/>
        <v>679.79437133582314</v>
      </c>
      <c r="O187" s="19">
        <f t="shared" si="110"/>
        <v>952.08752133067264</v>
      </c>
      <c r="P187" s="19">
        <f t="shared" si="110"/>
        <v>1221.4486992990351</v>
      </c>
      <c r="Q187" s="19">
        <f t="shared" si="110"/>
        <v>1490.1244230451725</v>
      </c>
      <c r="R187" s="19">
        <f t="shared" si="110"/>
        <v>1761.2963298329994</v>
      </c>
      <c r="S187" s="206">
        <f t="shared" si="110"/>
        <v>2036.2678325424247</v>
      </c>
      <c r="T187" s="19">
        <f t="shared" si="110"/>
        <v>2307.8377452212312</v>
      </c>
      <c r="U187" s="19">
        <f t="shared" si="110"/>
        <v>2572.0763923061677</v>
      </c>
      <c r="V187" s="19">
        <f t="shared" si="110"/>
        <v>2841.6460219939713</v>
      </c>
      <c r="W187" s="19">
        <f t="shared" si="110"/>
        <v>3106.4893306190102</v>
      </c>
      <c r="X187" s="182">
        <f t="shared" si="110"/>
        <v>3380.3365068933699</v>
      </c>
      <c r="Y187" s="206">
        <f t="shared" ref="Y187:AH187" si="111">X187+Y184</f>
        <v>3658.1500470346546</v>
      </c>
      <c r="Z187" s="206">
        <f t="shared" si="111"/>
        <v>3944.5052989188043</v>
      </c>
      <c r="AA187" s="206">
        <f t="shared" si="111"/>
        <v>4239.19286434281</v>
      </c>
      <c r="AB187" s="206">
        <f t="shared" si="111"/>
        <v>4539.1030051943153</v>
      </c>
      <c r="AC187" s="206">
        <f t="shared" si="111"/>
        <v>4835.9122572060578</v>
      </c>
      <c r="AD187" s="206">
        <f t="shared" si="111"/>
        <v>5130.594829676782</v>
      </c>
      <c r="AE187" s="206">
        <f t="shared" si="111"/>
        <v>5423.9147965324446</v>
      </c>
      <c r="AF187" s="206">
        <f t="shared" si="111"/>
        <v>5714.5133842141258</v>
      </c>
      <c r="AG187" s="206">
        <f t="shared" si="111"/>
        <v>6001.6253963720801</v>
      </c>
      <c r="AH187" s="182">
        <f t="shared" si="111"/>
        <v>6279.742041546946</v>
      </c>
    </row>
    <row r="188" spans="1:35" s="519" customFormat="1">
      <c r="A188" s="519" t="s">
        <v>549</v>
      </c>
      <c r="B188" s="520"/>
      <c r="C188" s="521"/>
      <c r="D188"/>
      <c r="E188"/>
      <c r="F188"/>
      <c r="G188"/>
      <c r="H188"/>
      <c r="I188"/>
      <c r="J188"/>
      <c r="K188"/>
      <c r="L188"/>
      <c r="M188"/>
      <c r="N188"/>
      <c r="O188"/>
      <c r="P188"/>
      <c r="Q188"/>
      <c r="R188"/>
      <c r="S188"/>
      <c r="T188"/>
      <c r="U188"/>
      <c r="V188"/>
      <c r="W188"/>
      <c r="X188"/>
      <c r="Y188"/>
      <c r="Z188" s="523"/>
      <c r="AA188" s="523"/>
      <c r="AB188" s="523"/>
      <c r="AC188" s="523"/>
      <c r="AD188" s="523"/>
      <c r="AE188" s="523"/>
      <c r="AF188" s="523"/>
      <c r="AG188" s="523"/>
      <c r="AH188" s="522"/>
    </row>
    <row r="189" spans="1:35" s="1" customFormat="1">
      <c r="B189" s="13"/>
      <c r="C189" s="341"/>
      <c r="D189" s="341"/>
      <c r="E189" s="341"/>
      <c r="F189" s="341"/>
      <c r="G189" s="341"/>
      <c r="H189" s="405"/>
      <c r="I189" s="15" t="s">
        <v>0</v>
      </c>
      <c r="J189" s="15" t="s">
        <v>0</v>
      </c>
      <c r="K189" s="15" t="s">
        <v>0</v>
      </c>
      <c r="L189" s="15" t="s">
        <v>0</v>
      </c>
      <c r="M189" s="15" t="s">
        <v>0</v>
      </c>
      <c r="N189" s="15" t="s">
        <v>0</v>
      </c>
      <c r="O189" s="130"/>
      <c r="P189" s="130"/>
      <c r="Q189" s="130"/>
      <c r="R189" s="130"/>
      <c r="S189" s="158"/>
      <c r="T189" s="130"/>
      <c r="U189" s="15"/>
      <c r="V189" s="15"/>
      <c r="W189" s="15"/>
      <c r="X189" s="190"/>
      <c r="Y189"/>
      <c r="Z189"/>
      <c r="AA189"/>
      <c r="AB189"/>
      <c r="AC189"/>
      <c r="AD189"/>
      <c r="AE189"/>
      <c r="AF189"/>
      <c r="AG189"/>
      <c r="AH189" s="280"/>
    </row>
    <row r="190" spans="1:35" s="1" customFormat="1">
      <c r="A190" s="1" t="s">
        <v>411</v>
      </c>
      <c r="B190" s="13"/>
      <c r="C190" s="328"/>
      <c r="D190" s="328"/>
      <c r="E190" s="328"/>
      <c r="F190" s="328"/>
      <c r="G190" s="328"/>
      <c r="H190" s="400"/>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80"/>
    </row>
    <row r="191" spans="1:35">
      <c r="A191" t="s">
        <v>405</v>
      </c>
      <c r="I191" s="112"/>
      <c r="J191" s="112"/>
      <c r="K191" s="112"/>
      <c r="L191" s="112"/>
      <c r="M191" s="131"/>
      <c r="N191" s="192"/>
      <c r="O191" s="131"/>
      <c r="P191" s="112"/>
      <c r="Q191" s="112"/>
      <c r="R191" s="131"/>
      <c r="S191" s="131"/>
      <c r="T191" s="131"/>
      <c r="U191" s="131"/>
      <c r="V191" s="112"/>
      <c r="W191" s="112"/>
    </row>
    <row r="192" spans="1:35">
      <c r="A192" t="s">
        <v>406</v>
      </c>
      <c r="I192" s="112"/>
      <c r="J192" s="112"/>
      <c r="K192" s="112"/>
      <c r="L192" s="112"/>
      <c r="M192" s="131"/>
      <c r="N192" s="192"/>
      <c r="O192" s="131"/>
      <c r="P192" s="112"/>
      <c r="Q192" s="112"/>
      <c r="R192" s="131"/>
      <c r="S192" s="131"/>
      <c r="T192" s="131"/>
      <c r="U192" s="131"/>
      <c r="V192" s="112"/>
      <c r="W192" s="112"/>
    </row>
    <row r="193" spans="1:34">
      <c r="A193" t="s">
        <v>407</v>
      </c>
      <c r="I193" s="112"/>
      <c r="J193" s="112"/>
      <c r="K193" s="112"/>
      <c r="L193" s="112"/>
      <c r="M193" s="131"/>
      <c r="N193" s="192"/>
      <c r="O193" s="131"/>
      <c r="P193" s="112"/>
      <c r="Q193" s="112"/>
      <c r="R193" s="131"/>
      <c r="S193" s="131"/>
      <c r="T193" s="131"/>
      <c r="U193" s="131"/>
      <c r="V193" s="112"/>
      <c r="W193" s="112"/>
    </row>
    <row r="194" spans="1:34">
      <c r="A194" t="s">
        <v>387</v>
      </c>
      <c r="C194" s="331">
        <f>SUM(C195:C196)</f>
        <v>41.330129999999997</v>
      </c>
      <c r="D194" s="331">
        <f t="shared" ref="D194:AH194" si="112">SUM(D195:D196)</f>
        <v>272.34390999999999</v>
      </c>
      <c r="E194" s="331">
        <f t="shared" si="112"/>
        <v>286.07050660878656</v>
      </c>
      <c r="F194" s="331">
        <f t="shared" si="112"/>
        <v>283.82883827402122</v>
      </c>
      <c r="G194" s="331">
        <f t="shared" si="112"/>
        <v>283.01554077056852</v>
      </c>
      <c r="H194" s="402">
        <f t="shared" si="112"/>
        <v>291.99452545653639</v>
      </c>
      <c r="I194" s="14">
        <f t="shared" si="112"/>
        <v>299.43345066994698</v>
      </c>
      <c r="J194" s="14">
        <f t="shared" si="112"/>
        <v>307.95531298459014</v>
      </c>
      <c r="K194" s="14">
        <f t="shared" si="112"/>
        <v>314.65523916709839</v>
      </c>
      <c r="L194" s="14">
        <f t="shared" si="112"/>
        <v>315.8623274081047</v>
      </c>
      <c r="M194" s="14">
        <f t="shared" si="112"/>
        <v>314.72984242929914</v>
      </c>
      <c r="N194" s="187">
        <f t="shared" si="112"/>
        <v>309.52427366941333</v>
      </c>
      <c r="O194" s="14">
        <f t="shared" si="112"/>
        <v>306.64411896228683</v>
      </c>
      <c r="P194" s="14">
        <f t="shared" si="112"/>
        <v>299.6243692382082</v>
      </c>
      <c r="Q194" s="14">
        <f t="shared" si="112"/>
        <v>294.48673917685608</v>
      </c>
      <c r="R194" s="14">
        <f t="shared" si="112"/>
        <v>292.47952010099095</v>
      </c>
      <c r="S194" s="15">
        <f t="shared" si="112"/>
        <v>291.79660059593971</v>
      </c>
      <c r="T194" s="14">
        <f t="shared" si="112"/>
        <v>284.86080870307609</v>
      </c>
      <c r="U194" s="14">
        <f t="shared" si="112"/>
        <v>274.61804996400684</v>
      </c>
      <c r="V194" s="14">
        <f t="shared" si="112"/>
        <v>275.20388377426667</v>
      </c>
      <c r="W194" s="14">
        <f t="shared" si="112"/>
        <v>267.5115490037627</v>
      </c>
      <c r="X194" s="187">
        <f t="shared" si="112"/>
        <v>270.92845984069868</v>
      </c>
      <c r="Y194" s="158">
        <f t="shared" si="112"/>
        <v>274.2081219871917</v>
      </c>
      <c r="Z194" s="158">
        <f t="shared" si="112"/>
        <v>280.88731011346044</v>
      </c>
      <c r="AA194" s="158">
        <f t="shared" si="112"/>
        <v>287.35458666917805</v>
      </c>
      <c r="AB194" s="158">
        <f t="shared" si="112"/>
        <v>291.20195615869181</v>
      </c>
      <c r="AC194" s="158">
        <f t="shared" si="112"/>
        <v>288.78055437964707</v>
      </c>
      <c r="AD194" s="158">
        <f t="shared" si="112"/>
        <v>286.95642491249316</v>
      </c>
      <c r="AE194" s="158">
        <f t="shared" si="112"/>
        <v>285.7703368280138</v>
      </c>
      <c r="AF194" s="158">
        <f t="shared" si="112"/>
        <v>283.86237087933978</v>
      </c>
      <c r="AG194" s="158">
        <f t="shared" si="112"/>
        <v>280.92910152070471</v>
      </c>
      <c r="AH194" s="187">
        <f t="shared" si="112"/>
        <v>273.87629382395028</v>
      </c>
    </row>
    <row r="195" spans="1:34">
      <c r="A195" t="s">
        <v>388</v>
      </c>
      <c r="C195" s="330">
        <f>'Output - Jobs vs Yr (BAU)'!C51</f>
        <v>21.752700000000001</v>
      </c>
      <c r="D195" s="330">
        <f>'Output - Jobs vs Yr (BAU)'!D51</f>
        <v>143.3389</v>
      </c>
      <c r="E195" s="330">
        <f>'Output - Jobs vs Yr (BAU)'!E51</f>
        <v>150.5634245309403</v>
      </c>
      <c r="F195" s="330">
        <f>'Output - Jobs vs Yr (BAU)'!F51</f>
        <v>149.38359909159013</v>
      </c>
      <c r="G195" s="330">
        <f>'Output - Jobs vs Yr (BAU)'!G51</f>
        <v>148.95554777398343</v>
      </c>
      <c r="H195" s="286">
        <f>'Output - Jobs vs Yr (BAU)'!H51</f>
        <v>153.68132918765076</v>
      </c>
      <c r="I195" s="118">
        <f>'Output - Jobs vs Yr (BAU)'!I51</f>
        <v>157.59655298418261</v>
      </c>
      <c r="J195" s="118">
        <f>'Output - Jobs vs Yr (BAU)'!J51</f>
        <v>162.08174367610005</v>
      </c>
      <c r="K195" s="118">
        <f>'Output - Jobs vs Yr (BAU)'!K51</f>
        <v>165.6080206142623</v>
      </c>
      <c r="L195" s="118">
        <f>'Output - Jobs vs Yr (BAU)'!L51</f>
        <v>166.24333021479197</v>
      </c>
      <c r="M195" s="118">
        <f>'Output - Jobs vs Yr (BAU)'!M51</f>
        <v>165.6472854891048</v>
      </c>
      <c r="N195" s="177">
        <f>'Output - Jobs vs Yr (BAU)'!N51</f>
        <v>162.90751245758597</v>
      </c>
      <c r="O195" s="118">
        <f>'Output - Jobs vs Yr (BAU)'!O51</f>
        <v>161.3916415590983</v>
      </c>
      <c r="P195" s="118">
        <f>'Output - Jobs vs Yr (BAU)'!P51</f>
        <v>157.6970364411622</v>
      </c>
      <c r="Q195" s="118">
        <f>'Output - Jobs vs Yr (BAU)'!Q51</f>
        <v>154.99302061939792</v>
      </c>
      <c r="R195" s="118">
        <f>'Output - Jobs vs Yr (BAU)'!R51</f>
        <v>153.93658952683737</v>
      </c>
      <c r="S195" s="118">
        <f>'Output - Jobs vs Yr (BAU)'!S51</f>
        <v>153.57715820838931</v>
      </c>
      <c r="T195" s="118">
        <f>'Output - Jobs vs Yr (BAU)'!T51</f>
        <v>149.92674142267163</v>
      </c>
      <c r="U195" s="118">
        <f>'Output - Jobs vs Yr (BAU)'!U51</f>
        <v>144.53581577052992</v>
      </c>
      <c r="V195" s="118">
        <f>'Output - Jobs vs Yr (BAU)'!V51</f>
        <v>144.8441493548772</v>
      </c>
      <c r="W195" s="118">
        <f>'Output - Jobs vs Yr (BAU)'!W51</f>
        <v>140.79555210724351</v>
      </c>
      <c r="X195" s="184">
        <f>'Output - Jobs vs Yr (BAU)'!X51</f>
        <v>142.59392623194668</v>
      </c>
      <c r="Y195" s="271">
        <f>'Output - Jobs vs Yr (BAU)'!Y51</f>
        <v>144.32006420378511</v>
      </c>
      <c r="Z195" s="271">
        <f>'Output - Jobs vs Yr (BAU)'!Z51</f>
        <v>147.83542637550551</v>
      </c>
      <c r="AA195" s="271">
        <f>'Output - Jobs vs Yr (BAU)'!AA51</f>
        <v>151.23925614167266</v>
      </c>
      <c r="AB195" s="271">
        <f>'Output - Jobs vs Yr (BAU)'!AB51</f>
        <v>153.26418745194303</v>
      </c>
      <c r="AC195" s="271">
        <f>'Output - Jobs vs Yr (BAU)'!AC51</f>
        <v>151.98976546297212</v>
      </c>
      <c r="AD195" s="271">
        <f>'Output - Jobs vs Yr (BAU)'!AD51</f>
        <v>151.02969732236483</v>
      </c>
      <c r="AE195" s="271">
        <f>'Output - Jobs vs Yr (BAU)'!AE51</f>
        <v>150.40544043579672</v>
      </c>
      <c r="AF195" s="271">
        <f>'Output - Jobs vs Yr (BAU)'!AF51</f>
        <v>149.40124783123144</v>
      </c>
      <c r="AG195" s="271">
        <f>'Output - Jobs vs Yr (BAU)'!AG51</f>
        <v>147.85742185300245</v>
      </c>
      <c r="AH195" s="184">
        <f>'Output - Jobs vs Yr (BAU)'!AH51</f>
        <v>144.14541780207909</v>
      </c>
    </row>
    <row r="196" spans="1:34">
      <c r="A196" t="s">
        <v>389</v>
      </c>
      <c r="C196" s="330">
        <f>'Output - Jobs vs Yr (BAU)'!C69</f>
        <v>19.57743</v>
      </c>
      <c r="D196" s="330">
        <f>'Output - Jobs vs Yr (BAU)'!D69</f>
        <v>129.00501</v>
      </c>
      <c r="E196" s="330">
        <f>'Output - Jobs vs Yr (BAU)'!E69</f>
        <v>135.50708207784629</v>
      </c>
      <c r="F196" s="330">
        <f>'Output - Jobs vs Yr (BAU)'!F69</f>
        <v>134.44523918243112</v>
      </c>
      <c r="G196" s="330">
        <f>'Output - Jobs vs Yr (BAU)'!G69</f>
        <v>134.05999299658509</v>
      </c>
      <c r="H196" s="286">
        <f>'Output - Jobs vs Yr (BAU)'!H69</f>
        <v>138.31319626888566</v>
      </c>
      <c r="I196" s="118">
        <f>'Output - Jobs vs Yr (BAU)'!I69</f>
        <v>141.83689768576434</v>
      </c>
      <c r="J196" s="118">
        <f>'Output - Jobs vs Yr (BAU)'!J69</f>
        <v>145.87356930849006</v>
      </c>
      <c r="K196" s="118">
        <f>'Output - Jobs vs Yr (BAU)'!K69</f>
        <v>149.04721855283609</v>
      </c>
      <c r="L196" s="118">
        <f>'Output - Jobs vs Yr (BAU)'!L69</f>
        <v>149.61899719331274</v>
      </c>
      <c r="M196" s="118">
        <f>'Output - Jobs vs Yr (BAU)'!M69</f>
        <v>149.08255694019434</v>
      </c>
      <c r="N196" s="177">
        <f>'Output - Jobs vs Yr (BAU)'!N69</f>
        <v>146.61676121182737</v>
      </c>
      <c r="O196" s="118">
        <f>'Output - Jobs vs Yr (BAU)'!O69</f>
        <v>145.25247740318849</v>
      </c>
      <c r="P196" s="118">
        <f>'Output - Jobs vs Yr (BAU)'!P69</f>
        <v>141.92733279704601</v>
      </c>
      <c r="Q196" s="118">
        <f>'Output - Jobs vs Yr (BAU)'!Q69</f>
        <v>139.49371855745812</v>
      </c>
      <c r="R196" s="118">
        <f>'Output - Jobs vs Yr (BAU)'!R69</f>
        <v>138.54293057415362</v>
      </c>
      <c r="S196" s="118">
        <f>'Output - Jobs vs Yr (BAU)'!S69</f>
        <v>138.2194423875504</v>
      </c>
      <c r="T196" s="118">
        <f>'Output - Jobs vs Yr (BAU)'!T69</f>
        <v>134.93406728040446</v>
      </c>
      <c r="U196" s="118">
        <f>'Output - Jobs vs Yr (BAU)'!U69</f>
        <v>130.08223419347692</v>
      </c>
      <c r="V196" s="118">
        <f>'Output - Jobs vs Yr (BAU)'!V69</f>
        <v>130.35973441938947</v>
      </c>
      <c r="W196" s="118">
        <f>'Output - Jobs vs Yr (BAU)'!W69</f>
        <v>126.71599689651917</v>
      </c>
      <c r="X196" s="184">
        <f>'Output - Jobs vs Yr (BAU)'!X69</f>
        <v>128.33453360875203</v>
      </c>
      <c r="Y196" s="271">
        <f>'Output - Jobs vs Yr (BAU)'!Y69</f>
        <v>129.88805778340662</v>
      </c>
      <c r="Z196" s="271">
        <f>'Output - Jobs vs Yr (BAU)'!Z69</f>
        <v>133.05188373795497</v>
      </c>
      <c r="AA196" s="271">
        <f>'Output - Jobs vs Yr (BAU)'!AA69</f>
        <v>136.11533052750542</v>
      </c>
      <c r="AB196" s="271">
        <f>'Output - Jobs vs Yr (BAU)'!AB69</f>
        <v>137.93776870674876</v>
      </c>
      <c r="AC196" s="271">
        <f>'Output - Jobs vs Yr (BAU)'!AC69</f>
        <v>136.79078891667496</v>
      </c>
      <c r="AD196" s="271">
        <f>'Output - Jobs vs Yr (BAU)'!AD69</f>
        <v>135.92672759012837</v>
      </c>
      <c r="AE196" s="271">
        <f>'Output - Jobs vs Yr (BAU)'!AE69</f>
        <v>135.36489639221708</v>
      </c>
      <c r="AF196" s="271">
        <f>'Output - Jobs vs Yr (BAU)'!AF69</f>
        <v>134.46112304810833</v>
      </c>
      <c r="AG196" s="271">
        <f>'Output - Jobs vs Yr (BAU)'!AG69</f>
        <v>133.07167966770226</v>
      </c>
      <c r="AH196" s="184">
        <f>'Output - Jobs vs Yr (BAU)'!AH69</f>
        <v>129.73087602187121</v>
      </c>
    </row>
    <row r="197" spans="1:34">
      <c r="A197" t="s">
        <v>390</v>
      </c>
      <c r="C197" s="331">
        <f>SUM(C198:C199)</f>
        <v>1.4221500000000002</v>
      </c>
      <c r="D197" s="331">
        <f t="shared" ref="D197:AH197" si="113">SUM(D198:D199)</f>
        <v>1.1371500000000001</v>
      </c>
      <c r="E197" s="331">
        <f t="shared" si="113"/>
        <v>1.3982813296855467</v>
      </c>
      <c r="F197" s="331">
        <f t="shared" si="113"/>
        <v>1.1780707952893343</v>
      </c>
      <c r="G197" s="331">
        <f t="shared" si="113"/>
        <v>1.1421006566058818</v>
      </c>
      <c r="H197" s="402">
        <f t="shared" si="113"/>
        <v>1.1613760464649845</v>
      </c>
      <c r="I197" s="14">
        <f t="shared" si="113"/>
        <v>1.18437085473614</v>
      </c>
      <c r="J197" s="14">
        <f t="shared" si="113"/>
        <v>1.2074746522566362</v>
      </c>
      <c r="K197" s="14">
        <f t="shared" si="113"/>
        <v>1.2198989458465319</v>
      </c>
      <c r="L197" s="14">
        <f t="shared" si="113"/>
        <v>1.2198994266814553</v>
      </c>
      <c r="M197" s="14">
        <f t="shared" si="113"/>
        <v>1.2198995869597635</v>
      </c>
      <c r="N197" s="187">
        <f t="shared" si="113"/>
        <v>1.2198989458465319</v>
      </c>
      <c r="O197" s="14">
        <f t="shared" si="113"/>
        <v>1.2198989458465319</v>
      </c>
      <c r="P197" s="14">
        <f t="shared" si="113"/>
        <v>1.2198992664031474</v>
      </c>
      <c r="Q197" s="14">
        <f t="shared" si="113"/>
        <v>1.280439268289034</v>
      </c>
      <c r="R197" s="14">
        <f t="shared" si="113"/>
        <v>1.2804391080107262</v>
      </c>
      <c r="S197" s="15">
        <f t="shared" si="113"/>
        <v>1.2804405505154968</v>
      </c>
      <c r="T197" s="14">
        <f t="shared" si="113"/>
        <v>1.2804432752467307</v>
      </c>
      <c r="U197" s="14">
        <f t="shared" si="113"/>
        <v>1.2894013901509822</v>
      </c>
      <c r="V197" s="14">
        <f t="shared" si="113"/>
        <v>1.2983437977810639</v>
      </c>
      <c r="W197" s="14">
        <f t="shared" si="113"/>
        <v>1.2983452402858349</v>
      </c>
      <c r="X197" s="187">
        <f t="shared" si="113"/>
        <v>1.2983450800075265</v>
      </c>
      <c r="Y197" s="158">
        <f t="shared" si="113"/>
        <v>1.2983452402858349</v>
      </c>
      <c r="Z197" s="158">
        <f t="shared" si="113"/>
        <v>1.2983455608424506</v>
      </c>
      <c r="AA197" s="158">
        <f t="shared" si="113"/>
        <v>1.2983436375027562</v>
      </c>
      <c r="AB197" s="158">
        <f t="shared" si="113"/>
        <v>1.2983436375027562</v>
      </c>
      <c r="AC197" s="158">
        <f t="shared" si="113"/>
        <v>1.2983436375027562</v>
      </c>
      <c r="AD197" s="158">
        <f t="shared" si="113"/>
        <v>1.3048275361686696</v>
      </c>
      <c r="AE197" s="158">
        <f t="shared" si="113"/>
        <v>1.3048275361686696</v>
      </c>
      <c r="AF197" s="158">
        <f t="shared" si="113"/>
        <v>1.3048275361686696</v>
      </c>
      <c r="AG197" s="158">
        <f t="shared" si="113"/>
        <v>1.3048275361686696</v>
      </c>
      <c r="AH197" s="187">
        <f t="shared" si="113"/>
        <v>1.3048291389517486</v>
      </c>
    </row>
    <row r="198" spans="1:34">
      <c r="A198" t="s">
        <v>392</v>
      </c>
      <c r="C198" s="330">
        <f>SUM('Output - Jobs vs Yr (BAU)'!C40:C43)</f>
        <v>0.74850000000000005</v>
      </c>
      <c r="D198" s="330">
        <f>SUM('Output - Jobs vs Yr (BAU)'!D40:D43)</f>
        <v>0.59850000000000003</v>
      </c>
      <c r="E198" s="330">
        <f>SUM('Output - Jobs vs Yr (BAU)'!E40:E43)</f>
        <v>0.73593754193976135</v>
      </c>
      <c r="F198" s="330">
        <f>SUM('Output - Jobs vs Yr (BAU)'!F40:F43)</f>
        <v>0.62003726067859699</v>
      </c>
      <c r="G198" s="330">
        <f>SUM('Output - Jobs vs Yr (BAU)'!G40:G43)</f>
        <v>0.60110560873993779</v>
      </c>
      <c r="H198" s="286">
        <f>SUM('Output - Jobs vs Yr (BAU)'!H40:H43)</f>
        <v>0.6112505507710444</v>
      </c>
      <c r="I198" s="118">
        <f>SUM('Output - Jobs vs Yr (BAU)'!I40:I43)</f>
        <v>0.62335308144007362</v>
      </c>
      <c r="J198" s="118">
        <f>SUM('Output - Jobs vs Yr (BAU)'!J40:J43)</f>
        <v>0.63551297487191372</v>
      </c>
      <c r="K198" s="118">
        <f>SUM('Output - Jobs vs Yr (BAU)'!K40:K43)</f>
        <v>0.64205207676133258</v>
      </c>
      <c r="L198" s="118">
        <f>SUM('Output - Jobs vs Yr (BAU)'!L40:L43)</f>
        <v>0.64205232983234484</v>
      </c>
      <c r="M198" s="118">
        <f>SUM('Output - Jobs vs Yr (BAU)'!M40:M43)</f>
        <v>0.64205241418934922</v>
      </c>
      <c r="N198" s="177">
        <f>SUM('Output - Jobs vs Yr (BAU)'!N40:N43)</f>
        <v>0.64205207676133258</v>
      </c>
      <c r="O198" s="118">
        <f>SUM('Output - Jobs vs Yr (BAU)'!O40:O43)</f>
        <v>0.64205207676133258</v>
      </c>
      <c r="P198" s="118">
        <f>SUM('Output - Jobs vs Yr (BAU)'!P40:P43)</f>
        <v>0.64205224547534079</v>
      </c>
      <c r="Q198" s="118">
        <f>SUM('Output - Jobs vs Yr (BAU)'!Q40:Q43)</f>
        <v>0.67391540436264952</v>
      </c>
      <c r="R198" s="118">
        <f>SUM('Output - Jobs vs Yr (BAU)'!R40:R43)</f>
        <v>0.67391532000564536</v>
      </c>
      <c r="S198" s="118">
        <f>SUM('Output - Jobs vs Yr (BAU)'!S40:S43)</f>
        <v>0.67391607921868257</v>
      </c>
      <c r="T198" s="118">
        <f>SUM('Output - Jobs vs Yr (BAU)'!T40:T43)</f>
        <v>0.67391751328775296</v>
      </c>
      <c r="U198" s="118">
        <f>SUM('Output - Jobs vs Yr (BAU)'!U40:U43)</f>
        <v>0.67863231060578011</v>
      </c>
      <c r="V198" s="118">
        <f>SUM('Output - Jobs vs Yr (BAU)'!V40:V43)</f>
        <v>0.68333884093740205</v>
      </c>
      <c r="W198" s="118">
        <f>SUM('Output - Jobs vs Yr (BAU)'!W40:W43)</f>
        <v>0.68333960015043937</v>
      </c>
      <c r="X198" s="184">
        <f>SUM('Output - Jobs vs Yr (BAU)'!X40:X43)</f>
        <v>0.68333951579343499</v>
      </c>
      <c r="Y198" s="271">
        <f>SUM('Output - Jobs vs Yr (BAU)'!Y40:Y43)</f>
        <v>0.68333960015043937</v>
      </c>
      <c r="Z198" s="271">
        <f>SUM('Output - Jobs vs Yr (BAU)'!Z40:Z43)</f>
        <v>0.68333976886444758</v>
      </c>
      <c r="AA198" s="271">
        <f>SUM('Output - Jobs vs Yr (BAU)'!AA40:AA43)</f>
        <v>0.683338756580398</v>
      </c>
      <c r="AB198" s="271">
        <f>SUM('Output - Jobs vs Yr (BAU)'!AB40:AB43)</f>
        <v>0.683338756580398</v>
      </c>
      <c r="AC198" s="271">
        <f>SUM('Output - Jobs vs Yr (BAU)'!AC40:AC43)</f>
        <v>0.683338756580398</v>
      </c>
      <c r="AD198" s="271">
        <f>SUM('Output - Jobs vs Yr (BAU)'!AD40:AD43)</f>
        <v>0.68675133482561557</v>
      </c>
      <c r="AE198" s="271">
        <f>SUM('Output - Jobs vs Yr (BAU)'!AE40:AE43)</f>
        <v>0.68675133482561557</v>
      </c>
      <c r="AF198" s="271">
        <f>SUM('Output - Jobs vs Yr (BAU)'!AF40:AF43)</f>
        <v>0.68675133482561557</v>
      </c>
      <c r="AG198" s="271">
        <f>SUM('Output - Jobs vs Yr (BAU)'!AG40:AG43)</f>
        <v>0.68675133482561557</v>
      </c>
      <c r="AH198" s="184">
        <f>SUM('Output - Jobs vs Yr (BAU)'!AH40:AH43)</f>
        <v>0.68675217839565705</v>
      </c>
    </row>
    <row r="199" spans="1:34">
      <c r="A199" t="s">
        <v>391</v>
      </c>
      <c r="C199" s="330">
        <f>SUM('Output - Jobs vs Yr (BAU)'!C58:C61)</f>
        <v>0.67365000000000008</v>
      </c>
      <c r="D199" s="330">
        <f>SUM('Output - Jobs vs Yr (BAU)'!D58:D61)</f>
        <v>0.53865000000000007</v>
      </c>
      <c r="E199" s="330">
        <f>SUM('Output - Jobs vs Yr (BAU)'!E58:E61)</f>
        <v>0.66234378774578528</v>
      </c>
      <c r="F199" s="330">
        <f>SUM('Output - Jobs vs Yr (BAU)'!F58:F61)</f>
        <v>0.55803353461073735</v>
      </c>
      <c r="G199" s="330">
        <f>SUM('Output - Jobs vs Yr (BAU)'!G58:G61)</f>
        <v>0.54099504786594399</v>
      </c>
      <c r="H199" s="286">
        <f>SUM('Output - Jobs vs Yr (BAU)'!H58:H61)</f>
        <v>0.55012549569393998</v>
      </c>
      <c r="I199" s="118">
        <f>SUM('Output - Jobs vs Yr (BAU)'!I58:I61)</f>
        <v>0.56101777329606628</v>
      </c>
      <c r="J199" s="118">
        <f>SUM('Output - Jobs vs Yr (BAU)'!J58:J61)</f>
        <v>0.57196167738472237</v>
      </c>
      <c r="K199" s="118">
        <f>SUM('Output - Jobs vs Yr (BAU)'!K58:K61)</f>
        <v>0.57784686908519933</v>
      </c>
      <c r="L199" s="118">
        <f>SUM('Output - Jobs vs Yr (BAU)'!L58:L61)</f>
        <v>0.5778470968491104</v>
      </c>
      <c r="M199" s="118">
        <f>SUM('Output - Jobs vs Yr (BAU)'!M58:M61)</f>
        <v>0.57784717277041431</v>
      </c>
      <c r="N199" s="177">
        <f>SUM('Output - Jobs vs Yr (BAU)'!N58:N61)</f>
        <v>0.57784686908519933</v>
      </c>
      <c r="O199" s="118">
        <f>SUM('Output - Jobs vs Yr (BAU)'!O58:O61)</f>
        <v>0.57784686908519933</v>
      </c>
      <c r="P199" s="118">
        <f>SUM('Output - Jobs vs Yr (BAU)'!P58:P61)</f>
        <v>0.57784702092780671</v>
      </c>
      <c r="Q199" s="118">
        <f>SUM('Output - Jobs vs Yr (BAU)'!Q58:Q61)</f>
        <v>0.60652386392638458</v>
      </c>
      <c r="R199" s="118">
        <f>SUM('Output - Jobs vs Yr (BAU)'!R58:R61)</f>
        <v>0.60652378800508089</v>
      </c>
      <c r="S199" s="118">
        <f>SUM('Output - Jobs vs Yr (BAU)'!S58:S61)</f>
        <v>0.6065244712968143</v>
      </c>
      <c r="T199" s="118">
        <f>SUM('Output - Jobs vs Yr (BAU)'!T58:T61)</f>
        <v>0.60652576195897767</v>
      </c>
      <c r="U199" s="118">
        <f>SUM('Output - Jobs vs Yr (BAU)'!U58:U61)</f>
        <v>0.6107690795452021</v>
      </c>
      <c r="V199" s="118">
        <f>SUM('Output - Jobs vs Yr (BAU)'!V58:V61)</f>
        <v>0.61500495684366185</v>
      </c>
      <c r="W199" s="118">
        <f>SUM('Output - Jobs vs Yr (BAU)'!W58:W61)</f>
        <v>0.61500564013539549</v>
      </c>
      <c r="X199" s="184">
        <f>SUM('Output - Jobs vs Yr (BAU)'!X58:X61)</f>
        <v>0.61500556421409147</v>
      </c>
      <c r="Y199" s="271">
        <f>SUM('Output - Jobs vs Yr (BAU)'!Y58:Y61)</f>
        <v>0.61500564013539549</v>
      </c>
      <c r="Z199" s="271">
        <f>SUM('Output - Jobs vs Yr (BAU)'!Z58:Z61)</f>
        <v>0.61500579197800287</v>
      </c>
      <c r="AA199" s="271">
        <f>SUM('Output - Jobs vs Yr (BAU)'!AA58:AA61)</f>
        <v>0.61500488092235817</v>
      </c>
      <c r="AB199" s="271">
        <f>SUM('Output - Jobs vs Yr (BAU)'!AB58:AB61)</f>
        <v>0.61500488092235817</v>
      </c>
      <c r="AC199" s="271">
        <f>SUM('Output - Jobs vs Yr (BAU)'!AC58:AC61)</f>
        <v>0.61500488092235817</v>
      </c>
      <c r="AD199" s="271">
        <f>SUM('Output - Jobs vs Yr (BAU)'!AD58:AD61)</f>
        <v>0.61807620134305408</v>
      </c>
      <c r="AE199" s="271">
        <f>SUM('Output - Jobs vs Yr (BAU)'!AE58:AE61)</f>
        <v>0.61807620134305408</v>
      </c>
      <c r="AF199" s="271">
        <f>SUM('Output - Jobs vs Yr (BAU)'!AF58:AF61)</f>
        <v>0.61807620134305408</v>
      </c>
      <c r="AG199" s="271">
        <f>SUM('Output - Jobs vs Yr (BAU)'!AG58:AG61)</f>
        <v>0.61807620134305408</v>
      </c>
      <c r="AH199" s="184">
        <f>SUM('Output - Jobs vs Yr (BAU)'!AH58:AH61)</f>
        <v>0.6180769605560914</v>
      </c>
    </row>
    <row r="200" spans="1:34">
      <c r="A200" t="s">
        <v>393</v>
      </c>
      <c r="C200" s="331">
        <f>SUM(C201:C202)</f>
        <v>1573.77</v>
      </c>
      <c r="D200" s="331">
        <f t="shared" ref="D200:AH200" si="114">SUM(D201:D202)</f>
        <v>1584.847</v>
      </c>
      <c r="E200" s="331">
        <f t="shared" si="114"/>
        <v>1641.8962906991237</v>
      </c>
      <c r="F200" s="331">
        <f t="shared" si="114"/>
        <v>1615.0315589410411</v>
      </c>
      <c r="G200" s="331">
        <f t="shared" si="114"/>
        <v>1571.883313657283</v>
      </c>
      <c r="H200" s="402">
        <f t="shared" si="114"/>
        <v>1633.2805260997288</v>
      </c>
      <c r="I200" s="14">
        <f t="shared" si="114"/>
        <v>1669.765433497043</v>
      </c>
      <c r="J200" s="14">
        <f t="shared" si="114"/>
        <v>1713.4248966353525</v>
      </c>
      <c r="K200" s="14">
        <f t="shared" si="114"/>
        <v>1759.5854738051562</v>
      </c>
      <c r="L200" s="14">
        <f t="shared" si="114"/>
        <v>1767.4264780372357</v>
      </c>
      <c r="M200" s="14">
        <f t="shared" si="114"/>
        <v>1758.7116323770838</v>
      </c>
      <c r="N200" s="187">
        <f t="shared" si="114"/>
        <v>1721.6797855079435</v>
      </c>
      <c r="O200" s="14">
        <f t="shared" si="114"/>
        <v>1699.277579518835</v>
      </c>
      <c r="P200" s="14">
        <f t="shared" si="114"/>
        <v>1650.2884947794014</v>
      </c>
      <c r="Q200" s="14">
        <f t="shared" si="114"/>
        <v>1613.6759672616577</v>
      </c>
      <c r="R200" s="14">
        <f t="shared" si="114"/>
        <v>1599.3133372777179</v>
      </c>
      <c r="S200" s="15">
        <f t="shared" si="114"/>
        <v>1593.3662342036832</v>
      </c>
      <c r="T200" s="14">
        <f t="shared" si="114"/>
        <v>1544.5438230347568</v>
      </c>
      <c r="U200" s="14">
        <f t="shared" si="114"/>
        <v>1472.6559253578112</v>
      </c>
      <c r="V200" s="14">
        <f t="shared" si="114"/>
        <v>1473.059213677602</v>
      </c>
      <c r="W200" s="14">
        <f t="shared" si="114"/>
        <v>1420.179640627468</v>
      </c>
      <c r="X200" s="187">
        <f t="shared" si="114"/>
        <v>1443.6585201941089</v>
      </c>
      <c r="Y200" s="158">
        <f t="shared" si="114"/>
        <v>1464.9010025765324</v>
      </c>
      <c r="Z200" s="158">
        <f t="shared" si="114"/>
        <v>1511.2909026975976</v>
      </c>
      <c r="AA200" s="158">
        <f t="shared" si="114"/>
        <v>1555.3383058767163</v>
      </c>
      <c r="AB200" s="158">
        <f t="shared" si="114"/>
        <v>1582.0961731941313</v>
      </c>
      <c r="AC200" s="158">
        <f t="shared" si="114"/>
        <v>1564.7134552543398</v>
      </c>
      <c r="AD200" s="158">
        <f t="shared" si="114"/>
        <v>1549.4618540441857</v>
      </c>
      <c r="AE200" s="158">
        <f t="shared" si="114"/>
        <v>1538.6991328542827</v>
      </c>
      <c r="AF200" s="158">
        <f t="shared" si="114"/>
        <v>1524.5771595151591</v>
      </c>
      <c r="AG200" s="158">
        <f t="shared" si="114"/>
        <v>1504.358150625827</v>
      </c>
      <c r="AH200" s="187">
        <f t="shared" si="114"/>
        <v>1454.2479860782119</v>
      </c>
    </row>
    <row r="201" spans="1:34">
      <c r="A201" t="s">
        <v>394</v>
      </c>
      <c r="C201" s="330">
        <f>SUM('Output - Jobs vs Yr (BAU)'!C53:C54)</f>
        <v>828.3</v>
      </c>
      <c r="D201" s="330">
        <f>SUM('Output - Jobs vs Yr (BAU)'!D53:D54)</f>
        <v>834.13</v>
      </c>
      <c r="E201" s="330">
        <f>SUM('Output - Jobs vs Yr (BAU)'!E53:E54)</f>
        <v>864.15594247322304</v>
      </c>
      <c r="F201" s="330">
        <f>SUM('Output - Jobs vs Yr (BAU)'!F53:F54)</f>
        <v>850.01660996896896</v>
      </c>
      <c r="G201" s="330">
        <f>SUM('Output - Jobs vs Yr (BAU)'!G53:G54)</f>
        <v>827.30700718804371</v>
      </c>
      <c r="H201" s="286">
        <f>SUM('Output - Jobs vs Yr (BAU)'!H53:H54)</f>
        <v>859.62132952617299</v>
      </c>
      <c r="I201" s="118">
        <f>SUM('Output - Jobs vs Yr (BAU)'!I53:I54)</f>
        <v>878.82391236686476</v>
      </c>
      <c r="J201" s="118">
        <f>SUM('Output - Jobs vs Yr (BAU)'!J53:J54)</f>
        <v>901.80257717650125</v>
      </c>
      <c r="K201" s="118">
        <f>SUM('Output - Jobs vs Yr (BAU)'!K53:K54)</f>
        <v>926.09761779218741</v>
      </c>
      <c r="L201" s="118">
        <f>SUM('Output - Jobs vs Yr (BAU)'!L53:L54)</f>
        <v>930.22446212486091</v>
      </c>
      <c r="M201" s="118">
        <f>SUM('Output - Jobs vs Yr (BAU)'!M53:M54)</f>
        <v>925.6377012510967</v>
      </c>
      <c r="N201" s="177">
        <f>SUM('Output - Jobs vs Yr (BAU)'!N53:N54)</f>
        <v>906.14725553049652</v>
      </c>
      <c r="O201" s="118">
        <f>SUM('Output - Jobs vs Yr (BAU)'!O53:O54)</f>
        <v>894.35662079938686</v>
      </c>
      <c r="P201" s="118">
        <f>SUM('Output - Jobs vs Yr (BAU)'!P53:P54)</f>
        <v>868.57289198915862</v>
      </c>
      <c r="Q201" s="118">
        <f>SUM('Output - Jobs vs Yr (BAU)'!Q53:Q54)</f>
        <v>849.30314066403037</v>
      </c>
      <c r="R201" s="118">
        <f>SUM('Output - Jobs vs Yr (BAU)'!R53:R54)</f>
        <v>841.7438617251147</v>
      </c>
      <c r="S201" s="118">
        <f>SUM('Output - Jobs vs Yr (BAU)'!S53:S54)</f>
        <v>838.61380747562271</v>
      </c>
      <c r="T201" s="118">
        <f>SUM('Output - Jobs vs Yr (BAU)'!T53:T54)</f>
        <v>812.91780159724033</v>
      </c>
      <c r="U201" s="118">
        <f>SUM('Output - Jobs vs Yr (BAU)'!U53:U54)</f>
        <v>775.08206597779531</v>
      </c>
      <c r="V201" s="118">
        <f>SUM('Output - Jobs vs Yr (BAU)'!V53:V54)</f>
        <v>775.29432298821155</v>
      </c>
      <c r="W201" s="118">
        <f>SUM('Output - Jobs vs Yr (BAU)'!W53:W54)</f>
        <v>747.46296875129894</v>
      </c>
      <c r="X201" s="184">
        <f>SUM('Output - Jobs vs Yr (BAU)'!X53:X54)</f>
        <v>759.82027378637315</v>
      </c>
      <c r="Y201" s="271">
        <f>SUM('Output - Jobs vs Yr (BAU)'!Y53:Y54)</f>
        <v>771.00052767185923</v>
      </c>
      <c r="Z201" s="271">
        <f>SUM('Output - Jobs vs Yr (BAU)'!Z53:Z54)</f>
        <v>795.41626457768302</v>
      </c>
      <c r="AA201" s="271">
        <f>SUM('Output - Jobs vs Yr (BAU)'!AA53:AA54)</f>
        <v>818.59910835616643</v>
      </c>
      <c r="AB201" s="271">
        <f>SUM('Output - Jobs vs Yr (BAU)'!AB53:AB54)</f>
        <v>832.68219641796384</v>
      </c>
      <c r="AC201" s="271">
        <f>SUM('Output - Jobs vs Yr (BAU)'!AC53:AC54)</f>
        <v>823.53339750228417</v>
      </c>
      <c r="AD201" s="271">
        <f>SUM('Output - Jobs vs Yr (BAU)'!AD53:AD54)</f>
        <v>815.50623897062405</v>
      </c>
      <c r="AE201" s="271">
        <f>SUM('Output - Jobs vs Yr (BAU)'!AE53:AE54)</f>
        <v>809.84164887067516</v>
      </c>
      <c r="AF201" s="271">
        <f>SUM('Output - Jobs vs Yr (BAU)'!AF53:AF54)</f>
        <v>802.40903132376786</v>
      </c>
      <c r="AG201" s="271">
        <f>SUM('Output - Jobs vs Yr (BAU)'!AG53:AG54)</f>
        <v>791.76744769780362</v>
      </c>
      <c r="AH201" s="184">
        <f>SUM('Output - Jobs vs Yr (BAU)'!AH53:AH54)</f>
        <v>765.39367688326945</v>
      </c>
    </row>
    <row r="202" spans="1:34">
      <c r="A202" t="s">
        <v>395</v>
      </c>
      <c r="C202" s="330">
        <f>SUM('Output - Jobs vs Yr (BAU)'!C71:C72)</f>
        <v>745.47</v>
      </c>
      <c r="D202" s="330">
        <f>SUM('Output - Jobs vs Yr (BAU)'!D71:D72)</f>
        <v>750.71699999999998</v>
      </c>
      <c r="E202" s="330">
        <f>SUM('Output - Jobs vs Yr (BAU)'!E71:E72)</f>
        <v>777.74034822590079</v>
      </c>
      <c r="F202" s="330">
        <f>SUM('Output - Jobs vs Yr (BAU)'!F71:F72)</f>
        <v>765.01494897207203</v>
      </c>
      <c r="G202" s="330">
        <f>SUM('Output - Jobs vs Yr (BAU)'!G71:G72)</f>
        <v>744.5763064692394</v>
      </c>
      <c r="H202" s="286">
        <f>SUM('Output - Jobs vs Yr (BAU)'!H71:H72)</f>
        <v>773.65919657355573</v>
      </c>
      <c r="I202" s="118">
        <f>SUM('Output - Jobs vs Yr (BAU)'!I71:I72)</f>
        <v>790.94152113017833</v>
      </c>
      <c r="J202" s="118">
        <f>SUM('Output - Jobs vs Yr (BAU)'!J71:J72)</f>
        <v>811.62231945885117</v>
      </c>
      <c r="K202" s="118">
        <f>SUM('Output - Jobs vs Yr (BAU)'!K71:K72)</f>
        <v>833.48785601296868</v>
      </c>
      <c r="L202" s="118">
        <f>SUM('Output - Jobs vs Yr (BAU)'!L71:L72)</f>
        <v>837.2020159123748</v>
      </c>
      <c r="M202" s="118">
        <f>SUM('Output - Jobs vs Yr (BAU)'!M71:M72)</f>
        <v>833.07393112598709</v>
      </c>
      <c r="N202" s="177">
        <f>SUM('Output - Jobs vs Yr (BAU)'!N71:N72)</f>
        <v>815.53252997744687</v>
      </c>
      <c r="O202" s="118">
        <f>SUM('Output - Jobs vs Yr (BAU)'!O71:O72)</f>
        <v>804.92095871944821</v>
      </c>
      <c r="P202" s="118">
        <f>SUM('Output - Jobs vs Yr (BAU)'!P71:P72)</f>
        <v>781.71560279024277</v>
      </c>
      <c r="Q202" s="118">
        <f>SUM('Output - Jobs vs Yr (BAU)'!Q71:Q72)</f>
        <v>764.3728265976273</v>
      </c>
      <c r="R202" s="118">
        <f>SUM('Output - Jobs vs Yr (BAU)'!R71:R72)</f>
        <v>757.56947555260319</v>
      </c>
      <c r="S202" s="118">
        <f>SUM('Output - Jobs vs Yr (BAU)'!S71:S72)</f>
        <v>754.75242672806041</v>
      </c>
      <c r="T202" s="118">
        <f>SUM('Output - Jobs vs Yr (BAU)'!T71:T72)</f>
        <v>731.62602143751633</v>
      </c>
      <c r="U202" s="118">
        <f>SUM('Output - Jobs vs Yr (BAU)'!U71:U72)</f>
        <v>697.57385938001585</v>
      </c>
      <c r="V202" s="118">
        <f>SUM('Output - Jobs vs Yr (BAU)'!V71:V72)</f>
        <v>697.76489068939043</v>
      </c>
      <c r="W202" s="118">
        <f>SUM('Output - Jobs vs Yr (BAU)'!W71:W72)</f>
        <v>672.71667187616902</v>
      </c>
      <c r="X202" s="184">
        <f>SUM('Output - Jobs vs Yr (BAU)'!X71:X72)</f>
        <v>683.83824640773582</v>
      </c>
      <c r="Y202" s="271">
        <f>SUM('Output - Jobs vs Yr (BAU)'!Y71:Y72)</f>
        <v>693.90047490467327</v>
      </c>
      <c r="Z202" s="271">
        <f>SUM('Output - Jobs vs Yr (BAU)'!Z71:Z72)</f>
        <v>715.87463811991472</v>
      </c>
      <c r="AA202" s="271">
        <f>SUM('Output - Jobs vs Yr (BAU)'!AA71:AA72)</f>
        <v>736.73919752054985</v>
      </c>
      <c r="AB202" s="271">
        <f>SUM('Output - Jobs vs Yr (BAU)'!AB71:AB72)</f>
        <v>749.41397677616749</v>
      </c>
      <c r="AC202" s="271">
        <f>SUM('Output - Jobs vs Yr (BAU)'!AC71:AC72)</f>
        <v>741.18005775205575</v>
      </c>
      <c r="AD202" s="271">
        <f>SUM('Output - Jobs vs Yr (BAU)'!AD71:AD72)</f>
        <v>733.95561507356172</v>
      </c>
      <c r="AE202" s="271">
        <f>SUM('Output - Jobs vs Yr (BAU)'!AE71:AE72)</f>
        <v>728.85748398360761</v>
      </c>
      <c r="AF202" s="271">
        <f>SUM('Output - Jobs vs Yr (BAU)'!AF71:AF72)</f>
        <v>722.16812819139113</v>
      </c>
      <c r="AG202" s="271">
        <f>SUM('Output - Jobs vs Yr (BAU)'!AG71:AG72)</f>
        <v>712.59070292802323</v>
      </c>
      <c r="AH202" s="184">
        <f>SUM('Output - Jobs vs Yr (BAU)'!AH71:AH72)</f>
        <v>688.85430919494252</v>
      </c>
    </row>
    <row r="203" spans="1:34">
      <c r="A203" s="1" t="s">
        <v>424</v>
      </c>
      <c r="C203" s="331">
        <f>SUM(C191,C194,C197,C200)</f>
        <v>1616.5222799999999</v>
      </c>
      <c r="D203" s="331">
        <f t="shared" ref="D203:AH203" si="115">SUM(D191,D194,D197,D200)</f>
        <v>1858.3280600000001</v>
      </c>
      <c r="E203" s="331">
        <f t="shared" si="115"/>
        <v>1929.3650786375958</v>
      </c>
      <c r="F203" s="331">
        <f t="shared" si="115"/>
        <v>1900.0384680103516</v>
      </c>
      <c r="G203" s="331">
        <f t="shared" si="115"/>
        <v>1856.0409550844574</v>
      </c>
      <c r="H203" s="402">
        <f t="shared" si="115"/>
        <v>1926.4364276027302</v>
      </c>
      <c r="I203" s="14">
        <f t="shared" si="115"/>
        <v>1970.3832550217262</v>
      </c>
      <c r="J203" s="14">
        <f t="shared" si="115"/>
        <v>2022.5876842721993</v>
      </c>
      <c r="K203" s="14">
        <f t="shared" si="115"/>
        <v>2075.4606119181012</v>
      </c>
      <c r="L203" s="14">
        <f t="shared" si="115"/>
        <v>2084.508704872022</v>
      </c>
      <c r="M203" s="132">
        <f t="shared" si="115"/>
        <v>2074.6613743933426</v>
      </c>
      <c r="N203" s="193">
        <f t="shared" si="115"/>
        <v>2032.4239581232034</v>
      </c>
      <c r="O203" s="14">
        <f t="shared" si="115"/>
        <v>2007.1415974269682</v>
      </c>
      <c r="P203" s="14">
        <f t="shared" si="115"/>
        <v>1951.1327632840128</v>
      </c>
      <c r="Q203" s="14">
        <f t="shared" si="115"/>
        <v>1909.4431457068029</v>
      </c>
      <c r="R203" s="14">
        <f t="shared" si="115"/>
        <v>1893.0732964867195</v>
      </c>
      <c r="S203" s="14">
        <f t="shared" si="115"/>
        <v>1886.4432753501385</v>
      </c>
      <c r="T203" s="14">
        <f t="shared" si="115"/>
        <v>1830.6850750130795</v>
      </c>
      <c r="U203" s="14">
        <f t="shared" si="115"/>
        <v>1748.5633767119689</v>
      </c>
      <c r="V203" s="14">
        <f t="shared" si="115"/>
        <v>1749.5614412496498</v>
      </c>
      <c r="W203" s="14">
        <f t="shared" si="115"/>
        <v>1688.9895348715165</v>
      </c>
      <c r="X203" s="187">
        <f t="shared" si="115"/>
        <v>1715.885325114815</v>
      </c>
      <c r="Y203" s="158">
        <f t="shared" si="115"/>
        <v>1740.4074698040099</v>
      </c>
      <c r="Z203" s="158">
        <f t="shared" si="115"/>
        <v>1793.4765583719004</v>
      </c>
      <c r="AA203" s="158">
        <f t="shared" si="115"/>
        <v>1843.9912361833972</v>
      </c>
      <c r="AB203" s="158">
        <f t="shared" si="115"/>
        <v>1874.5964729903258</v>
      </c>
      <c r="AC203" s="158">
        <f t="shared" si="115"/>
        <v>1854.7923532714897</v>
      </c>
      <c r="AD203" s="158">
        <f t="shared" si="115"/>
        <v>1837.7231064928474</v>
      </c>
      <c r="AE203" s="158">
        <f t="shared" si="115"/>
        <v>1825.7742972184651</v>
      </c>
      <c r="AF203" s="158">
        <f t="shared" si="115"/>
        <v>1809.7443579306675</v>
      </c>
      <c r="AG203" s="158">
        <f t="shared" si="115"/>
        <v>1786.5920796827004</v>
      </c>
      <c r="AH203" s="187">
        <f t="shared" si="115"/>
        <v>1729.4291090411139</v>
      </c>
    </row>
    <row r="204" spans="1:34">
      <c r="A204" s="1" t="s">
        <v>447</v>
      </c>
      <c r="C204" s="331"/>
      <c r="D204" s="331">
        <f>D194+D197</f>
        <v>273.48106000000001</v>
      </c>
      <c r="E204" s="331">
        <f t="shared" ref="E204:AH204" si="116">E194+E197</f>
        <v>287.46878793847213</v>
      </c>
      <c r="F204" s="331">
        <f t="shared" si="116"/>
        <v>285.00690906931055</v>
      </c>
      <c r="G204" s="331">
        <f t="shared" si="116"/>
        <v>284.15764142717438</v>
      </c>
      <c r="H204" s="402">
        <f t="shared" si="116"/>
        <v>293.15590150300136</v>
      </c>
      <c r="I204" s="14">
        <f t="shared" si="116"/>
        <v>300.61782152468311</v>
      </c>
      <c r="J204" s="14">
        <f t="shared" si="116"/>
        <v>309.16278763684676</v>
      </c>
      <c r="K204" s="14">
        <f t="shared" si="116"/>
        <v>315.87513811294491</v>
      </c>
      <c r="L204" s="14">
        <f t="shared" si="116"/>
        <v>317.08222683478618</v>
      </c>
      <c r="M204" s="14">
        <f t="shared" si="116"/>
        <v>315.94974201625888</v>
      </c>
      <c r="N204" s="187">
        <f t="shared" si="116"/>
        <v>310.74417261525986</v>
      </c>
      <c r="O204" s="14">
        <f t="shared" si="116"/>
        <v>307.86401790813335</v>
      </c>
      <c r="P204" s="14">
        <f t="shared" si="116"/>
        <v>300.84426850461136</v>
      </c>
      <c r="Q204" s="14">
        <f t="shared" si="116"/>
        <v>295.76717844514513</v>
      </c>
      <c r="R204" s="14">
        <f t="shared" si="116"/>
        <v>293.75995920900169</v>
      </c>
      <c r="S204" s="14">
        <f t="shared" si="116"/>
        <v>293.0770411464552</v>
      </c>
      <c r="T204" s="14">
        <f t="shared" si="116"/>
        <v>286.14125197832283</v>
      </c>
      <c r="U204" s="14">
        <f t="shared" si="116"/>
        <v>275.90745135415784</v>
      </c>
      <c r="V204" s="14">
        <f t="shared" si="116"/>
        <v>276.50222757204773</v>
      </c>
      <c r="W204" s="14">
        <f t="shared" si="116"/>
        <v>268.80989424404851</v>
      </c>
      <c r="X204" s="187">
        <f t="shared" si="116"/>
        <v>272.22680492070623</v>
      </c>
      <c r="Y204" s="158">
        <f t="shared" si="116"/>
        <v>275.50646722747751</v>
      </c>
      <c r="Z204" s="158">
        <f t="shared" si="116"/>
        <v>282.18565567430289</v>
      </c>
      <c r="AA204" s="158">
        <f t="shared" si="116"/>
        <v>288.65293030668079</v>
      </c>
      <c r="AB204" s="158">
        <f t="shared" si="116"/>
        <v>292.50029979619455</v>
      </c>
      <c r="AC204" s="158">
        <f t="shared" si="116"/>
        <v>290.07889801714981</v>
      </c>
      <c r="AD204" s="158">
        <f t="shared" si="116"/>
        <v>288.26125244866182</v>
      </c>
      <c r="AE204" s="158">
        <f t="shared" si="116"/>
        <v>287.07516436418246</v>
      </c>
      <c r="AF204" s="158">
        <f t="shared" si="116"/>
        <v>285.16719841550844</v>
      </c>
      <c r="AG204" s="158">
        <f t="shared" si="116"/>
        <v>282.23392905687336</v>
      </c>
      <c r="AH204" s="187">
        <f t="shared" si="116"/>
        <v>275.18112296290201</v>
      </c>
    </row>
    <row r="205" spans="1:34">
      <c r="A205" s="1"/>
      <c r="C205" s="331"/>
      <c r="D205" s="331"/>
      <c r="E205" s="331"/>
      <c r="F205" s="331"/>
      <c r="G205" s="331"/>
      <c r="H205" s="402"/>
      <c r="I205" s="14"/>
      <c r="J205" s="14"/>
      <c r="K205" s="14"/>
      <c r="L205" s="14"/>
      <c r="M205" s="14"/>
      <c r="N205" s="187"/>
      <c r="O205" s="14"/>
      <c r="P205" s="14"/>
      <c r="Q205" s="14"/>
      <c r="R205" s="14"/>
      <c r="S205" s="14"/>
      <c r="T205" s="14"/>
      <c r="U205" s="14"/>
      <c r="V205" s="14"/>
      <c r="W205" s="14"/>
      <c r="X205" s="187"/>
    </row>
    <row r="206" spans="1:34">
      <c r="A206" s="1" t="s">
        <v>452</v>
      </c>
      <c r="C206" s="331"/>
      <c r="D206" s="331">
        <f>D194</f>
        <v>272.34390999999999</v>
      </c>
      <c r="E206" s="331">
        <f>D206+E194</f>
        <v>558.4144166087865</v>
      </c>
      <c r="F206" s="331">
        <f>E206+F194</f>
        <v>842.24325488280772</v>
      </c>
      <c r="G206" s="331">
        <f>F206+G194</f>
        <v>1125.2587956533762</v>
      </c>
      <c r="H206" s="402">
        <f t="shared" ref="H206:X206" si="117">G206+H194</f>
        <v>1417.2533211099126</v>
      </c>
      <c r="I206" s="14">
        <f t="shared" si="117"/>
        <v>1716.6867717798596</v>
      </c>
      <c r="J206" s="14">
        <f t="shared" si="117"/>
        <v>2024.6420847644497</v>
      </c>
      <c r="K206" s="14">
        <f t="shared" si="117"/>
        <v>2339.2973239315479</v>
      </c>
      <c r="L206" s="14">
        <f t="shared" si="117"/>
        <v>2655.1596513396526</v>
      </c>
      <c r="M206" s="14">
        <f t="shared" si="117"/>
        <v>2969.8894937689515</v>
      </c>
      <c r="N206" s="187">
        <f t="shared" si="117"/>
        <v>3279.4137674383646</v>
      </c>
      <c r="O206" s="14">
        <f t="shared" si="117"/>
        <v>3586.0578864006516</v>
      </c>
      <c r="P206" s="14">
        <f t="shared" si="117"/>
        <v>3885.6822556388597</v>
      </c>
      <c r="Q206" s="14">
        <f t="shared" si="117"/>
        <v>4180.1689948157155</v>
      </c>
      <c r="R206" s="14">
        <f t="shared" si="117"/>
        <v>4472.6485149167065</v>
      </c>
      <c r="S206" s="14">
        <f t="shared" si="117"/>
        <v>4764.4451155126462</v>
      </c>
      <c r="T206" s="14">
        <f t="shared" si="117"/>
        <v>5049.3059242157224</v>
      </c>
      <c r="U206" s="14">
        <f t="shared" si="117"/>
        <v>5323.9239741797292</v>
      </c>
      <c r="V206" s="14">
        <f t="shared" si="117"/>
        <v>5599.1278579539958</v>
      </c>
      <c r="W206" s="14">
        <f t="shared" si="117"/>
        <v>5866.6394069577582</v>
      </c>
      <c r="X206" s="187">
        <f t="shared" si="117"/>
        <v>6137.5678667984566</v>
      </c>
      <c r="Y206" s="158">
        <f t="shared" ref="Y206:AH206" si="118">X206+Y194</f>
        <v>6411.7759887856482</v>
      </c>
      <c r="Z206" s="158">
        <f t="shared" si="118"/>
        <v>6692.6632988991087</v>
      </c>
      <c r="AA206" s="158">
        <f t="shared" si="118"/>
        <v>6980.0178855682871</v>
      </c>
      <c r="AB206" s="158">
        <f t="shared" si="118"/>
        <v>7271.2198417269792</v>
      </c>
      <c r="AC206" s="158">
        <f t="shared" si="118"/>
        <v>7560.0003961066259</v>
      </c>
      <c r="AD206" s="158">
        <f t="shared" si="118"/>
        <v>7846.9568210191192</v>
      </c>
      <c r="AE206" s="158">
        <f t="shared" si="118"/>
        <v>8132.7271578471327</v>
      </c>
      <c r="AF206" s="158">
        <f t="shared" si="118"/>
        <v>8416.5895287264721</v>
      </c>
      <c r="AG206" s="158">
        <f t="shared" si="118"/>
        <v>8697.5186302471775</v>
      </c>
      <c r="AH206" s="187">
        <f t="shared" si="118"/>
        <v>8971.3949240711281</v>
      </c>
    </row>
    <row r="207" spans="1:34">
      <c r="A207" s="1" t="s">
        <v>455</v>
      </c>
      <c r="C207" s="331"/>
      <c r="D207" s="331">
        <f>D200</f>
        <v>1584.847</v>
      </c>
      <c r="E207" s="331">
        <f>D207+E200</f>
        <v>3226.7432906991235</v>
      </c>
      <c r="F207" s="331">
        <f>E207+F200</f>
        <v>4841.7748496401646</v>
      </c>
      <c r="G207" s="331">
        <f t="shared" ref="G207:X207" si="119">F207+G200</f>
        <v>6413.6581632974476</v>
      </c>
      <c r="H207" s="402">
        <f t="shared" si="119"/>
        <v>8046.9386893971769</v>
      </c>
      <c r="I207" s="14">
        <f t="shared" si="119"/>
        <v>9716.7041228942198</v>
      </c>
      <c r="J207" s="14">
        <f t="shared" si="119"/>
        <v>11430.129019529573</v>
      </c>
      <c r="K207" s="14">
        <f t="shared" si="119"/>
        <v>13189.71449333473</v>
      </c>
      <c r="L207" s="14">
        <f t="shared" si="119"/>
        <v>14957.140971371966</v>
      </c>
      <c r="M207" s="14">
        <f t="shared" si="119"/>
        <v>16715.852603749048</v>
      </c>
      <c r="N207" s="187">
        <f t="shared" si="119"/>
        <v>18437.53238925699</v>
      </c>
      <c r="O207" s="14">
        <f t="shared" si="119"/>
        <v>20136.809968775826</v>
      </c>
      <c r="P207" s="14">
        <f t="shared" si="119"/>
        <v>21787.098463555227</v>
      </c>
      <c r="Q207" s="14">
        <f t="shared" si="119"/>
        <v>23400.774430816884</v>
      </c>
      <c r="R207" s="14">
        <f t="shared" si="119"/>
        <v>25000.087768094603</v>
      </c>
      <c r="S207" s="14">
        <f t="shared" si="119"/>
        <v>26593.454002298287</v>
      </c>
      <c r="T207" s="14">
        <f t="shared" si="119"/>
        <v>28137.997825333045</v>
      </c>
      <c r="U207" s="14">
        <f t="shared" si="119"/>
        <v>29610.653750690857</v>
      </c>
      <c r="V207" s="14">
        <f t="shared" si="119"/>
        <v>31083.71296436846</v>
      </c>
      <c r="W207" s="14">
        <f t="shared" si="119"/>
        <v>32503.892604995926</v>
      </c>
      <c r="X207" s="187">
        <f t="shared" si="119"/>
        <v>33947.551125190032</v>
      </c>
      <c r="Y207" s="158">
        <f t="shared" ref="Y207:AH207" si="120">X207+Y200</f>
        <v>35412.452127766563</v>
      </c>
      <c r="Z207" s="158">
        <f t="shared" si="120"/>
        <v>36923.74303046416</v>
      </c>
      <c r="AA207" s="158">
        <f t="shared" si="120"/>
        <v>38479.081336340874</v>
      </c>
      <c r="AB207" s="158">
        <f t="shared" si="120"/>
        <v>40061.177509535002</v>
      </c>
      <c r="AC207" s="158">
        <f t="shared" si="120"/>
        <v>41625.890964789345</v>
      </c>
      <c r="AD207" s="158">
        <f t="shared" si="120"/>
        <v>43175.352818833533</v>
      </c>
      <c r="AE207" s="158">
        <f t="shared" si="120"/>
        <v>44714.051951687812</v>
      </c>
      <c r="AF207" s="158">
        <f t="shared" si="120"/>
        <v>46238.629111202972</v>
      </c>
      <c r="AG207" s="158">
        <f t="shared" si="120"/>
        <v>47742.987261828799</v>
      </c>
      <c r="AH207" s="187">
        <f t="shared" si="120"/>
        <v>49197.23524790701</v>
      </c>
    </row>
    <row r="208" spans="1:34">
      <c r="A208" s="1"/>
      <c r="C208" s="331"/>
      <c r="D208" s="331"/>
      <c r="E208" s="331"/>
      <c r="F208" s="331"/>
      <c r="G208" s="331"/>
      <c r="H208" s="402"/>
      <c r="I208" s="14"/>
      <c r="J208" s="14"/>
      <c r="K208" s="14"/>
      <c r="L208" s="14"/>
      <c r="M208" s="14"/>
      <c r="N208" s="187"/>
      <c r="O208" s="14"/>
      <c r="P208" s="14"/>
      <c r="Q208" s="14"/>
      <c r="R208" s="14"/>
      <c r="S208" s="14"/>
      <c r="T208" s="14"/>
      <c r="U208" s="14"/>
      <c r="V208" s="14"/>
      <c r="W208" s="14"/>
      <c r="X208" s="187"/>
    </row>
    <row r="209" spans="1:34">
      <c r="A209" s="1" t="s">
        <v>411</v>
      </c>
      <c r="C209" s="331"/>
      <c r="D209" s="331"/>
      <c r="E209" s="331"/>
      <c r="F209" s="331"/>
      <c r="G209" s="331"/>
      <c r="H209" s="402"/>
      <c r="I209" s="14"/>
      <c r="J209" s="14"/>
      <c r="K209" s="14"/>
      <c r="L209" s="14"/>
      <c r="M209" s="14"/>
      <c r="N209" s="187"/>
      <c r="O209" s="14"/>
      <c r="P209" s="14"/>
      <c r="Q209" s="14"/>
      <c r="R209" s="14"/>
      <c r="S209" s="14"/>
      <c r="T209" s="14"/>
      <c r="U209" s="14"/>
      <c r="V209" s="14"/>
      <c r="W209" s="14"/>
      <c r="X209" s="187"/>
    </row>
    <row r="210" spans="1:34" s="1" customFormat="1">
      <c r="A210" s="1" t="s">
        <v>408</v>
      </c>
      <c r="B210" s="13"/>
      <c r="C210" s="341">
        <f>SUM(C211:C212)</f>
        <v>0</v>
      </c>
      <c r="D210" s="341">
        <f t="shared" ref="D210:AH210" si="121">SUM(D211:D212)</f>
        <v>0</v>
      </c>
      <c r="E210" s="341">
        <f t="shared" si="121"/>
        <v>0</v>
      </c>
      <c r="F210" s="341">
        <f t="shared" si="121"/>
        <v>0</v>
      </c>
      <c r="G210" s="341">
        <f t="shared" si="121"/>
        <v>0</v>
      </c>
      <c r="H210" s="405">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409</v>
      </c>
      <c r="C211" s="331">
        <f>C100</f>
        <v>0</v>
      </c>
      <c r="D211" s="331">
        <f t="shared" ref="D211:AH211" si="122">D100</f>
        <v>0</v>
      </c>
      <c r="E211" s="331">
        <f t="shared" si="122"/>
        <v>0</v>
      </c>
      <c r="F211" s="331">
        <f t="shared" si="122"/>
        <v>0</v>
      </c>
      <c r="G211" s="331">
        <f t="shared" si="122"/>
        <v>0</v>
      </c>
      <c r="H211" s="402">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410</v>
      </c>
      <c r="C212" s="331">
        <f>C127</f>
        <v>0</v>
      </c>
      <c r="D212" s="331">
        <f t="shared" ref="D212:AH212" si="123">D127</f>
        <v>0</v>
      </c>
      <c r="E212" s="331">
        <f t="shared" si="123"/>
        <v>0</v>
      </c>
      <c r="F212" s="331">
        <f t="shared" si="123"/>
        <v>0</v>
      </c>
      <c r="G212" s="331">
        <f t="shared" si="123"/>
        <v>0</v>
      </c>
      <c r="H212" s="402">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396</v>
      </c>
      <c r="B213" s="13"/>
      <c r="C213" s="341">
        <f>SUM(C214:C215)</f>
        <v>41.329859999999996</v>
      </c>
      <c r="D213" s="341">
        <f t="shared" ref="D213:AH213" si="124">SUM(D214:D215)</f>
        <v>284.10506515605289</v>
      </c>
      <c r="E213" s="341">
        <f t="shared" si="124"/>
        <v>307.64028867997411</v>
      </c>
      <c r="F213" s="341">
        <f t="shared" si="124"/>
        <v>316.72582115250157</v>
      </c>
      <c r="G213" s="341">
        <f t="shared" si="124"/>
        <v>325.31711560946769</v>
      </c>
      <c r="H213" s="405">
        <f t="shared" si="124"/>
        <v>291.99425545653639</v>
      </c>
      <c r="I213" s="15">
        <f t="shared" si="124"/>
        <v>370.44829953963563</v>
      </c>
      <c r="J213" s="15">
        <f t="shared" si="124"/>
        <v>470.73095746923718</v>
      </c>
      <c r="K213" s="15">
        <f t="shared" si="124"/>
        <v>595.35477403493599</v>
      </c>
      <c r="L213" s="15">
        <f t="shared" si="124"/>
        <v>738.31101380346354</v>
      </c>
      <c r="M213" s="15">
        <f t="shared" si="124"/>
        <v>907.55384401916672</v>
      </c>
      <c r="N213" s="190">
        <f t="shared" si="124"/>
        <v>1098.3267201089475</v>
      </c>
      <c r="O213" s="15">
        <f t="shared" si="124"/>
        <v>1098.718195538981</v>
      </c>
      <c r="P213" s="15">
        <f t="shared" si="124"/>
        <v>1081.4617363467455</v>
      </c>
      <c r="Q213" s="15">
        <f t="shared" si="124"/>
        <v>1072.0495711282506</v>
      </c>
      <c r="R213" s="15">
        <f t="shared" si="124"/>
        <v>1076.3246773817668</v>
      </c>
      <c r="S213" s="15">
        <f t="shared" si="124"/>
        <v>1086.0626153191811</v>
      </c>
      <c r="T213" s="15">
        <f t="shared" si="124"/>
        <v>1067.3200970667094</v>
      </c>
      <c r="U213" s="15">
        <f t="shared" si="124"/>
        <v>1032.6646050121774</v>
      </c>
      <c r="V213" s="15">
        <f t="shared" si="124"/>
        <v>1046.8410280454675</v>
      </c>
      <c r="W213" s="15">
        <f t="shared" si="124"/>
        <v>1023.5062211955051</v>
      </c>
      <c r="X213" s="190">
        <f t="shared" si="124"/>
        <v>1053.0490507909312</v>
      </c>
      <c r="Y213" s="130">
        <f t="shared" si="124"/>
        <v>1068.2205690604126</v>
      </c>
      <c r="Z213" s="130">
        <f t="shared" si="124"/>
        <v>1100.897981560408</v>
      </c>
      <c r="AA213" s="130">
        <f t="shared" si="124"/>
        <v>1132.2047354266579</v>
      </c>
      <c r="AB213" s="130">
        <f t="shared" si="124"/>
        <v>1151.3788500181006</v>
      </c>
      <c r="AC213" s="130">
        <f t="shared" si="124"/>
        <v>1139.3951991196989</v>
      </c>
      <c r="AD213" s="130">
        <f t="shared" si="124"/>
        <v>1129.6136238593631</v>
      </c>
      <c r="AE213" s="130">
        <f t="shared" si="124"/>
        <v>1122.9135034917099</v>
      </c>
      <c r="AF213" s="130">
        <f t="shared" si="124"/>
        <v>1113.0305196752001</v>
      </c>
      <c r="AG213" s="130">
        <f t="shared" si="124"/>
        <v>1099.1426219082909</v>
      </c>
      <c r="AH213" s="190">
        <f t="shared" si="124"/>
        <v>1064.3380717833891</v>
      </c>
    </row>
    <row r="214" spans="1:34">
      <c r="A214" t="s">
        <v>397</v>
      </c>
      <c r="C214" s="331">
        <f>C115</f>
        <v>21.752700000000001</v>
      </c>
      <c r="D214" s="331">
        <f t="shared" ref="D214:AH214" si="125">D115</f>
        <v>149.52915636857793</v>
      </c>
      <c r="E214" s="331">
        <f t="shared" si="125"/>
        <v>161.91616281894463</v>
      </c>
      <c r="F214" s="331">
        <f t="shared" si="125"/>
        <v>166.69806671745528</v>
      </c>
      <c r="G214" s="331">
        <f t="shared" si="125"/>
        <v>171.21985146159784</v>
      </c>
      <c r="H214" s="402">
        <f t="shared" si="125"/>
        <v>153.68132918765076</v>
      </c>
      <c r="I214" s="14">
        <f t="shared" si="125"/>
        <v>194.97296754963995</v>
      </c>
      <c r="J214" s="14">
        <f t="shared" si="125"/>
        <v>247.75336001651715</v>
      </c>
      <c r="K214" s="14">
        <f t="shared" si="125"/>
        <v>313.3448995978884</v>
      </c>
      <c r="L214" s="14">
        <f t="shared" si="125"/>
        <v>388.5850900322967</v>
      </c>
      <c r="M214" s="14">
        <f t="shared" si="125"/>
        <v>477.66033888790218</v>
      </c>
      <c r="N214" s="182">
        <f t="shared" si="125"/>
        <v>578.06719904589124</v>
      </c>
      <c r="O214" s="14">
        <f t="shared" si="125"/>
        <v>578.27323892563879</v>
      </c>
      <c r="P214" s="14">
        <f t="shared" si="125"/>
        <v>569.19088405976061</v>
      </c>
      <c r="Q214" s="14">
        <f t="shared" si="125"/>
        <v>564.23710857092181</v>
      </c>
      <c r="R214" s="14">
        <f t="shared" si="125"/>
        <v>566.48716645656486</v>
      </c>
      <c r="S214" s="14">
        <f t="shared" si="125"/>
        <v>571.61240142071608</v>
      </c>
      <c r="T214" s="14">
        <f t="shared" si="125"/>
        <v>561.74790952508226</v>
      </c>
      <c r="U214" s="14">
        <f t="shared" si="125"/>
        <v>543.50816095415314</v>
      </c>
      <c r="V214" s="14">
        <f t="shared" si="125"/>
        <v>550.9694427433559</v>
      </c>
      <c r="W214" s="14">
        <f t="shared" si="125"/>
        <v>538.68795474068156</v>
      </c>
      <c r="X214" s="187">
        <f t="shared" si="125"/>
        <v>554.23682598586447</v>
      </c>
      <c r="Y214" s="158">
        <f t="shared" si="125"/>
        <v>562.22184256676189</v>
      </c>
      <c r="Z214" s="158">
        <f t="shared" si="125"/>
        <v>579.42049572714916</v>
      </c>
      <c r="AA214" s="158">
        <f t="shared" si="125"/>
        <v>595.89774897733594</v>
      </c>
      <c r="AB214" s="158">
        <f t="shared" si="125"/>
        <v>605.98939703899896</v>
      </c>
      <c r="AC214" s="158">
        <f t="shared" si="125"/>
        <v>599.68220685382744</v>
      </c>
      <c r="AD214" s="158">
        <f t="shared" si="125"/>
        <v>594.53400485757811</v>
      </c>
      <c r="AE214" s="158">
        <f t="shared" si="125"/>
        <v>591.00762264062234</v>
      </c>
      <c r="AF214" s="158">
        <f t="shared" si="125"/>
        <v>585.80604767351315</v>
      </c>
      <c r="AG214" s="158">
        <f t="shared" si="125"/>
        <v>578.49662142013358</v>
      </c>
      <c r="AH214" s="187">
        <f t="shared" si="125"/>
        <v>560.17842116478619</v>
      </c>
    </row>
    <row r="215" spans="1:34">
      <c r="A215" t="s">
        <v>398</v>
      </c>
      <c r="C215" s="331">
        <f>C142</f>
        <v>19.577159999999999</v>
      </c>
      <c r="D215" s="331">
        <f t="shared" ref="D215:AH215" si="126">D142</f>
        <v>134.57590878747493</v>
      </c>
      <c r="E215" s="331">
        <f t="shared" si="126"/>
        <v>145.72412586102948</v>
      </c>
      <c r="F215" s="331">
        <f t="shared" si="126"/>
        <v>150.02775443504629</v>
      </c>
      <c r="G215" s="331">
        <f t="shared" si="126"/>
        <v>154.09726414786985</v>
      </c>
      <c r="H215" s="402">
        <f t="shared" si="126"/>
        <v>138.31292626888566</v>
      </c>
      <c r="I215" s="14">
        <f t="shared" si="126"/>
        <v>175.47533198999571</v>
      </c>
      <c r="J215" s="14">
        <f t="shared" si="126"/>
        <v>222.97759745272</v>
      </c>
      <c r="K215" s="14">
        <f t="shared" si="126"/>
        <v>282.00987443704759</v>
      </c>
      <c r="L215" s="14">
        <f t="shared" si="126"/>
        <v>349.72592377116689</v>
      </c>
      <c r="M215" s="14">
        <f t="shared" si="126"/>
        <v>429.89350513126453</v>
      </c>
      <c r="N215" s="182">
        <f t="shared" si="126"/>
        <v>520.25952106305635</v>
      </c>
      <c r="O215" s="14">
        <f t="shared" si="126"/>
        <v>520.44495661334224</v>
      </c>
      <c r="P215" s="14">
        <f t="shared" si="126"/>
        <v>512.27085228698479</v>
      </c>
      <c r="Q215" s="14">
        <f t="shared" si="126"/>
        <v>507.81246255732867</v>
      </c>
      <c r="R215" s="14">
        <f t="shared" si="126"/>
        <v>509.83751092520185</v>
      </c>
      <c r="S215" s="14">
        <f t="shared" si="126"/>
        <v>514.45021389846511</v>
      </c>
      <c r="T215" s="14">
        <f t="shared" si="126"/>
        <v>505.57218754162716</v>
      </c>
      <c r="U215" s="14">
        <f t="shared" si="126"/>
        <v>489.15644405802431</v>
      </c>
      <c r="V215" s="14">
        <f t="shared" si="126"/>
        <v>495.87158530211167</v>
      </c>
      <c r="W215" s="14">
        <f t="shared" si="126"/>
        <v>484.81826645482346</v>
      </c>
      <c r="X215" s="187">
        <f t="shared" si="126"/>
        <v>498.81222480506671</v>
      </c>
      <c r="Y215" s="158">
        <f t="shared" si="126"/>
        <v>505.99872649365068</v>
      </c>
      <c r="Z215" s="158">
        <f t="shared" si="126"/>
        <v>521.47748583325881</v>
      </c>
      <c r="AA215" s="158">
        <f t="shared" si="126"/>
        <v>536.30698644932193</v>
      </c>
      <c r="AB215" s="158">
        <f t="shared" si="126"/>
        <v>545.38945297910163</v>
      </c>
      <c r="AC215" s="158">
        <f t="shared" si="126"/>
        <v>539.71299226587143</v>
      </c>
      <c r="AD215" s="158">
        <f t="shared" si="126"/>
        <v>535.07961900178498</v>
      </c>
      <c r="AE215" s="158">
        <f t="shared" si="126"/>
        <v>531.90588085108755</v>
      </c>
      <c r="AF215" s="158">
        <f t="shared" si="126"/>
        <v>527.22447200168688</v>
      </c>
      <c r="AG215" s="158">
        <f t="shared" si="126"/>
        <v>520.64600048815748</v>
      </c>
      <c r="AH215" s="187">
        <f t="shared" si="126"/>
        <v>504.15965061860283</v>
      </c>
    </row>
    <row r="216" spans="1:34">
      <c r="A216" t="s">
        <v>399</v>
      </c>
      <c r="C216" s="331">
        <f>SUM(C217:C218)</f>
        <v>1.4221500000000002</v>
      </c>
      <c r="D216" s="331">
        <f t="shared" ref="D216:AH216" si="127">SUM(D217:D218)</f>
        <v>1.4013037263116828</v>
      </c>
      <c r="E216" s="331">
        <f t="shared" si="127"/>
        <v>1.4227120072608339</v>
      </c>
      <c r="F216" s="331">
        <f t="shared" si="127"/>
        <v>1.369293068968735</v>
      </c>
      <c r="G216" s="331">
        <f t="shared" si="127"/>
        <v>1.3052961251218167</v>
      </c>
      <c r="H216" s="402">
        <f t="shared" si="127"/>
        <v>1.1613760464649845</v>
      </c>
      <c r="I216" s="14">
        <f t="shared" si="127"/>
        <v>1.1897291780588612</v>
      </c>
      <c r="J216" s="14">
        <f t="shared" si="127"/>
        <v>1.2228383504912934</v>
      </c>
      <c r="K216" s="14">
        <f t="shared" si="127"/>
        <v>1.2525357573285998</v>
      </c>
      <c r="L216" s="14">
        <f t="shared" si="127"/>
        <v>1.2557229413696878</v>
      </c>
      <c r="M216" s="14">
        <f t="shared" si="127"/>
        <v>1.2475543922753607</v>
      </c>
      <c r="N216" s="190">
        <f t="shared" si="127"/>
        <v>1.2198989458465319</v>
      </c>
      <c r="O216" s="14">
        <f t="shared" si="127"/>
        <v>1.2362570217543896</v>
      </c>
      <c r="P216" s="14">
        <f t="shared" si="127"/>
        <v>1.2319378265474419</v>
      </c>
      <c r="Q216" s="14">
        <f t="shared" si="127"/>
        <v>1.2356231656724139</v>
      </c>
      <c r="R216" s="14">
        <f t="shared" si="127"/>
        <v>1.2544656278265962</v>
      </c>
      <c r="S216" s="15">
        <f t="shared" si="127"/>
        <v>1.2793132765704147</v>
      </c>
      <c r="T216" s="14">
        <f t="shared" si="127"/>
        <v>1.2699783849334336</v>
      </c>
      <c r="U216" s="14">
        <f t="shared" si="127"/>
        <v>1.2405766238319254</v>
      </c>
      <c r="V216" s="14">
        <f t="shared" si="127"/>
        <v>1.2691125507236558</v>
      </c>
      <c r="W216" s="14">
        <f t="shared" si="127"/>
        <v>1.2516019227290611</v>
      </c>
      <c r="X216" s="187">
        <f t="shared" si="127"/>
        <v>1.2983450800075265</v>
      </c>
      <c r="Y216" s="158">
        <f t="shared" si="127"/>
        <v>1.3163044608565568</v>
      </c>
      <c r="Z216" s="158">
        <f t="shared" si="127"/>
        <v>1.3558018870643589</v>
      </c>
      <c r="AA216" s="158">
        <f t="shared" si="127"/>
        <v>1.3935665956492342</v>
      </c>
      <c r="AB216" s="158">
        <f t="shared" si="127"/>
        <v>1.4163626647627781</v>
      </c>
      <c r="AC216" s="158">
        <f t="shared" si="127"/>
        <v>1.4008251490909085</v>
      </c>
      <c r="AD216" s="158">
        <f t="shared" si="127"/>
        <v>1.3880101704876471</v>
      </c>
      <c r="AE216" s="158">
        <f t="shared" si="127"/>
        <v>1.3789930353664501</v>
      </c>
      <c r="AF216" s="158">
        <f t="shared" si="127"/>
        <v>1.3660787709456976</v>
      </c>
      <c r="AG216" s="158">
        <f t="shared" si="127"/>
        <v>1.3482656770783927</v>
      </c>
      <c r="AH216" s="187">
        <f t="shared" si="127"/>
        <v>1.3048291389517486</v>
      </c>
    </row>
    <row r="217" spans="1:34">
      <c r="A217" t="s">
        <v>400</v>
      </c>
      <c r="C217" s="331">
        <f>C114</f>
        <v>0.74850000000000005</v>
      </c>
      <c r="D217" s="331">
        <f t="shared" ref="D217:AH217" si="128">D114</f>
        <v>0.73752827700614887</v>
      </c>
      <c r="E217" s="331">
        <f t="shared" si="128"/>
        <v>0.74879579329517565</v>
      </c>
      <c r="F217" s="331">
        <f t="shared" si="128"/>
        <v>0.7206805626151237</v>
      </c>
      <c r="G217" s="331">
        <f t="shared" si="128"/>
        <v>0.68699796059042983</v>
      </c>
      <c r="H217" s="402">
        <f t="shared" si="128"/>
        <v>0.6112505507710444</v>
      </c>
      <c r="I217" s="14">
        <f t="shared" si="128"/>
        <v>0.62617325160992698</v>
      </c>
      <c r="J217" s="14">
        <f t="shared" si="128"/>
        <v>0.64359913183752282</v>
      </c>
      <c r="K217" s="14">
        <f t="shared" si="128"/>
        <v>0.659229345962421</v>
      </c>
      <c r="L217" s="14">
        <f t="shared" si="128"/>
        <v>0.66090681124720407</v>
      </c>
      <c r="M217" s="14">
        <f t="shared" si="128"/>
        <v>0.6566075748817688</v>
      </c>
      <c r="N217" s="187">
        <f t="shared" si="128"/>
        <v>0.64205207676133258</v>
      </c>
      <c r="O217" s="14">
        <f t="shared" si="128"/>
        <v>0.65066159039704707</v>
      </c>
      <c r="P217" s="14">
        <f t="shared" si="128"/>
        <v>0.64838832976181149</v>
      </c>
      <c r="Q217" s="14">
        <f t="shared" si="128"/>
        <v>0.65032798193284946</v>
      </c>
      <c r="R217" s="14">
        <f t="shared" si="128"/>
        <v>0.66024506727715593</v>
      </c>
      <c r="S217" s="14">
        <f t="shared" si="128"/>
        <v>0.67332277714232347</v>
      </c>
      <c r="T217" s="14">
        <f t="shared" si="128"/>
        <v>0.66840967628075454</v>
      </c>
      <c r="U217" s="14">
        <f t="shared" si="128"/>
        <v>0.65293506517469757</v>
      </c>
      <c r="V217" s="14">
        <f t="shared" si="128"/>
        <v>0.66795397406508195</v>
      </c>
      <c r="W217" s="14">
        <f t="shared" si="128"/>
        <v>0.65873785406792695</v>
      </c>
      <c r="X217" s="187">
        <f t="shared" si="128"/>
        <v>0.68333951579343499</v>
      </c>
      <c r="Y217" s="158">
        <f t="shared" si="128"/>
        <v>0.69279182150345098</v>
      </c>
      <c r="Z217" s="158">
        <f t="shared" si="128"/>
        <v>0.71357994056018881</v>
      </c>
      <c r="AA217" s="158">
        <f t="shared" si="128"/>
        <v>0.73345610297328112</v>
      </c>
      <c r="AB217" s="158">
        <f t="shared" si="128"/>
        <v>0.74545403408567268</v>
      </c>
      <c r="AC217" s="158">
        <f t="shared" si="128"/>
        <v>0.73727639425837288</v>
      </c>
      <c r="AD217" s="158">
        <f t="shared" si="128"/>
        <v>0.73053166867770891</v>
      </c>
      <c r="AE217" s="158">
        <f t="shared" si="128"/>
        <v>0.7257858080876054</v>
      </c>
      <c r="AF217" s="158">
        <f t="shared" si="128"/>
        <v>0.71898882681352505</v>
      </c>
      <c r="AG217" s="158">
        <f t="shared" si="128"/>
        <v>0.70961351425178565</v>
      </c>
      <c r="AH217" s="187">
        <f t="shared" si="128"/>
        <v>0.68675217839565705</v>
      </c>
    </row>
    <row r="218" spans="1:34">
      <c r="A218" t="s">
        <v>401</v>
      </c>
      <c r="C218" s="331">
        <f>C141</f>
        <v>0.67365000000000008</v>
      </c>
      <c r="D218" s="331">
        <f t="shared" ref="D218:AH218" si="129">D141</f>
        <v>0.663775449305534</v>
      </c>
      <c r="E218" s="331">
        <f t="shared" si="129"/>
        <v>0.67391621396565815</v>
      </c>
      <c r="F218" s="331">
        <f t="shared" si="129"/>
        <v>0.64861250635361134</v>
      </c>
      <c r="G218" s="331">
        <f t="shared" si="129"/>
        <v>0.61829816453138686</v>
      </c>
      <c r="H218" s="402">
        <f t="shared" si="129"/>
        <v>0.55012549569393998</v>
      </c>
      <c r="I218" s="14">
        <f t="shared" si="129"/>
        <v>0.56355592644893426</v>
      </c>
      <c r="J218" s="14">
        <f t="shared" si="129"/>
        <v>0.57923921865377059</v>
      </c>
      <c r="K218" s="14">
        <f t="shared" si="129"/>
        <v>0.5933064113661789</v>
      </c>
      <c r="L218" s="14">
        <f t="shared" si="129"/>
        <v>0.59481613012248369</v>
      </c>
      <c r="M218" s="14">
        <f t="shared" si="129"/>
        <v>0.59094681739359189</v>
      </c>
      <c r="N218" s="187">
        <f t="shared" si="129"/>
        <v>0.57784686908519933</v>
      </c>
      <c r="O218" s="14">
        <f t="shared" si="129"/>
        <v>0.58559543135734238</v>
      </c>
      <c r="P218" s="14">
        <f t="shared" si="129"/>
        <v>0.58354949678563039</v>
      </c>
      <c r="Q218" s="14">
        <f t="shared" si="129"/>
        <v>0.58529518373956457</v>
      </c>
      <c r="R218" s="14">
        <f t="shared" si="129"/>
        <v>0.59422056054944039</v>
      </c>
      <c r="S218" s="14">
        <f t="shared" si="129"/>
        <v>0.60599049942809113</v>
      </c>
      <c r="T218" s="14">
        <f t="shared" si="129"/>
        <v>0.60156870865267908</v>
      </c>
      <c r="U218" s="14">
        <f t="shared" si="129"/>
        <v>0.58764155865722778</v>
      </c>
      <c r="V218" s="14">
        <f t="shared" si="129"/>
        <v>0.60115857665857375</v>
      </c>
      <c r="W218" s="14">
        <f t="shared" si="129"/>
        <v>0.59286406866113428</v>
      </c>
      <c r="X218" s="187">
        <f t="shared" si="129"/>
        <v>0.61500556421409147</v>
      </c>
      <c r="Y218" s="158">
        <f t="shared" si="129"/>
        <v>0.62351263935310586</v>
      </c>
      <c r="Z218" s="158">
        <f t="shared" si="129"/>
        <v>0.64222194650416997</v>
      </c>
      <c r="AA218" s="158">
        <f t="shared" si="129"/>
        <v>0.66011049267595301</v>
      </c>
      <c r="AB218" s="158">
        <f t="shared" si="129"/>
        <v>0.67090863067710538</v>
      </c>
      <c r="AC218" s="158">
        <f t="shared" si="129"/>
        <v>0.66354875483253561</v>
      </c>
      <c r="AD218" s="158">
        <f t="shared" si="129"/>
        <v>0.65747850180993805</v>
      </c>
      <c r="AE218" s="158">
        <f t="shared" si="129"/>
        <v>0.65320722727884484</v>
      </c>
      <c r="AF218" s="158">
        <f t="shared" si="129"/>
        <v>0.64708994413217258</v>
      </c>
      <c r="AG218" s="158">
        <f t="shared" si="129"/>
        <v>0.63865216282660708</v>
      </c>
      <c r="AH218" s="187">
        <f t="shared" si="129"/>
        <v>0.6180769605560914</v>
      </c>
    </row>
    <row r="219" spans="1:34" s="1" customFormat="1">
      <c r="A219" s="1" t="s">
        <v>393</v>
      </c>
      <c r="B219" s="13"/>
      <c r="C219" s="341">
        <f>SUM(C220:C221)</f>
        <v>1573.5610000000001</v>
      </c>
      <c r="D219" s="341">
        <f t="shared" ref="D219:AH219" si="130">SUM(D220:D221)</f>
        <v>1543.6795603226269</v>
      </c>
      <c r="E219" s="341">
        <f t="shared" si="130"/>
        <v>1592.714750966994</v>
      </c>
      <c r="F219" s="341">
        <f t="shared" si="130"/>
        <v>1555.6198464897882</v>
      </c>
      <c r="G219" s="341">
        <f t="shared" si="130"/>
        <v>1503.0511942039475</v>
      </c>
      <c r="H219" s="405">
        <f t="shared" si="130"/>
        <v>1594.9812730522717</v>
      </c>
      <c r="I219" s="15">
        <f t="shared" si="130"/>
        <v>1619.5138687040305</v>
      </c>
      <c r="J219" s="15">
        <f t="shared" si="130"/>
        <v>1646.0671878219771</v>
      </c>
      <c r="K219" s="15">
        <f t="shared" si="130"/>
        <v>1662.6696942853498</v>
      </c>
      <c r="L219" s="15">
        <f t="shared" si="130"/>
        <v>1636.0766807553755</v>
      </c>
      <c r="M219" s="15">
        <f t="shared" si="130"/>
        <v>1586.6893622968314</v>
      </c>
      <c r="N219" s="190">
        <f t="shared" si="130"/>
        <v>1503.7426898098213</v>
      </c>
      <c r="O219" s="15">
        <f t="shared" si="130"/>
        <v>1482.029304210618</v>
      </c>
      <c r="P219" s="15">
        <f t="shared" si="130"/>
        <v>1437.0915130070407</v>
      </c>
      <c r="Q219" s="15">
        <f t="shared" si="130"/>
        <v>1403.3632961619487</v>
      </c>
      <c r="R219" s="15">
        <f t="shared" si="130"/>
        <v>1387.969222124435</v>
      </c>
      <c r="S219" s="15">
        <f t="shared" si="130"/>
        <v>1379.5977940078174</v>
      </c>
      <c r="T219" s="15">
        <f t="shared" si="130"/>
        <v>1335.410294139969</v>
      </c>
      <c r="U219" s="15">
        <f t="shared" si="130"/>
        <v>1272.4963398116183</v>
      </c>
      <c r="V219" s="15">
        <f t="shared" si="130"/>
        <v>1270.5437557353866</v>
      </c>
      <c r="W219" s="15">
        <f t="shared" si="130"/>
        <v>1223.3463553081313</v>
      </c>
      <c r="X219" s="190">
        <f t="shared" si="130"/>
        <v>1239.6607664699818</v>
      </c>
      <c r="Y219" s="130">
        <f t="shared" si="130"/>
        <v>1257.3668830437146</v>
      </c>
      <c r="Z219" s="130">
        <f t="shared" si="130"/>
        <v>1295.7515959256068</v>
      </c>
      <c r="AA219" s="130">
        <f t="shared" si="130"/>
        <v>1332.5122252009701</v>
      </c>
      <c r="AB219" s="130">
        <f t="shared" si="130"/>
        <v>1354.946006945082</v>
      </c>
      <c r="AC219" s="130">
        <f t="shared" si="130"/>
        <v>1340.5947431414606</v>
      </c>
      <c r="AD219" s="130">
        <f t="shared" si="130"/>
        <v>1328.830220312343</v>
      </c>
      <c r="AE219" s="130">
        <f t="shared" si="130"/>
        <v>1320.7139301927577</v>
      </c>
      <c r="AF219" s="130">
        <f t="shared" si="130"/>
        <v>1308.8347455952646</v>
      </c>
      <c r="AG219" s="130">
        <f t="shared" si="130"/>
        <v>1292.2276164196378</v>
      </c>
      <c r="AH219" s="190">
        <f t="shared" si="130"/>
        <v>1250.9223795209393</v>
      </c>
    </row>
    <row r="220" spans="1:34">
      <c r="A220" t="s">
        <v>402</v>
      </c>
      <c r="C220" s="331">
        <f>SUM(C116:C117)</f>
        <v>828.19</v>
      </c>
      <c r="D220" s="331">
        <f t="shared" ref="D220:AH220" si="131">SUM(D116:D117)</f>
        <v>812.46292648559313</v>
      </c>
      <c r="E220" s="331">
        <f t="shared" si="131"/>
        <v>838.27092156157573</v>
      </c>
      <c r="F220" s="331">
        <f t="shared" si="131"/>
        <v>818.7472876262043</v>
      </c>
      <c r="G220" s="331">
        <f t="shared" si="131"/>
        <v>791.0795758968145</v>
      </c>
      <c r="H220" s="402">
        <f t="shared" si="131"/>
        <v>839.46382792224824</v>
      </c>
      <c r="I220" s="14">
        <f t="shared" si="131"/>
        <v>852.37572037054235</v>
      </c>
      <c r="J220" s="14">
        <f t="shared" si="131"/>
        <v>866.35115148525108</v>
      </c>
      <c r="K220" s="14">
        <f t="shared" si="131"/>
        <v>875.08931278176306</v>
      </c>
      <c r="L220" s="14">
        <f t="shared" si="131"/>
        <v>861.09298987125032</v>
      </c>
      <c r="M220" s="14">
        <f t="shared" si="131"/>
        <v>835.09966436675336</v>
      </c>
      <c r="N220" s="187">
        <f t="shared" si="131"/>
        <v>791.44352095253748</v>
      </c>
      <c r="O220" s="14">
        <f t="shared" si="131"/>
        <v>780.0154232687463</v>
      </c>
      <c r="P220" s="14">
        <f t="shared" si="131"/>
        <v>756.36395421423197</v>
      </c>
      <c r="Q220" s="14">
        <f t="shared" si="131"/>
        <v>738.61226113786779</v>
      </c>
      <c r="R220" s="14">
        <f t="shared" si="131"/>
        <v>730.51011690759731</v>
      </c>
      <c r="S220" s="14">
        <f t="shared" si="131"/>
        <v>726.10410210937755</v>
      </c>
      <c r="T220" s="14">
        <f t="shared" si="131"/>
        <v>702.8475232315626</v>
      </c>
      <c r="U220" s="14">
        <f t="shared" si="131"/>
        <v>669.73491569032535</v>
      </c>
      <c r="V220" s="14">
        <f t="shared" si="131"/>
        <v>668.70723986072983</v>
      </c>
      <c r="W220" s="14">
        <f t="shared" si="131"/>
        <v>643.86650279375328</v>
      </c>
      <c r="X220" s="187">
        <f t="shared" si="131"/>
        <v>652.45303498420094</v>
      </c>
      <c r="Y220" s="158">
        <f t="shared" si="131"/>
        <v>661.77204370721824</v>
      </c>
      <c r="Z220" s="158">
        <f t="shared" si="131"/>
        <v>681.97452417137197</v>
      </c>
      <c r="AA220" s="158">
        <f t="shared" si="131"/>
        <v>701.32222378998426</v>
      </c>
      <c r="AB220" s="158">
        <f t="shared" si="131"/>
        <v>713.12947733951682</v>
      </c>
      <c r="AC220" s="158">
        <f t="shared" si="131"/>
        <v>705.57618060076879</v>
      </c>
      <c r="AD220" s="158">
        <f t="shared" si="131"/>
        <v>699.38432648018056</v>
      </c>
      <c r="AE220" s="158">
        <f t="shared" si="131"/>
        <v>695.11259483829349</v>
      </c>
      <c r="AF220" s="158">
        <f t="shared" si="131"/>
        <v>688.86039241856031</v>
      </c>
      <c r="AG220" s="158">
        <f t="shared" si="131"/>
        <v>680.11979811559877</v>
      </c>
      <c r="AH220" s="187">
        <f t="shared" si="131"/>
        <v>658.38019974786278</v>
      </c>
    </row>
    <row r="221" spans="1:34">
      <c r="A221" t="s">
        <v>403</v>
      </c>
      <c r="C221" s="331">
        <f>SUM(C143:C144)</f>
        <v>745.37100000000009</v>
      </c>
      <c r="D221" s="331">
        <f t="shared" ref="D221:AH221" si="132">SUM(D143:D144)</f>
        <v>731.21663383703378</v>
      </c>
      <c r="E221" s="331">
        <f t="shared" si="132"/>
        <v>754.44382940541823</v>
      </c>
      <c r="F221" s="331">
        <f t="shared" si="132"/>
        <v>736.87255886358389</v>
      </c>
      <c r="G221" s="331">
        <f t="shared" si="132"/>
        <v>711.9716183071331</v>
      </c>
      <c r="H221" s="402">
        <f t="shared" si="132"/>
        <v>755.51744513002348</v>
      </c>
      <c r="I221" s="14">
        <f t="shared" si="132"/>
        <v>767.13814833348818</v>
      </c>
      <c r="J221" s="14">
        <f t="shared" si="132"/>
        <v>779.71603633672601</v>
      </c>
      <c r="K221" s="14">
        <f t="shared" si="132"/>
        <v>787.58038150358675</v>
      </c>
      <c r="L221" s="14">
        <f t="shared" si="132"/>
        <v>774.98369088412528</v>
      </c>
      <c r="M221" s="14">
        <f t="shared" si="132"/>
        <v>751.58969793007805</v>
      </c>
      <c r="N221" s="187">
        <f t="shared" si="132"/>
        <v>712.2991688572838</v>
      </c>
      <c r="O221" s="14">
        <f t="shared" si="132"/>
        <v>702.01388094187166</v>
      </c>
      <c r="P221" s="14">
        <f t="shared" si="132"/>
        <v>680.72755879280874</v>
      </c>
      <c r="Q221" s="14">
        <f t="shared" si="132"/>
        <v>664.75103502408103</v>
      </c>
      <c r="R221" s="14">
        <f t="shared" si="132"/>
        <v>657.45910521683754</v>
      </c>
      <c r="S221" s="14">
        <f t="shared" si="132"/>
        <v>653.49369189843981</v>
      </c>
      <c r="T221" s="14">
        <f t="shared" si="132"/>
        <v>632.56277090840638</v>
      </c>
      <c r="U221" s="14">
        <f t="shared" si="132"/>
        <v>602.76142412129286</v>
      </c>
      <c r="V221" s="14">
        <f t="shared" si="132"/>
        <v>601.83651587465681</v>
      </c>
      <c r="W221" s="14">
        <f t="shared" si="132"/>
        <v>579.47985251437797</v>
      </c>
      <c r="X221" s="187">
        <f t="shared" si="132"/>
        <v>587.20773148578087</v>
      </c>
      <c r="Y221" s="158">
        <f t="shared" si="132"/>
        <v>595.59483933649642</v>
      </c>
      <c r="Z221" s="158">
        <f t="shared" si="132"/>
        <v>613.77707175423484</v>
      </c>
      <c r="AA221" s="158">
        <f t="shared" si="132"/>
        <v>631.19000141098581</v>
      </c>
      <c r="AB221" s="158">
        <f t="shared" si="132"/>
        <v>641.81652960556517</v>
      </c>
      <c r="AC221" s="158">
        <f t="shared" si="132"/>
        <v>635.01856254069196</v>
      </c>
      <c r="AD221" s="158">
        <f t="shared" si="132"/>
        <v>629.44589383216248</v>
      </c>
      <c r="AE221" s="158">
        <f t="shared" si="132"/>
        <v>625.60133535446414</v>
      </c>
      <c r="AF221" s="158">
        <f t="shared" si="132"/>
        <v>619.97435317670431</v>
      </c>
      <c r="AG221" s="158">
        <f t="shared" si="132"/>
        <v>612.10781830403891</v>
      </c>
      <c r="AH221" s="187">
        <f t="shared" si="132"/>
        <v>592.54217977307655</v>
      </c>
    </row>
    <row r="222" spans="1:34">
      <c r="A222" s="1" t="s">
        <v>425</v>
      </c>
      <c r="C222" s="331">
        <f>SUM(C210,C213,C216,C219)</f>
        <v>1616.3130100000001</v>
      </c>
      <c r="D222" s="331">
        <f t="shared" ref="D222:AH222" si="133">SUM(D210,D213,D216,D219)</f>
        <v>1829.1859292049915</v>
      </c>
      <c r="E222" s="331">
        <f t="shared" si="133"/>
        <v>1901.777751654229</v>
      </c>
      <c r="F222" s="331">
        <f t="shared" si="133"/>
        <v>1873.7149607112585</v>
      </c>
      <c r="G222" s="331">
        <f t="shared" si="133"/>
        <v>1829.6736059385371</v>
      </c>
      <c r="H222" s="402">
        <f t="shared" si="133"/>
        <v>1888.1369045552731</v>
      </c>
      <c r="I222" s="14">
        <f t="shared" si="133"/>
        <v>1991.1518974217252</v>
      </c>
      <c r="J222" s="14">
        <f t="shared" si="133"/>
        <v>2118.0209836417057</v>
      </c>
      <c r="K222" s="14">
        <f t="shared" si="133"/>
        <v>2259.2770040776145</v>
      </c>
      <c r="L222" s="14">
        <f t="shared" si="133"/>
        <v>2375.6434175002087</v>
      </c>
      <c r="M222" s="14">
        <f t="shared" si="133"/>
        <v>2495.4907607082732</v>
      </c>
      <c r="N222" s="187">
        <f t="shared" si="133"/>
        <v>2603.2893088646151</v>
      </c>
      <c r="O222" s="14">
        <f t="shared" si="133"/>
        <v>2581.9837567713535</v>
      </c>
      <c r="P222" s="14">
        <f t="shared" si="133"/>
        <v>2519.7851871803337</v>
      </c>
      <c r="Q222" s="14">
        <f t="shared" si="133"/>
        <v>2476.648490455872</v>
      </c>
      <c r="R222" s="14">
        <f t="shared" si="133"/>
        <v>2465.5483651340282</v>
      </c>
      <c r="S222" s="14">
        <f t="shared" si="133"/>
        <v>2466.939722603569</v>
      </c>
      <c r="T222" s="14">
        <f t="shared" si="133"/>
        <v>2404.0003695916121</v>
      </c>
      <c r="U222" s="14">
        <f t="shared" si="133"/>
        <v>2306.4015214476276</v>
      </c>
      <c r="V222" s="14">
        <f t="shared" si="133"/>
        <v>2318.6538963315779</v>
      </c>
      <c r="W222" s="14">
        <f t="shared" si="133"/>
        <v>2248.1041784263653</v>
      </c>
      <c r="X222" s="187">
        <f t="shared" si="133"/>
        <v>2294.0081623409205</v>
      </c>
      <c r="Y222" s="158">
        <f t="shared" si="133"/>
        <v>2326.9037565649837</v>
      </c>
      <c r="Z222" s="158">
        <f t="shared" si="133"/>
        <v>2398.0053793730794</v>
      </c>
      <c r="AA222" s="158">
        <f t="shared" si="133"/>
        <v>2466.1105272232771</v>
      </c>
      <c r="AB222" s="158">
        <f t="shared" si="133"/>
        <v>2507.7412196279456</v>
      </c>
      <c r="AC222" s="158">
        <f t="shared" si="133"/>
        <v>2481.3907674102502</v>
      </c>
      <c r="AD222" s="158">
        <f t="shared" si="133"/>
        <v>2459.8318543421938</v>
      </c>
      <c r="AE222" s="158">
        <f t="shared" si="133"/>
        <v>2445.0064267198341</v>
      </c>
      <c r="AF222" s="158">
        <f t="shared" si="133"/>
        <v>2423.2313440414105</v>
      </c>
      <c r="AG222" s="158">
        <f t="shared" si="133"/>
        <v>2392.7185040050072</v>
      </c>
      <c r="AH222" s="187">
        <f t="shared" si="133"/>
        <v>2316.5652804432802</v>
      </c>
    </row>
    <row r="223" spans="1:34" s="1" customFormat="1">
      <c r="A223" s="1" t="s">
        <v>443</v>
      </c>
      <c r="B223" s="13"/>
      <c r="C223" s="328" t="s">
        <v>0</v>
      </c>
      <c r="D223" s="341">
        <f>D210+D213</f>
        <v>284.10506515605289</v>
      </c>
      <c r="E223" s="341">
        <f t="shared" ref="E223:AH223" si="134">E210+E213</f>
        <v>307.64028867997411</v>
      </c>
      <c r="F223" s="341">
        <f t="shared" si="134"/>
        <v>316.72582115250157</v>
      </c>
      <c r="G223" s="341">
        <f t="shared" si="134"/>
        <v>325.31711560946769</v>
      </c>
      <c r="H223" s="405">
        <f>H210+H213</f>
        <v>291.99425545653639</v>
      </c>
      <c r="I223" s="15">
        <f t="shared" si="134"/>
        <v>370.44829953963563</v>
      </c>
      <c r="J223" s="15">
        <f t="shared" si="134"/>
        <v>470.73095746923718</v>
      </c>
      <c r="K223" s="15">
        <f t="shared" si="134"/>
        <v>595.35477403493599</v>
      </c>
      <c r="L223" s="15">
        <f t="shared" si="134"/>
        <v>738.31101380346354</v>
      </c>
      <c r="M223" s="15">
        <f t="shared" si="134"/>
        <v>907.55384401916672</v>
      </c>
      <c r="N223" s="190">
        <f t="shared" si="134"/>
        <v>1098.3267201089475</v>
      </c>
      <c r="O223" s="15">
        <f t="shared" si="134"/>
        <v>1098.718195538981</v>
      </c>
      <c r="P223" s="15">
        <f t="shared" si="134"/>
        <v>1081.4617363467455</v>
      </c>
      <c r="Q223" s="15">
        <f t="shared" si="134"/>
        <v>1072.0495711282506</v>
      </c>
      <c r="R223" s="15">
        <f t="shared" si="134"/>
        <v>1076.3246773817668</v>
      </c>
      <c r="S223" s="15">
        <f t="shared" si="134"/>
        <v>1086.0626153191811</v>
      </c>
      <c r="T223" s="15">
        <f t="shared" si="134"/>
        <v>1067.3200970667094</v>
      </c>
      <c r="U223" s="15">
        <f t="shared" si="134"/>
        <v>1032.6646050121774</v>
      </c>
      <c r="V223" s="15">
        <f t="shared" si="134"/>
        <v>1046.8410280454675</v>
      </c>
      <c r="W223" s="15">
        <f t="shared" si="134"/>
        <v>1023.5062211955051</v>
      </c>
      <c r="X223" s="190">
        <f t="shared" si="134"/>
        <v>1053.0490507909312</v>
      </c>
      <c r="Y223" s="130">
        <f t="shared" si="134"/>
        <v>1068.2205690604126</v>
      </c>
      <c r="Z223" s="130">
        <f t="shared" si="134"/>
        <v>1100.897981560408</v>
      </c>
      <c r="AA223" s="130">
        <f t="shared" si="134"/>
        <v>1132.2047354266579</v>
      </c>
      <c r="AB223" s="130">
        <f t="shared" si="134"/>
        <v>1151.3788500181006</v>
      </c>
      <c r="AC223" s="130">
        <f t="shared" si="134"/>
        <v>1139.3951991196989</v>
      </c>
      <c r="AD223" s="130">
        <f t="shared" si="134"/>
        <v>1129.6136238593631</v>
      </c>
      <c r="AE223" s="130">
        <f t="shared" si="134"/>
        <v>1122.9135034917099</v>
      </c>
      <c r="AF223" s="130">
        <f t="shared" si="134"/>
        <v>1113.0305196752001</v>
      </c>
      <c r="AG223" s="130">
        <f t="shared" si="134"/>
        <v>1099.1426219082909</v>
      </c>
      <c r="AH223" s="190">
        <f t="shared" si="134"/>
        <v>1064.3380717833891</v>
      </c>
    </row>
    <row r="224" spans="1:34">
      <c r="A224" t="s">
        <v>446</v>
      </c>
      <c r="D224" s="331">
        <f>D210+D213+D216</f>
        <v>285.5063688823646</v>
      </c>
      <c r="E224" s="331">
        <f t="shared" ref="E224:AH224" si="135">E210+E213+E216</f>
        <v>309.06300068723493</v>
      </c>
      <c r="F224" s="331">
        <f t="shared" si="135"/>
        <v>318.09511422147028</v>
      </c>
      <c r="G224" s="331">
        <f t="shared" si="135"/>
        <v>326.62241173458949</v>
      </c>
      <c r="H224" s="402">
        <f t="shared" si="135"/>
        <v>293.15563150300136</v>
      </c>
      <c r="I224" s="14">
        <f t="shared" si="135"/>
        <v>371.63802871769451</v>
      </c>
      <c r="J224" s="14">
        <f t="shared" si="135"/>
        <v>471.9537958197285</v>
      </c>
      <c r="K224" s="14">
        <f t="shared" si="135"/>
        <v>596.60730979226457</v>
      </c>
      <c r="L224" s="14">
        <f t="shared" si="135"/>
        <v>739.56673674483318</v>
      </c>
      <c r="M224" s="14">
        <f t="shared" si="135"/>
        <v>908.80139841144205</v>
      </c>
      <c r="N224" s="187">
        <f t="shared" si="135"/>
        <v>1099.5466190547941</v>
      </c>
      <c r="O224" s="14">
        <f t="shared" si="135"/>
        <v>1099.9544525607355</v>
      </c>
      <c r="P224" s="14">
        <f t="shared" si="135"/>
        <v>1082.6936741732929</v>
      </c>
      <c r="Q224" s="14">
        <f t="shared" si="135"/>
        <v>1073.285194293923</v>
      </c>
      <c r="R224" s="14">
        <f t="shared" si="135"/>
        <v>1077.5791430095935</v>
      </c>
      <c r="S224" s="14">
        <f t="shared" si="135"/>
        <v>1087.3419285957516</v>
      </c>
      <c r="T224" s="14">
        <f t="shared" si="135"/>
        <v>1068.5900754516429</v>
      </c>
      <c r="U224" s="14">
        <f t="shared" si="135"/>
        <v>1033.9051816360093</v>
      </c>
      <c r="V224" s="14">
        <f t="shared" si="135"/>
        <v>1048.1101405961911</v>
      </c>
      <c r="W224" s="14">
        <f t="shared" si="135"/>
        <v>1024.7578231182342</v>
      </c>
      <c r="X224" s="187">
        <f t="shared" si="135"/>
        <v>1054.3473958709387</v>
      </c>
      <c r="Y224" s="158">
        <f t="shared" si="135"/>
        <v>1069.5368735212692</v>
      </c>
      <c r="Z224" s="158">
        <f t="shared" si="135"/>
        <v>1102.2537834474724</v>
      </c>
      <c r="AA224" s="158">
        <f t="shared" si="135"/>
        <v>1133.5983020223071</v>
      </c>
      <c r="AB224" s="158">
        <f t="shared" si="135"/>
        <v>1152.7952126828634</v>
      </c>
      <c r="AC224" s="158">
        <f t="shared" si="135"/>
        <v>1140.7960242687898</v>
      </c>
      <c r="AD224" s="158">
        <f t="shared" si="135"/>
        <v>1131.0016340298507</v>
      </c>
      <c r="AE224" s="158">
        <f t="shared" si="135"/>
        <v>1124.2924965270763</v>
      </c>
      <c r="AF224" s="158">
        <f t="shared" si="135"/>
        <v>1114.3965984461458</v>
      </c>
      <c r="AG224" s="158">
        <f t="shared" si="135"/>
        <v>1100.4908875853694</v>
      </c>
      <c r="AH224" s="187">
        <f t="shared" si="135"/>
        <v>1065.6429009223409</v>
      </c>
    </row>
    <row r="225" spans="1:34">
      <c r="D225" s="331"/>
      <c r="E225" s="331"/>
      <c r="F225" s="331"/>
      <c r="G225" s="331"/>
      <c r="H225" s="402"/>
      <c r="I225" s="14"/>
      <c r="J225" s="14"/>
      <c r="K225" s="14"/>
      <c r="L225" s="14"/>
      <c r="M225" s="14"/>
      <c r="N225" s="187"/>
      <c r="O225" s="14"/>
      <c r="P225" s="14"/>
      <c r="Q225" s="14"/>
      <c r="R225" s="14"/>
      <c r="S225" s="14"/>
      <c r="T225" s="14"/>
      <c r="U225" s="14"/>
      <c r="V225" s="14"/>
      <c r="W225" s="14"/>
      <c r="X225" s="187"/>
    </row>
    <row r="226" spans="1:34">
      <c r="A226" s="1" t="s">
        <v>453</v>
      </c>
      <c r="D226" s="331">
        <f>D210+D213</f>
        <v>284.10506515605289</v>
      </c>
      <c r="E226" s="331">
        <f>D226+E210+E213</f>
        <v>591.74535383602699</v>
      </c>
      <c r="F226" s="331">
        <f>E226+F210+F213</f>
        <v>908.47117498852856</v>
      </c>
      <c r="G226" s="331">
        <f>F226+G210+G213</f>
        <v>1233.7882905979964</v>
      </c>
      <c r="H226" s="402">
        <f t="shared" ref="H226:X226" si="136">G226+H210+H213</f>
        <v>1525.7825460545328</v>
      </c>
      <c r="I226" s="14">
        <f t="shared" si="136"/>
        <v>1896.2308455941684</v>
      </c>
      <c r="J226" s="14">
        <f t="shared" si="136"/>
        <v>2366.9618030634056</v>
      </c>
      <c r="K226" s="14">
        <f t="shared" si="136"/>
        <v>2962.3165770983414</v>
      </c>
      <c r="L226" s="14">
        <f t="shared" si="136"/>
        <v>3700.627590901805</v>
      </c>
      <c r="M226" s="14">
        <f t="shared" si="136"/>
        <v>4608.1814349209717</v>
      </c>
      <c r="N226" s="187">
        <f t="shared" si="136"/>
        <v>5706.5081550299192</v>
      </c>
      <c r="O226" s="14">
        <f t="shared" si="136"/>
        <v>6805.2263505689007</v>
      </c>
      <c r="P226" s="14">
        <f t="shared" si="136"/>
        <v>7886.6880869156466</v>
      </c>
      <c r="Q226" s="14">
        <f t="shared" si="136"/>
        <v>8958.7376580438977</v>
      </c>
      <c r="R226" s="14">
        <f t="shared" si="136"/>
        <v>10035.062335425664</v>
      </c>
      <c r="S226" s="14">
        <f t="shared" si="136"/>
        <v>11121.124950744845</v>
      </c>
      <c r="T226" s="14">
        <f t="shared" si="136"/>
        <v>12188.445047811554</v>
      </c>
      <c r="U226" s="14">
        <f t="shared" si="136"/>
        <v>13221.109652823732</v>
      </c>
      <c r="V226" s="14">
        <f t="shared" si="136"/>
        <v>14267.9506808692</v>
      </c>
      <c r="W226" s="14">
        <f t="shared" si="136"/>
        <v>15291.456902064705</v>
      </c>
      <c r="X226" s="187">
        <f t="shared" si="136"/>
        <v>16344.505952855636</v>
      </c>
      <c r="Y226" s="158">
        <f t="shared" ref="Y226:AH226" si="137">X226+Y210+Y213</f>
        <v>17412.726521916047</v>
      </c>
      <c r="Z226" s="158">
        <f t="shared" si="137"/>
        <v>18513.624503476454</v>
      </c>
      <c r="AA226" s="158">
        <f t="shared" si="137"/>
        <v>19645.829238903112</v>
      </c>
      <c r="AB226" s="158">
        <f t="shared" si="137"/>
        <v>20797.208088921212</v>
      </c>
      <c r="AC226" s="158">
        <f t="shared" si="137"/>
        <v>21936.603288040911</v>
      </c>
      <c r="AD226" s="158">
        <f t="shared" si="137"/>
        <v>23066.216911900276</v>
      </c>
      <c r="AE226" s="158">
        <f t="shared" si="137"/>
        <v>24189.130415391985</v>
      </c>
      <c r="AF226" s="158">
        <f t="shared" si="137"/>
        <v>25302.160935067186</v>
      </c>
      <c r="AG226" s="158">
        <f t="shared" si="137"/>
        <v>26401.303556975476</v>
      </c>
      <c r="AH226" s="187">
        <f t="shared" si="137"/>
        <v>27465.641628758865</v>
      </c>
    </row>
    <row r="227" spans="1:34">
      <c r="A227" s="1" t="s">
        <v>454</v>
      </c>
      <c r="D227" s="331">
        <f>D219</f>
        <v>1543.6795603226269</v>
      </c>
      <c r="E227" s="331">
        <f>D227+E219</f>
        <v>3136.3943112896209</v>
      </c>
      <c r="F227" s="331">
        <f>E227+F219</f>
        <v>4692.0141577794093</v>
      </c>
      <c r="G227" s="331">
        <f t="shared" ref="G227:X227" si="138">F227+G219</f>
        <v>6195.0653519833568</v>
      </c>
      <c r="H227" s="402">
        <f t="shared" si="138"/>
        <v>7790.0466250356285</v>
      </c>
      <c r="I227" s="14">
        <f t="shared" si="138"/>
        <v>9409.5604937396583</v>
      </c>
      <c r="J227" s="14">
        <f t="shared" si="138"/>
        <v>11055.627681561635</v>
      </c>
      <c r="K227" s="14">
        <f t="shared" si="138"/>
        <v>12718.297375846985</v>
      </c>
      <c r="L227" s="14">
        <f t="shared" si="138"/>
        <v>14354.374056602361</v>
      </c>
      <c r="M227" s="14">
        <f t="shared" si="138"/>
        <v>15941.063418899192</v>
      </c>
      <c r="N227" s="187">
        <f t="shared" si="138"/>
        <v>17444.806108709014</v>
      </c>
      <c r="O227" s="14">
        <f t="shared" si="138"/>
        <v>18926.83541291963</v>
      </c>
      <c r="P227" s="14">
        <f t="shared" si="138"/>
        <v>20363.926925926673</v>
      </c>
      <c r="Q227" s="14">
        <f t="shared" si="138"/>
        <v>21767.290222088621</v>
      </c>
      <c r="R227" s="14">
        <f t="shared" si="138"/>
        <v>23155.259444213058</v>
      </c>
      <c r="S227" s="14">
        <f t="shared" si="138"/>
        <v>24534.857238220873</v>
      </c>
      <c r="T227" s="14">
        <f t="shared" si="138"/>
        <v>25870.267532360842</v>
      </c>
      <c r="U227" s="14">
        <f t="shared" si="138"/>
        <v>27142.763872172462</v>
      </c>
      <c r="V227" s="14">
        <f t="shared" si="138"/>
        <v>28413.307627907849</v>
      </c>
      <c r="W227" s="14">
        <f t="shared" si="138"/>
        <v>29636.65398321598</v>
      </c>
      <c r="X227" s="187">
        <f t="shared" si="138"/>
        <v>30876.31474968596</v>
      </c>
      <c r="Y227" s="158">
        <f t="shared" ref="Y227:AH227" si="139">X227+Y219</f>
        <v>32133.681632729676</v>
      </c>
      <c r="Z227" s="158">
        <f t="shared" si="139"/>
        <v>33429.433228655282</v>
      </c>
      <c r="AA227" s="158">
        <f t="shared" si="139"/>
        <v>34761.94545385625</v>
      </c>
      <c r="AB227" s="158">
        <f t="shared" si="139"/>
        <v>36116.891460801329</v>
      </c>
      <c r="AC227" s="158">
        <f t="shared" si="139"/>
        <v>37457.48620394279</v>
      </c>
      <c r="AD227" s="158">
        <f t="shared" si="139"/>
        <v>38786.316424255136</v>
      </c>
      <c r="AE227" s="158">
        <f t="shared" si="139"/>
        <v>40107.030354447896</v>
      </c>
      <c r="AF227" s="158">
        <f t="shared" si="139"/>
        <v>41415.865100043164</v>
      </c>
      <c r="AG227" s="158">
        <f t="shared" si="139"/>
        <v>42708.092716462801</v>
      </c>
      <c r="AH227" s="187">
        <f t="shared" si="139"/>
        <v>43959.015095983741</v>
      </c>
    </row>
    <row r="228" spans="1:34">
      <c r="A228" s="1" t="s">
        <v>456</v>
      </c>
      <c r="D228" s="331">
        <f t="shared" ref="D228:AH228" si="140">D227-D207</f>
        <v>-41.167439677373068</v>
      </c>
      <c r="E228" s="331">
        <f t="shared" si="140"/>
        <v>-90.34897940950259</v>
      </c>
      <c r="F228" s="331">
        <f t="shared" si="140"/>
        <v>-149.76069186075529</v>
      </c>
      <c r="G228" s="331">
        <f t="shared" si="140"/>
        <v>-218.5928113140908</v>
      </c>
      <c r="H228" s="402">
        <f>H227-H207</f>
        <v>-256.89206436154836</v>
      </c>
      <c r="I228" s="14">
        <f t="shared" si="140"/>
        <v>-307.14362915456149</v>
      </c>
      <c r="J228" s="14">
        <f t="shared" si="140"/>
        <v>-374.50133796793853</v>
      </c>
      <c r="K228" s="14">
        <f t="shared" si="140"/>
        <v>-471.41711748774469</v>
      </c>
      <c r="L228" s="14">
        <f t="shared" si="140"/>
        <v>-602.76691476960514</v>
      </c>
      <c r="M228" s="14">
        <f t="shared" si="140"/>
        <v>-774.78918484985661</v>
      </c>
      <c r="N228" s="187">
        <f t="shared" si="140"/>
        <v>-992.72628054797678</v>
      </c>
      <c r="O228" s="14">
        <f t="shared" si="140"/>
        <v>-1209.9745558561954</v>
      </c>
      <c r="P228" s="14">
        <f t="shared" si="140"/>
        <v>-1423.1715376285538</v>
      </c>
      <c r="Q228" s="14">
        <f t="shared" si="140"/>
        <v>-1633.4842087282632</v>
      </c>
      <c r="R228" s="14">
        <f t="shared" si="140"/>
        <v>-1844.8283238815457</v>
      </c>
      <c r="S228" s="14">
        <f t="shared" si="140"/>
        <v>-2058.5967640774143</v>
      </c>
      <c r="T228" s="14">
        <f t="shared" si="140"/>
        <v>-2267.7302929722027</v>
      </c>
      <c r="U228" s="14">
        <f t="shared" si="140"/>
        <v>-2467.8898785183956</v>
      </c>
      <c r="V228" s="14">
        <f t="shared" si="140"/>
        <v>-2670.4053364606116</v>
      </c>
      <c r="W228" s="14">
        <f t="shared" si="140"/>
        <v>-2867.2386217799467</v>
      </c>
      <c r="X228" s="187">
        <f t="shared" si="140"/>
        <v>-3071.2363755040715</v>
      </c>
      <c r="Y228" s="158">
        <f t="shared" si="140"/>
        <v>-3278.7704950368861</v>
      </c>
      <c r="Z228" s="158">
        <f t="shared" si="140"/>
        <v>-3494.3098018088785</v>
      </c>
      <c r="AA228" s="158">
        <f t="shared" si="140"/>
        <v>-3717.1358824846247</v>
      </c>
      <c r="AB228" s="158">
        <f t="shared" si="140"/>
        <v>-3944.2860487336729</v>
      </c>
      <c r="AC228" s="158">
        <f t="shared" si="140"/>
        <v>-4168.4047608465553</v>
      </c>
      <c r="AD228" s="158">
        <f t="shared" si="140"/>
        <v>-4389.0363945783974</v>
      </c>
      <c r="AE228" s="158">
        <f t="shared" si="140"/>
        <v>-4607.0215972399164</v>
      </c>
      <c r="AF228" s="158">
        <f t="shared" si="140"/>
        <v>-4822.7640111598084</v>
      </c>
      <c r="AG228" s="158">
        <f t="shared" si="140"/>
        <v>-5034.8945453659981</v>
      </c>
      <c r="AH228" s="187">
        <f t="shared" si="140"/>
        <v>-5238.2201519232694</v>
      </c>
    </row>
    <row r="229" spans="1:34">
      <c r="I229" s="129"/>
      <c r="J229" s="129"/>
      <c r="K229" s="129"/>
      <c r="L229" s="129"/>
      <c r="M229" s="129"/>
      <c r="O229" s="129"/>
      <c r="P229" s="129"/>
      <c r="Q229" s="129"/>
      <c r="R229" s="129"/>
      <c r="S229" s="129"/>
      <c r="T229" s="129"/>
      <c r="U229" s="129"/>
      <c r="V229" s="129"/>
      <c r="W229" s="129"/>
    </row>
    <row r="230" spans="1:34">
      <c r="A230" s="1" t="s">
        <v>412</v>
      </c>
    </row>
    <row r="231" spans="1:34">
      <c r="A231" t="s">
        <v>413</v>
      </c>
      <c r="C231" s="331">
        <f t="shared" ref="C231:AH231" si="141">C210-C191</f>
        <v>0</v>
      </c>
      <c r="D231" s="331">
        <f t="shared" si="141"/>
        <v>0</v>
      </c>
      <c r="E231" s="331">
        <f t="shared" si="141"/>
        <v>0</v>
      </c>
      <c r="F231" s="331">
        <f t="shared" si="141"/>
        <v>0</v>
      </c>
      <c r="G231" s="331">
        <f t="shared" si="141"/>
        <v>0</v>
      </c>
      <c r="H231" s="402">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414</v>
      </c>
      <c r="C232" s="331">
        <f t="shared" ref="C232:AH232" si="143">C211-C192</f>
        <v>0</v>
      </c>
      <c r="D232" s="331">
        <f t="shared" si="143"/>
        <v>0</v>
      </c>
      <c r="E232" s="331">
        <f t="shared" si="143"/>
        <v>0</v>
      </c>
      <c r="F232" s="331">
        <f t="shared" si="143"/>
        <v>0</v>
      </c>
      <c r="G232" s="331">
        <f t="shared" si="143"/>
        <v>0</v>
      </c>
      <c r="H232" s="402">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415</v>
      </c>
      <c r="C233" s="331">
        <f t="shared" ref="C233:AH233" si="144">C212-C193</f>
        <v>0</v>
      </c>
      <c r="D233" s="331">
        <f t="shared" si="144"/>
        <v>0</v>
      </c>
      <c r="E233" s="331">
        <f t="shared" si="144"/>
        <v>0</v>
      </c>
      <c r="F233" s="331">
        <f t="shared" si="144"/>
        <v>0</v>
      </c>
      <c r="G233" s="331">
        <f t="shared" si="144"/>
        <v>0</v>
      </c>
      <c r="H233" s="402">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416</v>
      </c>
      <c r="C234" s="331">
        <f t="shared" ref="C234:AH234" si="145">C213-C194</f>
        <v>-2.7000000000043656E-4</v>
      </c>
      <c r="D234" s="331">
        <f t="shared" si="145"/>
        <v>11.761155156052894</v>
      </c>
      <c r="E234" s="331">
        <f t="shared" si="145"/>
        <v>21.569782071187547</v>
      </c>
      <c r="F234" s="331">
        <f t="shared" si="145"/>
        <v>32.896982878480344</v>
      </c>
      <c r="G234" s="331">
        <f t="shared" si="145"/>
        <v>42.301574838899171</v>
      </c>
      <c r="H234" s="402">
        <f>H213-H194</f>
        <v>-2.7000000000043656E-4</v>
      </c>
      <c r="I234" s="14">
        <f t="shared" si="145"/>
        <v>71.014848869688649</v>
      </c>
      <c r="J234" s="14">
        <f t="shared" si="145"/>
        <v>162.77564448464705</v>
      </c>
      <c r="K234" s="14">
        <f t="shared" si="145"/>
        <v>280.6995348678376</v>
      </c>
      <c r="L234" s="14">
        <f t="shared" si="145"/>
        <v>422.44868639535883</v>
      </c>
      <c r="M234" s="14">
        <f t="shared" si="145"/>
        <v>592.82400158986752</v>
      </c>
      <c r="N234" s="187">
        <f t="shared" si="145"/>
        <v>788.80244643953415</v>
      </c>
      <c r="O234" s="14">
        <f t="shared" si="145"/>
        <v>792.07407657669421</v>
      </c>
      <c r="P234" s="14">
        <f t="shared" si="145"/>
        <v>781.83736710853736</v>
      </c>
      <c r="Q234" s="14">
        <f t="shared" si="145"/>
        <v>777.56283195139451</v>
      </c>
      <c r="R234" s="14">
        <f t="shared" si="145"/>
        <v>783.84515728077588</v>
      </c>
      <c r="S234" s="14">
        <f t="shared" si="145"/>
        <v>794.26601472324137</v>
      </c>
      <c r="T234" s="14">
        <f t="shared" si="145"/>
        <v>782.45928836363328</v>
      </c>
      <c r="U234" s="14">
        <f t="shared" si="145"/>
        <v>758.0465550481706</v>
      </c>
      <c r="V234" s="14">
        <f t="shared" si="145"/>
        <v>771.6371442712009</v>
      </c>
      <c r="W234" s="14">
        <f t="shared" si="145"/>
        <v>755.99467219174244</v>
      </c>
      <c r="X234" s="187">
        <f t="shared" si="145"/>
        <v>782.12059095023255</v>
      </c>
      <c r="Y234" s="158">
        <f t="shared" si="145"/>
        <v>794.01244707322087</v>
      </c>
      <c r="Z234" s="158">
        <f t="shared" si="145"/>
        <v>820.01067144694753</v>
      </c>
      <c r="AA234" s="158">
        <f t="shared" si="145"/>
        <v>844.85014875747981</v>
      </c>
      <c r="AB234" s="158">
        <f t="shared" si="145"/>
        <v>860.17689385940878</v>
      </c>
      <c r="AC234" s="158">
        <f t="shared" si="145"/>
        <v>850.61464474005174</v>
      </c>
      <c r="AD234" s="158">
        <f t="shared" si="145"/>
        <v>842.65719894686993</v>
      </c>
      <c r="AE234" s="158">
        <f t="shared" si="145"/>
        <v>837.14316666369609</v>
      </c>
      <c r="AF234" s="158">
        <f t="shared" si="145"/>
        <v>829.16814879586036</v>
      </c>
      <c r="AG234" s="158">
        <f t="shared" si="145"/>
        <v>818.21352038758619</v>
      </c>
      <c r="AH234" s="187">
        <f t="shared" si="145"/>
        <v>790.46177795943879</v>
      </c>
    </row>
    <row r="235" spans="1:34">
      <c r="A235" t="s">
        <v>417</v>
      </c>
      <c r="C235" s="331">
        <f t="shared" ref="C235:AH235" si="146">C214-C195</f>
        <v>0</v>
      </c>
      <c r="D235" s="331">
        <f t="shared" si="146"/>
        <v>6.1902563685779342</v>
      </c>
      <c r="E235" s="331">
        <f t="shared" si="146"/>
        <v>11.352738288004332</v>
      </c>
      <c r="F235" s="331">
        <f t="shared" si="146"/>
        <v>17.314467625865149</v>
      </c>
      <c r="G235" s="331">
        <f t="shared" si="146"/>
        <v>22.264303687614415</v>
      </c>
      <c r="H235" s="402">
        <f t="shared" si="146"/>
        <v>0</v>
      </c>
      <c r="I235" s="14">
        <f t="shared" si="146"/>
        <v>37.376414565457338</v>
      </c>
      <c r="J235" s="14">
        <f t="shared" si="146"/>
        <v>85.671616340417103</v>
      </c>
      <c r="K235" s="14">
        <f t="shared" si="146"/>
        <v>147.7368789836261</v>
      </c>
      <c r="L235" s="14">
        <f t="shared" si="146"/>
        <v>222.34175981750474</v>
      </c>
      <c r="M235" s="14">
        <f t="shared" si="146"/>
        <v>312.01305339879741</v>
      </c>
      <c r="N235" s="187">
        <f t="shared" si="146"/>
        <v>415.15968658830525</v>
      </c>
      <c r="O235" s="14">
        <f t="shared" si="146"/>
        <v>416.88159736654052</v>
      </c>
      <c r="P235" s="14">
        <f t="shared" si="146"/>
        <v>411.49384761859841</v>
      </c>
      <c r="Q235" s="14">
        <f t="shared" si="146"/>
        <v>409.24408795152385</v>
      </c>
      <c r="R235" s="14">
        <f t="shared" si="146"/>
        <v>412.55057692972753</v>
      </c>
      <c r="S235" s="14">
        <f t="shared" si="146"/>
        <v>418.0352432123268</v>
      </c>
      <c r="T235" s="14">
        <f t="shared" si="146"/>
        <v>411.82116810241064</v>
      </c>
      <c r="U235" s="14">
        <f t="shared" si="146"/>
        <v>398.97234518362325</v>
      </c>
      <c r="V235" s="14">
        <f t="shared" si="146"/>
        <v>406.12529338847867</v>
      </c>
      <c r="W235" s="14">
        <f t="shared" si="146"/>
        <v>397.89240263343805</v>
      </c>
      <c r="X235" s="187">
        <f t="shared" si="146"/>
        <v>411.64289975391779</v>
      </c>
      <c r="Y235" s="158">
        <f t="shared" si="146"/>
        <v>417.90177836297676</v>
      </c>
      <c r="Z235" s="158">
        <f t="shared" si="146"/>
        <v>431.58506935164365</v>
      </c>
      <c r="AA235" s="158">
        <f t="shared" si="146"/>
        <v>444.65849283566331</v>
      </c>
      <c r="AB235" s="158">
        <f t="shared" si="146"/>
        <v>452.72520958705593</v>
      </c>
      <c r="AC235" s="158">
        <f t="shared" si="146"/>
        <v>447.69244139085532</v>
      </c>
      <c r="AD235" s="158">
        <f t="shared" si="146"/>
        <v>443.50430753521329</v>
      </c>
      <c r="AE235" s="158">
        <f t="shared" si="146"/>
        <v>440.60218220482562</v>
      </c>
      <c r="AF235" s="158">
        <f t="shared" si="146"/>
        <v>436.4047998422817</v>
      </c>
      <c r="AG235" s="158">
        <f t="shared" si="146"/>
        <v>430.63919956713113</v>
      </c>
      <c r="AH235" s="187">
        <f t="shared" si="146"/>
        <v>416.03300336270706</v>
      </c>
    </row>
    <row r="236" spans="1:34">
      <c r="A236" t="s">
        <v>418</v>
      </c>
      <c r="C236" s="331">
        <f t="shared" ref="C236:AH236" si="147">C215-C196</f>
        <v>-2.7000000000043656E-4</v>
      </c>
      <c r="D236" s="331">
        <f t="shared" si="147"/>
        <v>5.5708987874749312</v>
      </c>
      <c r="E236" s="331">
        <f t="shared" si="147"/>
        <v>10.217043783183186</v>
      </c>
      <c r="F236" s="331">
        <f t="shared" si="147"/>
        <v>15.582515252615167</v>
      </c>
      <c r="G236" s="331">
        <f t="shared" si="147"/>
        <v>20.037271151284756</v>
      </c>
      <c r="H236" s="402">
        <f>H215-H196</f>
        <v>-2.7000000000043656E-4</v>
      </c>
      <c r="I236" s="14">
        <f t="shared" si="147"/>
        <v>33.638434304231367</v>
      </c>
      <c r="J236" s="14">
        <f t="shared" si="147"/>
        <v>77.104028144229943</v>
      </c>
      <c r="K236" s="14">
        <f t="shared" si="147"/>
        <v>132.9626558842115</v>
      </c>
      <c r="L236" s="14">
        <f t="shared" si="147"/>
        <v>200.10692657785415</v>
      </c>
      <c r="M236" s="14">
        <f t="shared" si="147"/>
        <v>280.81094819107022</v>
      </c>
      <c r="N236" s="187">
        <f t="shared" si="147"/>
        <v>373.64275985122902</v>
      </c>
      <c r="O236" s="14">
        <f t="shared" si="147"/>
        <v>375.19247921015375</v>
      </c>
      <c r="P236" s="14">
        <f t="shared" si="147"/>
        <v>370.34351948993879</v>
      </c>
      <c r="Q236" s="14">
        <f t="shared" si="147"/>
        <v>368.31874399987055</v>
      </c>
      <c r="R236" s="14">
        <f t="shared" si="147"/>
        <v>371.29458035104824</v>
      </c>
      <c r="S236" s="14">
        <f t="shared" si="147"/>
        <v>376.23077151091468</v>
      </c>
      <c r="T236" s="14">
        <f t="shared" si="147"/>
        <v>370.6381202612227</v>
      </c>
      <c r="U236" s="14">
        <f t="shared" si="147"/>
        <v>359.07420986454736</v>
      </c>
      <c r="V236" s="14">
        <f t="shared" si="147"/>
        <v>365.51185088272223</v>
      </c>
      <c r="W236" s="14">
        <f t="shared" si="147"/>
        <v>358.10226955830427</v>
      </c>
      <c r="X236" s="187">
        <f t="shared" si="147"/>
        <v>370.47769119631471</v>
      </c>
      <c r="Y236" s="158">
        <f t="shared" si="147"/>
        <v>376.11066871024406</v>
      </c>
      <c r="Z236" s="158">
        <f t="shared" si="147"/>
        <v>388.42560209530382</v>
      </c>
      <c r="AA236" s="158">
        <f t="shared" si="147"/>
        <v>400.1916559218165</v>
      </c>
      <c r="AB236" s="158">
        <f t="shared" si="147"/>
        <v>407.45168427235285</v>
      </c>
      <c r="AC236" s="158">
        <f t="shared" si="147"/>
        <v>402.92220334919648</v>
      </c>
      <c r="AD236" s="158">
        <f t="shared" si="147"/>
        <v>399.15289141165658</v>
      </c>
      <c r="AE236" s="158">
        <f t="shared" si="147"/>
        <v>396.54098445887047</v>
      </c>
      <c r="AF236" s="158">
        <f t="shared" si="147"/>
        <v>392.76334895357854</v>
      </c>
      <c r="AG236" s="158">
        <f t="shared" si="147"/>
        <v>387.57432082045523</v>
      </c>
      <c r="AH236" s="187">
        <f t="shared" si="147"/>
        <v>374.42877459673161</v>
      </c>
    </row>
    <row r="237" spans="1:34">
      <c r="A237" t="s">
        <v>419</v>
      </c>
      <c r="C237" s="331">
        <f t="shared" ref="C237:AH237" si="148">C216-C197</f>
        <v>0</v>
      </c>
      <c r="D237" s="331">
        <f t="shared" si="148"/>
        <v>0.26415372631168266</v>
      </c>
      <c r="E237" s="331">
        <f t="shared" si="148"/>
        <v>2.4430677575287163E-2</v>
      </c>
      <c r="F237" s="331">
        <f t="shared" si="148"/>
        <v>0.1912222736794007</v>
      </c>
      <c r="G237" s="331">
        <f t="shared" si="148"/>
        <v>0.16319546851593492</v>
      </c>
      <c r="H237" s="402">
        <f t="shared" si="148"/>
        <v>0</v>
      </c>
      <c r="I237" s="14">
        <f t="shared" si="148"/>
        <v>5.3583233227212368E-3</v>
      </c>
      <c r="J237" s="14">
        <f t="shared" si="148"/>
        <v>1.5363698234657219E-2</v>
      </c>
      <c r="K237" s="14">
        <f t="shared" si="148"/>
        <v>3.2636811482067873E-2</v>
      </c>
      <c r="L237" s="14">
        <f t="shared" si="148"/>
        <v>3.5823514688232416E-2</v>
      </c>
      <c r="M237" s="14">
        <f t="shared" si="148"/>
        <v>2.7654805315597164E-2</v>
      </c>
      <c r="N237" s="187">
        <f t="shared" si="148"/>
        <v>0</v>
      </c>
      <c r="O237" s="14">
        <f t="shared" si="148"/>
        <v>1.635807590785765E-2</v>
      </c>
      <c r="P237" s="14">
        <f t="shared" si="148"/>
        <v>1.2038560144294497E-2</v>
      </c>
      <c r="Q237" s="14">
        <f t="shared" si="148"/>
        <v>-4.4816102616620057E-2</v>
      </c>
      <c r="R237" s="14">
        <f t="shared" si="148"/>
        <v>-2.5973480184130038E-2</v>
      </c>
      <c r="S237" s="14">
        <f t="shared" si="148"/>
        <v>-1.1272739450820524E-3</v>
      </c>
      <c r="T237" s="14">
        <f t="shared" si="148"/>
        <v>-1.0464890313297115E-2</v>
      </c>
      <c r="U237" s="14">
        <f t="shared" si="148"/>
        <v>-4.8824766319056856E-2</v>
      </c>
      <c r="V237" s="14">
        <f t="shared" si="148"/>
        <v>-2.9231247057408094E-2</v>
      </c>
      <c r="W237" s="14">
        <f t="shared" si="148"/>
        <v>-4.6743317556773745E-2</v>
      </c>
      <c r="X237" s="187">
        <f t="shared" si="148"/>
        <v>0</v>
      </c>
      <c r="Y237" s="158">
        <f t="shared" si="148"/>
        <v>1.7959220570721968E-2</v>
      </c>
      <c r="Z237" s="158">
        <f t="shared" si="148"/>
        <v>5.7456326221908327E-2</v>
      </c>
      <c r="AA237" s="158">
        <f t="shared" si="148"/>
        <v>9.5222958146478076E-2</v>
      </c>
      <c r="AB237" s="158">
        <f t="shared" si="148"/>
        <v>0.11801902726002189</v>
      </c>
      <c r="AC237" s="158">
        <f t="shared" si="148"/>
        <v>0.10248151158815233</v>
      </c>
      <c r="AD237" s="158">
        <f t="shared" si="148"/>
        <v>8.3182634318977433E-2</v>
      </c>
      <c r="AE237" s="158">
        <f t="shared" si="148"/>
        <v>7.4165499197780482E-2</v>
      </c>
      <c r="AF237" s="158">
        <f t="shared" si="148"/>
        <v>6.1251234777027985E-2</v>
      </c>
      <c r="AG237" s="158">
        <f t="shared" si="148"/>
        <v>4.3438140909723089E-2</v>
      </c>
      <c r="AH237" s="187">
        <f t="shared" si="148"/>
        <v>0</v>
      </c>
    </row>
    <row r="238" spans="1:34">
      <c r="A238" t="s">
        <v>420</v>
      </c>
      <c r="C238" s="331">
        <f t="shared" ref="C238:AH238" si="149">C217-C198</f>
        <v>0</v>
      </c>
      <c r="D238" s="331">
        <f t="shared" si="149"/>
        <v>0.13902827700614884</v>
      </c>
      <c r="E238" s="331">
        <f t="shared" si="149"/>
        <v>1.2858251355414296E-2</v>
      </c>
      <c r="F238" s="331">
        <f t="shared" si="149"/>
        <v>0.10064330193652671</v>
      </c>
      <c r="G238" s="331">
        <f t="shared" si="149"/>
        <v>8.5892351850492044E-2</v>
      </c>
      <c r="H238" s="402">
        <f t="shared" si="149"/>
        <v>0</v>
      </c>
      <c r="I238" s="14">
        <f t="shared" si="149"/>
        <v>2.8201701698533643E-3</v>
      </c>
      <c r="J238" s="14">
        <f t="shared" si="149"/>
        <v>8.0861569656091037E-3</v>
      </c>
      <c r="K238" s="14">
        <f t="shared" si="149"/>
        <v>1.7177269201088419E-2</v>
      </c>
      <c r="L238" s="14">
        <f t="shared" si="149"/>
        <v>1.8854481414859237E-2</v>
      </c>
      <c r="M238" s="14">
        <f t="shared" si="149"/>
        <v>1.4555160692419578E-2</v>
      </c>
      <c r="N238" s="187">
        <f t="shared" si="149"/>
        <v>0</v>
      </c>
      <c r="O238" s="14">
        <f t="shared" si="149"/>
        <v>8.6095136357144941E-3</v>
      </c>
      <c r="P238" s="14">
        <f t="shared" si="149"/>
        <v>6.3360842864707001E-3</v>
      </c>
      <c r="Q238" s="14">
        <f t="shared" si="149"/>
        <v>-2.3587422429800053E-2</v>
      </c>
      <c r="R238" s="14">
        <f t="shared" si="149"/>
        <v>-1.3670252728489429E-2</v>
      </c>
      <c r="S238" s="14">
        <f t="shared" si="149"/>
        <v>-5.9330207635910348E-4</v>
      </c>
      <c r="T238" s="14">
        <f t="shared" si="149"/>
        <v>-5.5078370069984173E-3</v>
      </c>
      <c r="U238" s="14">
        <f t="shared" si="149"/>
        <v>-2.5697245431082538E-2</v>
      </c>
      <c r="V238" s="14">
        <f t="shared" si="149"/>
        <v>-1.5384866872320102E-2</v>
      </c>
      <c r="W238" s="14">
        <f t="shared" si="149"/>
        <v>-2.4601746082512421E-2</v>
      </c>
      <c r="X238" s="187">
        <f t="shared" si="149"/>
        <v>0</v>
      </c>
      <c r="Y238" s="158">
        <f t="shared" si="149"/>
        <v>9.4522213530116028E-3</v>
      </c>
      <c r="Z238" s="158">
        <f t="shared" si="149"/>
        <v>3.0240171695741225E-2</v>
      </c>
      <c r="AA238" s="158">
        <f t="shared" si="149"/>
        <v>5.0117346392883122E-2</v>
      </c>
      <c r="AB238" s="158">
        <f t="shared" si="149"/>
        <v>6.211527750527468E-2</v>
      </c>
      <c r="AC238" s="158">
        <f t="shared" si="149"/>
        <v>5.3937637677974881E-2</v>
      </c>
      <c r="AD238" s="158">
        <f t="shared" si="149"/>
        <v>4.3780333852093345E-2</v>
      </c>
      <c r="AE238" s="158">
        <f t="shared" si="149"/>
        <v>3.9034473261989833E-2</v>
      </c>
      <c r="AF238" s="158">
        <f t="shared" si="149"/>
        <v>3.2237491987909483E-2</v>
      </c>
      <c r="AG238" s="158">
        <f t="shared" si="149"/>
        <v>2.2862179426170082E-2</v>
      </c>
      <c r="AH238" s="187">
        <f t="shared" si="149"/>
        <v>0</v>
      </c>
    </row>
    <row r="239" spans="1:34">
      <c r="A239" t="s">
        <v>421</v>
      </c>
      <c r="C239" s="331">
        <f t="shared" ref="C239:AH239" si="150">C218-C199</f>
        <v>0</v>
      </c>
      <c r="D239" s="331">
        <f t="shared" si="150"/>
        <v>0.12512544930553393</v>
      </c>
      <c r="E239" s="331">
        <f t="shared" si="150"/>
        <v>1.1572426219872867E-2</v>
      </c>
      <c r="F239" s="331">
        <f t="shared" si="150"/>
        <v>9.0578971742873993E-2</v>
      </c>
      <c r="G239" s="331">
        <f t="shared" si="150"/>
        <v>7.7303116665442873E-2</v>
      </c>
      <c r="H239" s="402">
        <f t="shared" si="150"/>
        <v>0</v>
      </c>
      <c r="I239" s="14">
        <f t="shared" si="150"/>
        <v>2.5381531528679835E-3</v>
      </c>
      <c r="J239" s="14">
        <f t="shared" si="150"/>
        <v>7.2775412690482266E-3</v>
      </c>
      <c r="K239" s="14">
        <f t="shared" si="150"/>
        <v>1.5459542280979566E-2</v>
      </c>
      <c r="L239" s="14">
        <f t="shared" si="150"/>
        <v>1.6969033273373291E-2</v>
      </c>
      <c r="M239" s="14">
        <f t="shared" si="150"/>
        <v>1.3099644623177586E-2</v>
      </c>
      <c r="N239" s="187">
        <f t="shared" si="150"/>
        <v>0</v>
      </c>
      <c r="O239" s="14">
        <f t="shared" si="150"/>
        <v>7.7485622721430447E-3</v>
      </c>
      <c r="P239" s="14">
        <f t="shared" si="150"/>
        <v>5.7024758578236856E-3</v>
      </c>
      <c r="Q239" s="14">
        <f t="shared" si="150"/>
        <v>-2.1228680186820004E-2</v>
      </c>
      <c r="R239" s="14">
        <f t="shared" si="150"/>
        <v>-1.2303227455640497E-2</v>
      </c>
      <c r="S239" s="14">
        <f t="shared" si="150"/>
        <v>-5.3397186872317093E-4</v>
      </c>
      <c r="T239" s="14">
        <f t="shared" si="150"/>
        <v>-4.9570533062985866E-3</v>
      </c>
      <c r="U239" s="14">
        <f t="shared" si="150"/>
        <v>-2.3127520887974318E-2</v>
      </c>
      <c r="V239" s="14">
        <f t="shared" si="150"/>
        <v>-1.3846380185088103E-2</v>
      </c>
      <c r="W239" s="14">
        <f t="shared" si="150"/>
        <v>-2.2141571474261212E-2</v>
      </c>
      <c r="X239" s="187">
        <f t="shared" si="150"/>
        <v>0</v>
      </c>
      <c r="Y239" s="158">
        <f t="shared" si="150"/>
        <v>8.5069992177103648E-3</v>
      </c>
      <c r="Z239" s="158">
        <f t="shared" si="150"/>
        <v>2.7216154526167102E-2</v>
      </c>
      <c r="AA239" s="158">
        <f t="shared" si="150"/>
        <v>4.5105611753594843E-2</v>
      </c>
      <c r="AB239" s="158">
        <f t="shared" si="150"/>
        <v>5.5903749754747212E-2</v>
      </c>
      <c r="AC239" s="158">
        <f t="shared" si="150"/>
        <v>4.8543873910177449E-2</v>
      </c>
      <c r="AD239" s="158">
        <f t="shared" si="150"/>
        <v>3.9402300466883977E-2</v>
      </c>
      <c r="AE239" s="158">
        <f t="shared" si="150"/>
        <v>3.5131025935790761E-2</v>
      </c>
      <c r="AF239" s="158">
        <f t="shared" si="150"/>
        <v>2.9013742789118502E-2</v>
      </c>
      <c r="AG239" s="158">
        <f t="shared" si="150"/>
        <v>2.0575961483553007E-2</v>
      </c>
      <c r="AH239" s="187">
        <f t="shared" si="150"/>
        <v>0</v>
      </c>
    </row>
    <row r="240" spans="1:34">
      <c r="A240" t="s">
        <v>393</v>
      </c>
      <c r="C240" s="331">
        <f>C219-C200</f>
        <v>-0.20899999999983265</v>
      </c>
      <c r="D240" s="331">
        <f t="shared" ref="D240:AH240" si="151">D219-D200+D249+D252</f>
        <v>-41.167439677373068</v>
      </c>
      <c r="E240" s="331">
        <f t="shared" si="151"/>
        <v>-49.18153973212975</v>
      </c>
      <c r="F240" s="331">
        <f t="shared" si="151"/>
        <v>-59.411712451252924</v>
      </c>
      <c r="G240" s="331">
        <f t="shared" si="151"/>
        <v>-68.832119453335508</v>
      </c>
      <c r="H240" s="402">
        <f t="shared" si="151"/>
        <v>-38.299253047457114</v>
      </c>
      <c r="I240" s="14">
        <f t="shared" si="151"/>
        <v>-50.251564793012449</v>
      </c>
      <c r="J240" s="14">
        <f t="shared" si="151"/>
        <v>-67.357708813375439</v>
      </c>
      <c r="K240" s="14">
        <f t="shared" si="151"/>
        <v>-96.915779519806392</v>
      </c>
      <c r="L240" s="14">
        <f t="shared" si="151"/>
        <v>-131.34979728186022</v>
      </c>
      <c r="M240" s="14">
        <f t="shared" si="151"/>
        <v>-172.02227008025238</v>
      </c>
      <c r="N240" s="187">
        <f t="shared" si="151"/>
        <v>-217.93709569812222</v>
      </c>
      <c r="O240" s="14">
        <f t="shared" si="151"/>
        <v>-217.24827530821699</v>
      </c>
      <c r="P240" s="14">
        <f t="shared" si="151"/>
        <v>-213.19698177236069</v>
      </c>
      <c r="Q240" s="14">
        <f t="shared" si="151"/>
        <v>-210.31267109970895</v>
      </c>
      <c r="R240" s="14">
        <f t="shared" si="151"/>
        <v>-211.34411515328293</v>
      </c>
      <c r="S240" s="14">
        <f t="shared" si="151"/>
        <v>-213.76844019586588</v>
      </c>
      <c r="T240" s="14">
        <f t="shared" si="151"/>
        <v>-209.13352889478779</v>
      </c>
      <c r="U240" s="14">
        <f t="shared" si="151"/>
        <v>-200.15958554619283</v>
      </c>
      <c r="V240" s="14">
        <f t="shared" si="151"/>
        <v>-202.51545794221533</v>
      </c>
      <c r="W240" s="14">
        <f t="shared" si="151"/>
        <v>-196.83328531933671</v>
      </c>
      <c r="X240" s="187">
        <f t="shared" si="151"/>
        <v>-203.99775372412705</v>
      </c>
      <c r="Y240" s="158">
        <f t="shared" si="151"/>
        <v>-207.53411953281784</v>
      </c>
      <c r="Z240" s="158">
        <f t="shared" si="151"/>
        <v>-215.53930677199082</v>
      </c>
      <c r="AA240" s="158">
        <f t="shared" si="151"/>
        <v>-222.8260806757462</v>
      </c>
      <c r="AB240" s="158">
        <f t="shared" si="151"/>
        <v>-227.15016624904933</v>
      </c>
      <c r="AC240" s="158">
        <f t="shared" si="151"/>
        <v>-224.11871211287917</v>
      </c>
      <c r="AD240" s="158">
        <f t="shared" si="151"/>
        <v>-220.63163373184261</v>
      </c>
      <c r="AE240" s="158">
        <f t="shared" si="151"/>
        <v>-217.98520266152491</v>
      </c>
      <c r="AF240" s="158">
        <f t="shared" si="151"/>
        <v>-215.74241391989449</v>
      </c>
      <c r="AG240" s="158">
        <f t="shared" si="151"/>
        <v>-212.13053420618917</v>
      </c>
      <c r="AH240" s="187">
        <f t="shared" si="151"/>
        <v>-203.32560655727252</v>
      </c>
    </row>
    <row r="241" spans="1:34">
      <c r="A241" t="s">
        <v>422</v>
      </c>
      <c r="C241" s="331">
        <f>C220-C201</f>
        <v>-0.10999999999989996</v>
      </c>
      <c r="D241" s="331">
        <f t="shared" ref="D241:AH241" si="152">D220-D201+D250+D253</f>
        <v>-21.667073514406866</v>
      </c>
      <c r="E241" s="331">
        <f t="shared" si="152"/>
        <v>-25.885020911647302</v>
      </c>
      <c r="F241" s="331">
        <f t="shared" si="152"/>
        <v>-31.269322342764667</v>
      </c>
      <c r="G241" s="331">
        <f t="shared" si="152"/>
        <v>-36.227431291229209</v>
      </c>
      <c r="H241" s="402">
        <f t="shared" si="152"/>
        <v>-20.157501603924743</v>
      </c>
      <c r="I241" s="14">
        <f t="shared" si="152"/>
        <v>-26.448191996322407</v>
      </c>
      <c r="J241" s="14">
        <f t="shared" si="152"/>
        <v>-35.451425691250165</v>
      </c>
      <c r="K241" s="14">
        <f t="shared" si="152"/>
        <v>-51.008305010424351</v>
      </c>
      <c r="L241" s="14">
        <f t="shared" si="152"/>
        <v>-69.131472253610582</v>
      </c>
      <c r="M241" s="14">
        <f t="shared" si="152"/>
        <v>-90.538036884343342</v>
      </c>
      <c r="N241" s="187">
        <f t="shared" si="152"/>
        <v>-114.70373457795904</v>
      </c>
      <c r="O241" s="14">
        <f t="shared" si="152"/>
        <v>-114.34119753064056</v>
      </c>
      <c r="P241" s="14">
        <f t="shared" si="152"/>
        <v>-112.20893777492665</v>
      </c>
      <c r="Q241" s="14">
        <f t="shared" si="152"/>
        <v>-110.69087952616258</v>
      </c>
      <c r="R241" s="14">
        <f t="shared" si="152"/>
        <v>-111.23374481751739</v>
      </c>
      <c r="S241" s="14">
        <f t="shared" si="152"/>
        <v>-112.50970536624516</v>
      </c>
      <c r="T241" s="14">
        <f t="shared" si="152"/>
        <v>-110.07027836567772</v>
      </c>
      <c r="U241" s="14">
        <f t="shared" si="152"/>
        <v>-105.34715028746996</v>
      </c>
      <c r="V241" s="14">
        <f t="shared" si="152"/>
        <v>-106.58708312748172</v>
      </c>
      <c r="W241" s="14">
        <f t="shared" si="152"/>
        <v>-103.59646595754566</v>
      </c>
      <c r="X241" s="187">
        <f t="shared" si="152"/>
        <v>-107.36723880217221</v>
      </c>
      <c r="Y241" s="158">
        <f t="shared" si="152"/>
        <v>-109.22848396464099</v>
      </c>
      <c r="Z241" s="158">
        <f t="shared" si="152"/>
        <v>-113.44174040631106</v>
      </c>
      <c r="AA241" s="158">
        <f t="shared" si="152"/>
        <v>-117.27688456618216</v>
      </c>
      <c r="AB241" s="158">
        <f t="shared" si="152"/>
        <v>-119.55271907844701</v>
      </c>
      <c r="AC241" s="158">
        <f t="shared" si="152"/>
        <v>-117.95721690151538</v>
      </c>
      <c r="AD241" s="158">
        <f t="shared" si="152"/>
        <v>-116.12191249044349</v>
      </c>
      <c r="AE241" s="158">
        <f t="shared" si="152"/>
        <v>-114.72905403238167</v>
      </c>
      <c r="AF241" s="158">
        <f t="shared" si="152"/>
        <v>-113.54863890520755</v>
      </c>
      <c r="AG241" s="158">
        <f t="shared" si="152"/>
        <v>-111.64764958220485</v>
      </c>
      <c r="AH241" s="187">
        <f t="shared" si="152"/>
        <v>-107.01347713540667</v>
      </c>
    </row>
    <row r="242" spans="1:34">
      <c r="A242" t="s">
        <v>423</v>
      </c>
      <c r="C242" s="331">
        <f>C221-C202</f>
        <v>-9.8999999999932697E-2</v>
      </c>
      <c r="D242" s="331">
        <f t="shared" ref="D242:AH242" si="153">D221-D202+D251+D254</f>
        <v>-19.500366162966202</v>
      </c>
      <c r="E242" s="331">
        <f t="shared" si="153"/>
        <v>-23.296518820482561</v>
      </c>
      <c r="F242" s="331">
        <f t="shared" si="153"/>
        <v>-28.142390108488144</v>
      </c>
      <c r="G242" s="331">
        <f t="shared" si="153"/>
        <v>-32.604688162106299</v>
      </c>
      <c r="H242" s="402">
        <f t="shared" si="153"/>
        <v>-18.141751443532257</v>
      </c>
      <c r="I242" s="14">
        <f t="shared" si="153"/>
        <v>-23.803372796690155</v>
      </c>
      <c r="J242" s="14">
        <f t="shared" si="153"/>
        <v>-31.90628312212516</v>
      </c>
      <c r="K242" s="14">
        <f t="shared" si="153"/>
        <v>-45.907474509381927</v>
      </c>
      <c r="L242" s="14">
        <f t="shared" si="153"/>
        <v>-62.218325028249524</v>
      </c>
      <c r="M242" s="14">
        <f t="shared" si="153"/>
        <v>-81.484233195909042</v>
      </c>
      <c r="N242" s="187">
        <f t="shared" si="153"/>
        <v>-103.23336112016307</v>
      </c>
      <c r="O242" s="14">
        <f t="shared" si="153"/>
        <v>-102.90707777757655</v>
      </c>
      <c r="P242" s="14">
        <f t="shared" si="153"/>
        <v>-100.98804399743403</v>
      </c>
      <c r="Q242" s="14">
        <f t="shared" si="153"/>
        <v>-99.621791573546261</v>
      </c>
      <c r="R242" s="14">
        <f t="shared" si="153"/>
        <v>-100.11037033576565</v>
      </c>
      <c r="S242" s="14">
        <f t="shared" si="153"/>
        <v>-101.25873482962061</v>
      </c>
      <c r="T242" s="14">
        <f t="shared" si="153"/>
        <v>-99.063250529109951</v>
      </c>
      <c r="U242" s="14">
        <f t="shared" si="153"/>
        <v>-94.812435258722985</v>
      </c>
      <c r="V242" s="14">
        <f t="shared" si="153"/>
        <v>-95.928374814733615</v>
      </c>
      <c r="W242" s="14">
        <f t="shared" si="153"/>
        <v>-93.236819361791049</v>
      </c>
      <c r="X242" s="187">
        <f t="shared" si="153"/>
        <v>-96.630514921954955</v>
      </c>
      <c r="Y242" s="158">
        <f t="shared" si="153"/>
        <v>-98.305635568176854</v>
      </c>
      <c r="Z242" s="158">
        <f t="shared" si="153"/>
        <v>-102.09756636567988</v>
      </c>
      <c r="AA242" s="158">
        <f t="shared" si="153"/>
        <v>-105.54919610956404</v>
      </c>
      <c r="AB242" s="158">
        <f t="shared" si="153"/>
        <v>-107.59744717060232</v>
      </c>
      <c r="AC242" s="158">
        <f t="shared" si="153"/>
        <v>-106.16149521136379</v>
      </c>
      <c r="AD242" s="158">
        <f t="shared" si="153"/>
        <v>-104.50972124139923</v>
      </c>
      <c r="AE242" s="158">
        <f t="shared" si="153"/>
        <v>-103.25614862914347</v>
      </c>
      <c r="AF242" s="158">
        <f t="shared" si="153"/>
        <v>-102.19377501468682</v>
      </c>
      <c r="AG242" s="158">
        <f t="shared" si="153"/>
        <v>-100.48288462398432</v>
      </c>
      <c r="AH242" s="187">
        <f t="shared" si="153"/>
        <v>-96.312129421865961</v>
      </c>
    </row>
    <row r="243" spans="1:34" s="1" customFormat="1">
      <c r="A243" s="1" t="s">
        <v>404</v>
      </c>
      <c r="B243" s="13"/>
      <c r="C243" s="341">
        <f>C222-C203</f>
        <v>-0.20926999999983309</v>
      </c>
      <c r="D243" s="341">
        <f t="shared" ref="D243:AH243" si="154">D222-D203+D249+D252</f>
        <v>-29.142130795008597</v>
      </c>
      <c r="E243" s="341">
        <f t="shared" si="154"/>
        <v>-27.587326983366893</v>
      </c>
      <c r="F243" s="341">
        <f t="shared" si="154"/>
        <v>-26.32350729909308</v>
      </c>
      <c r="G243" s="341">
        <f t="shared" si="154"/>
        <v>-26.367349145920343</v>
      </c>
      <c r="H243" s="405">
        <f t="shared" si="154"/>
        <v>-38.299523047457114</v>
      </c>
      <c r="I243" s="15">
        <f t="shared" si="154"/>
        <v>20.768642399998953</v>
      </c>
      <c r="J243" s="15">
        <f t="shared" si="154"/>
        <v>95.433299369506358</v>
      </c>
      <c r="K243" s="15">
        <f t="shared" si="154"/>
        <v>183.81639215951327</v>
      </c>
      <c r="L243" s="15">
        <f t="shared" si="154"/>
        <v>291.13471262818666</v>
      </c>
      <c r="M243" s="15">
        <f t="shared" si="154"/>
        <v>420.82938631493062</v>
      </c>
      <c r="N243" s="190">
        <f t="shared" si="154"/>
        <v>570.8653507414117</v>
      </c>
      <c r="O243" s="15">
        <f t="shared" si="154"/>
        <v>574.84215934438521</v>
      </c>
      <c r="P243" s="15">
        <f t="shared" si="154"/>
        <v>568.6524238963209</v>
      </c>
      <c r="Q243" s="15">
        <f t="shared" si="154"/>
        <v>567.20534474906913</v>
      </c>
      <c r="R243" s="15">
        <f t="shared" si="154"/>
        <v>572.47506864730872</v>
      </c>
      <c r="S243" s="15">
        <f t="shared" si="154"/>
        <v>580.49644725343046</v>
      </c>
      <c r="T243" s="15">
        <f t="shared" si="154"/>
        <v>573.31529457853253</v>
      </c>
      <c r="U243" s="15">
        <f t="shared" si="154"/>
        <v>557.83814473565872</v>
      </c>
      <c r="V243" s="15">
        <f t="shared" si="154"/>
        <v>569.09245508192816</v>
      </c>
      <c r="W243" s="15">
        <f t="shared" si="154"/>
        <v>559.11464355484873</v>
      </c>
      <c r="X243" s="190">
        <f t="shared" si="154"/>
        <v>578.1228372261055</v>
      </c>
      <c r="Y243" s="130">
        <f t="shared" si="154"/>
        <v>586.49628676097382</v>
      </c>
      <c r="Z243" s="130">
        <f t="shared" si="154"/>
        <v>604.52882100117904</v>
      </c>
      <c r="AA243" s="130">
        <f t="shared" si="154"/>
        <v>622.11929103987995</v>
      </c>
      <c r="AB243" s="130">
        <f t="shared" si="154"/>
        <v>633.14474663761985</v>
      </c>
      <c r="AC243" s="130">
        <f t="shared" si="154"/>
        <v>626.59841413876052</v>
      </c>
      <c r="AD243" s="130">
        <f t="shared" si="154"/>
        <v>622.1087478493464</v>
      </c>
      <c r="AE243" s="130">
        <f t="shared" si="154"/>
        <v>619.23212950136895</v>
      </c>
      <c r="AF243" s="130">
        <f t="shared" si="154"/>
        <v>613.48698611074292</v>
      </c>
      <c r="AG243" s="130">
        <f t="shared" si="154"/>
        <v>606.12642432230678</v>
      </c>
      <c r="AH243" s="190">
        <f t="shared" si="154"/>
        <v>587.13617140216638</v>
      </c>
    </row>
    <row r="244" spans="1:34">
      <c r="A244" t="s">
        <v>444</v>
      </c>
      <c r="C244" s="331"/>
      <c r="D244" s="331">
        <f>D231+D234</f>
        <v>11.761155156052894</v>
      </c>
      <c r="E244" s="331">
        <f t="shared" ref="E244:N244" si="155">E231+E234</f>
        <v>21.569782071187547</v>
      </c>
      <c r="F244" s="331">
        <f t="shared" si="155"/>
        <v>32.896982878480344</v>
      </c>
      <c r="G244" s="331">
        <f t="shared" si="155"/>
        <v>42.301574838899171</v>
      </c>
      <c r="H244" s="402">
        <f t="shared" si="155"/>
        <v>-2.7000000000043656E-4</v>
      </c>
      <c r="I244" s="14">
        <f t="shared" si="155"/>
        <v>71.014848869688649</v>
      </c>
      <c r="J244" s="14">
        <f t="shared" si="155"/>
        <v>162.77564448464705</v>
      </c>
      <c r="K244" s="14">
        <f t="shared" si="155"/>
        <v>280.6995348678376</v>
      </c>
      <c r="L244" s="14">
        <f t="shared" si="155"/>
        <v>422.44868639535883</v>
      </c>
      <c r="M244" s="14">
        <f t="shared" si="155"/>
        <v>592.82400158986752</v>
      </c>
      <c r="N244" s="187">
        <f t="shared" si="155"/>
        <v>788.80244643953415</v>
      </c>
      <c r="O244" s="14">
        <f>O231+O234</f>
        <v>792.07407657669421</v>
      </c>
      <c r="P244" s="14">
        <f t="shared" ref="P244:AH244" si="156">P231+P234</f>
        <v>781.83736710853736</v>
      </c>
      <c r="Q244" s="14">
        <f t="shared" si="156"/>
        <v>777.56283195139451</v>
      </c>
      <c r="R244" s="14">
        <f t="shared" si="156"/>
        <v>783.84515728077588</v>
      </c>
      <c r="S244" s="14">
        <f t="shared" si="156"/>
        <v>794.26601472324137</v>
      </c>
      <c r="T244" s="14">
        <f t="shared" si="156"/>
        <v>782.45928836363328</v>
      </c>
      <c r="U244" s="14">
        <f t="shared" si="156"/>
        <v>758.0465550481706</v>
      </c>
      <c r="V244" s="14">
        <f t="shared" si="156"/>
        <v>771.6371442712009</v>
      </c>
      <c r="W244" s="14">
        <f t="shared" si="156"/>
        <v>755.99467219174244</v>
      </c>
      <c r="X244" s="187">
        <f t="shared" si="156"/>
        <v>782.12059095023255</v>
      </c>
      <c r="Y244" s="158">
        <f t="shared" si="156"/>
        <v>794.01244707322087</v>
      </c>
      <c r="Z244" s="158">
        <f t="shared" si="156"/>
        <v>820.01067144694753</v>
      </c>
      <c r="AA244" s="158">
        <f t="shared" si="156"/>
        <v>844.85014875747981</v>
      </c>
      <c r="AB244" s="158">
        <f t="shared" si="156"/>
        <v>860.17689385940878</v>
      </c>
      <c r="AC244" s="158">
        <f t="shared" si="156"/>
        <v>850.61464474005174</v>
      </c>
      <c r="AD244" s="158">
        <f t="shared" si="156"/>
        <v>842.65719894686993</v>
      </c>
      <c r="AE244" s="158">
        <f t="shared" si="156"/>
        <v>837.14316666369609</v>
      </c>
      <c r="AF244" s="158">
        <f t="shared" si="156"/>
        <v>829.16814879586036</v>
      </c>
      <c r="AG244" s="158">
        <f t="shared" si="156"/>
        <v>818.21352038758619</v>
      </c>
      <c r="AH244" s="187">
        <f t="shared" si="156"/>
        <v>790.46177795943879</v>
      </c>
    </row>
    <row r="245" spans="1:34">
      <c r="A245" t="s">
        <v>445</v>
      </c>
      <c r="D245" s="331">
        <f>D231+D234+D237</f>
        <v>12.025308882364577</v>
      </c>
      <c r="E245" s="331">
        <f t="shared" ref="E245:N245" si="157">E231+E234+E237</f>
        <v>21.594212748762835</v>
      </c>
      <c r="F245" s="331">
        <f t="shared" si="157"/>
        <v>33.088205152159745</v>
      </c>
      <c r="G245" s="331">
        <f t="shared" si="157"/>
        <v>42.464770307415108</v>
      </c>
      <c r="H245" s="402">
        <f t="shared" si="157"/>
        <v>-2.7000000000043656E-4</v>
      </c>
      <c r="I245" s="14">
        <f t="shared" si="157"/>
        <v>71.020207193011373</v>
      </c>
      <c r="J245" s="14">
        <f t="shared" si="157"/>
        <v>162.79100818288171</v>
      </c>
      <c r="K245" s="14">
        <f t="shared" si="157"/>
        <v>280.73217167931966</v>
      </c>
      <c r="L245" s="14">
        <f t="shared" si="157"/>
        <v>422.48450991004705</v>
      </c>
      <c r="M245" s="14">
        <f t="shared" si="157"/>
        <v>592.85165639518311</v>
      </c>
      <c r="N245" s="187">
        <f t="shared" si="157"/>
        <v>788.80244643953415</v>
      </c>
      <c r="O245" s="14">
        <f>O231+O234+O237</f>
        <v>792.09043465260208</v>
      </c>
      <c r="P245" s="14">
        <f t="shared" ref="P245:AH245" si="158">P231+P234+P237</f>
        <v>781.8494056686817</v>
      </c>
      <c r="Q245" s="14">
        <f t="shared" si="158"/>
        <v>777.51801584877785</v>
      </c>
      <c r="R245" s="14">
        <f t="shared" si="158"/>
        <v>783.81918380059176</v>
      </c>
      <c r="S245" s="14">
        <f t="shared" si="158"/>
        <v>794.26488744929634</v>
      </c>
      <c r="T245" s="14">
        <f t="shared" si="158"/>
        <v>782.44882347331998</v>
      </c>
      <c r="U245" s="14">
        <f t="shared" si="158"/>
        <v>757.99773028185155</v>
      </c>
      <c r="V245" s="14">
        <f t="shared" si="158"/>
        <v>771.6079130241435</v>
      </c>
      <c r="W245" s="14">
        <f t="shared" si="158"/>
        <v>755.94792887418566</v>
      </c>
      <c r="X245" s="187">
        <f t="shared" si="158"/>
        <v>782.12059095023255</v>
      </c>
      <c r="Y245" s="158">
        <f t="shared" si="158"/>
        <v>794.03040629379154</v>
      </c>
      <c r="Z245" s="158">
        <f t="shared" si="158"/>
        <v>820.06812777316941</v>
      </c>
      <c r="AA245" s="158">
        <f t="shared" si="158"/>
        <v>844.94537171562627</v>
      </c>
      <c r="AB245" s="158">
        <f t="shared" si="158"/>
        <v>860.29491288666884</v>
      </c>
      <c r="AC245" s="158">
        <f t="shared" si="158"/>
        <v>850.71712625163991</v>
      </c>
      <c r="AD245" s="158">
        <f t="shared" si="158"/>
        <v>842.7403815811889</v>
      </c>
      <c r="AE245" s="158">
        <f t="shared" si="158"/>
        <v>837.21733216289385</v>
      </c>
      <c r="AF245" s="158">
        <f t="shared" si="158"/>
        <v>829.22940003063741</v>
      </c>
      <c r="AG245" s="158">
        <f t="shared" si="158"/>
        <v>818.25695852849594</v>
      </c>
      <c r="AH245" s="187">
        <f t="shared" si="158"/>
        <v>790.46177795943879</v>
      </c>
    </row>
    <row r="246" spans="1:34" s="1" customFormat="1">
      <c r="A246" s="1" t="s">
        <v>448</v>
      </c>
      <c r="B246" s="13"/>
      <c r="C246" s="328"/>
      <c r="D246" s="341">
        <f>D243</f>
        <v>-29.142130795008597</v>
      </c>
      <c r="E246" s="341">
        <f>D246+E243</f>
        <v>-56.72945777837549</v>
      </c>
      <c r="F246" s="341">
        <f>E246+F243</f>
        <v>-83.052965077468571</v>
      </c>
      <c r="G246" s="341">
        <f>F246+G243</f>
        <v>-109.42031422338891</v>
      </c>
      <c r="H246" s="405"/>
      <c r="I246" s="15">
        <f t="shared" ref="I246:X246" si="159">H246+I243</f>
        <v>20.768642399998953</v>
      </c>
      <c r="J246" s="15">
        <f t="shared" si="159"/>
        <v>116.20194176950531</v>
      </c>
      <c r="K246" s="15">
        <f t="shared" si="159"/>
        <v>300.01833392901858</v>
      </c>
      <c r="L246" s="15">
        <f t="shared" si="159"/>
        <v>591.15304655720524</v>
      </c>
      <c r="M246" s="15">
        <f t="shared" si="159"/>
        <v>1011.9824328721359</v>
      </c>
      <c r="N246" s="190">
        <f t="shared" si="159"/>
        <v>1582.8477836135476</v>
      </c>
      <c r="O246" s="15">
        <f t="shared" si="159"/>
        <v>2157.6899429579325</v>
      </c>
      <c r="P246" s="15">
        <f t="shared" si="159"/>
        <v>2726.3423668542537</v>
      </c>
      <c r="Q246" s="15">
        <f t="shared" si="159"/>
        <v>3293.5477116033226</v>
      </c>
      <c r="R246" s="15">
        <f t="shared" si="159"/>
        <v>3866.0227802506315</v>
      </c>
      <c r="S246" s="15">
        <f t="shared" si="159"/>
        <v>4446.5192275040617</v>
      </c>
      <c r="T246" s="15">
        <f t="shared" si="159"/>
        <v>5019.834522082594</v>
      </c>
      <c r="U246" s="15">
        <f t="shared" si="159"/>
        <v>5577.6726668182528</v>
      </c>
      <c r="V246" s="15">
        <f t="shared" si="159"/>
        <v>6146.7651219001809</v>
      </c>
      <c r="W246" s="15">
        <f t="shared" si="159"/>
        <v>6705.8797654550299</v>
      </c>
      <c r="X246" s="190">
        <f t="shared" si="159"/>
        <v>7284.0026026811356</v>
      </c>
      <c r="Y246" s="130">
        <f t="shared" ref="Y246:AH246" si="160">X246+Y243</f>
        <v>7870.4988894421094</v>
      </c>
      <c r="Z246" s="130">
        <f t="shared" si="160"/>
        <v>8475.027710443288</v>
      </c>
      <c r="AA246" s="130">
        <f t="shared" si="160"/>
        <v>9097.1470014831684</v>
      </c>
      <c r="AB246" s="130">
        <f t="shared" si="160"/>
        <v>9730.2917481207878</v>
      </c>
      <c r="AC246" s="130">
        <f t="shared" si="160"/>
        <v>10356.890162259548</v>
      </c>
      <c r="AD246" s="130">
        <f t="shared" si="160"/>
        <v>10978.998910108894</v>
      </c>
      <c r="AE246" s="130">
        <f t="shared" si="160"/>
        <v>11598.231039610262</v>
      </c>
      <c r="AF246" s="130">
        <f t="shared" si="160"/>
        <v>12211.718025721006</v>
      </c>
      <c r="AG246" s="130">
        <f t="shared" si="160"/>
        <v>12817.844450043312</v>
      </c>
      <c r="AH246" s="190">
        <f t="shared" si="160"/>
        <v>13404.980621445478</v>
      </c>
    </row>
    <row r="247" spans="1:34">
      <c r="A247" t="s">
        <v>457</v>
      </c>
      <c r="D247" s="343" t="b">
        <f t="shared" ref="D247:AH247" si="161">IF(D185-D246&lt;1,TRUE,FALSE)</f>
        <v>1</v>
      </c>
      <c r="E247" s="343" t="b">
        <f t="shared" si="161"/>
        <v>1</v>
      </c>
      <c r="F247" s="343" t="b">
        <f t="shared" si="161"/>
        <v>1</v>
      </c>
      <c r="G247" s="343" t="b">
        <f t="shared" si="161"/>
        <v>1</v>
      </c>
      <c r="H247" s="408"/>
      <c r="I247" s="133" t="b">
        <f t="shared" si="161"/>
        <v>1</v>
      </c>
      <c r="J247" s="133" t="b">
        <f t="shared" si="161"/>
        <v>1</v>
      </c>
      <c r="K247" s="133" t="b">
        <f t="shared" si="161"/>
        <v>1</v>
      </c>
      <c r="L247" s="133" t="b">
        <f t="shared" si="161"/>
        <v>1</v>
      </c>
      <c r="M247" s="133" t="b">
        <f t="shared" si="161"/>
        <v>1</v>
      </c>
      <c r="N247" s="194"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4" t="b">
        <f t="shared" si="161"/>
        <v>1</v>
      </c>
      <c r="Y247" s="290" t="b">
        <f t="shared" si="161"/>
        <v>1</v>
      </c>
      <c r="Z247" s="290" t="b">
        <f t="shared" si="161"/>
        <v>1</v>
      </c>
      <c r="AA247" s="290" t="b">
        <f t="shared" si="161"/>
        <v>1</v>
      </c>
      <c r="AB247" s="290" t="b">
        <f t="shared" si="161"/>
        <v>1</v>
      </c>
      <c r="AC247" s="290" t="b">
        <f t="shared" si="161"/>
        <v>1</v>
      </c>
      <c r="AD247" s="290" t="b">
        <f t="shared" si="161"/>
        <v>1</v>
      </c>
      <c r="AE247" s="290" t="b">
        <f t="shared" si="161"/>
        <v>1</v>
      </c>
      <c r="AF247" s="290" t="b">
        <f t="shared" si="161"/>
        <v>1</v>
      </c>
      <c r="AG247" s="290" t="b">
        <f t="shared" si="161"/>
        <v>1</v>
      </c>
      <c r="AH247" s="194" t="b">
        <f t="shared" si="161"/>
        <v>1</v>
      </c>
    </row>
    <row r="248" spans="1:34">
      <c r="A248" t="s">
        <v>438</v>
      </c>
    </row>
    <row r="249" spans="1:34" s="1" customFormat="1">
      <c r="A249" s="1" t="s">
        <v>439</v>
      </c>
      <c r="B249" s="13"/>
      <c r="C249" s="328"/>
      <c r="D249" s="341">
        <f>D$29*(EIA_electricity_aeo2014!F$60) * Inputs!$M$60</f>
        <v>0</v>
      </c>
      <c r="E249" s="341">
        <f>E$29*(EIA_electricity_aeo2014!G$60) * Inputs!$M$60</f>
        <v>0</v>
      </c>
      <c r="F249" s="341">
        <f>F$29*(EIA_electricity_aeo2014!H$60) * Inputs!$M$60</f>
        <v>0</v>
      </c>
      <c r="G249" s="341">
        <f>G$29*(EIA_electricity_aeo2014!I$60) * Inputs!$M$60</f>
        <v>0</v>
      </c>
      <c r="H249" s="405">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441</v>
      </c>
      <c r="D250" s="331">
        <f>D$29*(EIA_electricity_aeo2014!F$60) * Inputs!$C$60</f>
        <v>0</v>
      </c>
      <c r="E250" s="331">
        <f>E$29*(EIA_electricity_aeo2014!G$60) * Inputs!$C$60</f>
        <v>0</v>
      </c>
      <c r="F250" s="331">
        <f>F$29*(EIA_electricity_aeo2014!H$60) * Inputs!$C$60</f>
        <v>0</v>
      </c>
      <c r="G250" s="331">
        <f>G$29*(EIA_electricity_aeo2014!I$60) * Inputs!$C$60</f>
        <v>0</v>
      </c>
      <c r="H250" s="402">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442</v>
      </c>
      <c r="D251" s="331">
        <f>D250*Inputs!$H$60</f>
        <v>0</v>
      </c>
      <c r="E251" s="331">
        <f>E250*Inputs!$H$60</f>
        <v>0</v>
      </c>
      <c r="F251" s="331">
        <f>F250*Inputs!$H$60</f>
        <v>0</v>
      </c>
      <c r="G251" s="331">
        <f>G250*Inputs!$H$60</f>
        <v>0</v>
      </c>
      <c r="H251" s="402">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440</v>
      </c>
      <c r="B252" s="13"/>
      <c r="C252" s="328"/>
      <c r="D252" s="341">
        <f>D$29*(1-EIA_electricity_aeo2014!F$60) * Inputs!$M$61</f>
        <v>0</v>
      </c>
      <c r="E252" s="341">
        <f>E$29*(1-EIA_electricity_aeo2014!G$60) * Inputs!$M$61</f>
        <v>0</v>
      </c>
      <c r="F252" s="341">
        <f>F$29*(1-EIA_electricity_aeo2014!H$60) * Inputs!$M$61</f>
        <v>0</v>
      </c>
      <c r="G252" s="341">
        <f>G$29*(1-EIA_electricity_aeo2014!I$60) * Inputs!$M$61</f>
        <v>0</v>
      </c>
      <c r="H252" s="405">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441</v>
      </c>
      <c r="D253" s="331">
        <f>D$29*(1-EIA_electricity_aeo2014!F$60) * Inputs!$C$61</f>
        <v>0</v>
      </c>
      <c r="E253" s="331">
        <f>E$29*(1-EIA_electricity_aeo2014!G$60) * Inputs!$C$61</f>
        <v>0</v>
      </c>
      <c r="F253" s="331">
        <f>F$29*(1-EIA_electricity_aeo2014!H$60) * Inputs!$C$61</f>
        <v>0</v>
      </c>
      <c r="G253" s="331">
        <f>G$29*(1-EIA_electricity_aeo2014!I$60) * Inputs!$C$61</f>
        <v>0</v>
      </c>
      <c r="H253" s="402">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442</v>
      </c>
      <c r="D254" s="331">
        <f>D253*Inputs!$H$61</f>
        <v>0</v>
      </c>
      <c r="E254" s="331">
        <f>E253*Inputs!$H$61</f>
        <v>0</v>
      </c>
      <c r="F254" s="331">
        <f>F253*Inputs!$H$61</f>
        <v>0</v>
      </c>
      <c r="G254" s="331">
        <f>G253*Inputs!$H$61</f>
        <v>0</v>
      </c>
      <c r="H254" s="402">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V3" activePane="bottomRight" state="frozen"/>
      <selection pane="topRight" activeCell="C1" sqref="C1"/>
      <selection pane="bottomLeft" activeCell="A3" sqref="A3"/>
      <selection pane="bottomRight" activeCell="AG13" sqref="AG13:AH13"/>
    </sheetView>
  </sheetViews>
  <sheetFormatPr baseColWidth="10" defaultColWidth="8.83203125" defaultRowHeight="14" x14ac:dyDescent="0"/>
  <cols>
    <col min="1" max="1" width="25.6640625" bestFit="1" customWidth="1"/>
    <col min="2" max="2" width="5.6640625" style="2" bestFit="1" customWidth="1"/>
    <col min="3" max="3" width="13.33203125" style="327" bestFit="1" customWidth="1"/>
    <col min="4" max="4" width="12.33203125" style="327" customWidth="1"/>
    <col min="5" max="5" width="14.1640625" style="327" customWidth="1"/>
    <col min="6" max="6" width="11.33203125" style="327" bestFit="1" customWidth="1"/>
    <col min="7" max="7" width="14.33203125" style="327"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7" t="s">
        <v>0</v>
      </c>
      <c r="D1" s="327" t="s">
        <v>0</v>
      </c>
      <c r="E1" s="393" t="s">
        <v>0</v>
      </c>
    </row>
    <row r="2" spans="1:34" s="1" customFormat="1">
      <c r="B2" s="2" t="s">
        <v>127</v>
      </c>
      <c r="C2" s="328">
        <v>2009</v>
      </c>
      <c r="D2" s="328">
        <v>2010</v>
      </c>
      <c r="E2" s="328">
        <v>2011</v>
      </c>
      <c r="F2" s="328">
        <v>2012</v>
      </c>
      <c r="G2" s="328">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8"/>
      <c r="D3" s="328"/>
      <c r="E3" s="328"/>
      <c r="F3" s="328"/>
      <c r="G3" s="328"/>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9">
        <f>EIA_electricity_aeo2014!E58 * 1000</f>
        <v>7696.0000000000009</v>
      </c>
      <c r="D4" s="329">
        <f>EIA_electricity_aeo2014!F58 * 1000</f>
        <v>7739</v>
      </c>
      <c r="E4" s="329">
        <f>EIA_electricity_aeo2014!G58 * 1000</f>
        <v>8022.0592976381258</v>
      </c>
      <c r="F4" s="329">
        <f>EIA_electricity_aeo2014!H58 * 1000</f>
        <v>7886.2900050506896</v>
      </c>
      <c r="G4" s="329">
        <f>EIA_electricity_aeo2014!I58 * 1000</f>
        <v>7682.31813785948</v>
      </c>
      <c r="H4" s="21">
        <f>EIA_electricity_aeo2014!J58 * 1000</f>
        <v>7980.2639436510108</v>
      </c>
      <c r="I4" s="21">
        <f>EIA_electricity_aeo2014!K58 * 1000</f>
        <v>8190.7053026668418</v>
      </c>
      <c r="J4" s="21">
        <f>EIA_electricity_aeo2014!L58 * 1000</f>
        <v>8434.7578565961849</v>
      </c>
      <c r="K4" s="21">
        <f>EIA_electricity_aeo2014!M58 * 1000</f>
        <v>8656.1679414593309</v>
      </c>
      <c r="L4" s="21">
        <f>EIA_electricity_aeo2014!N58 * 1000</f>
        <v>8694.8668992976836</v>
      </c>
      <c r="M4" s="21">
        <f>EIA_electricity_aeo2014!O58 * 1000</f>
        <v>8654.9342089544552</v>
      </c>
      <c r="N4" s="388">
        <f>EIA_electricity_aeo2014!P58 * 1000</f>
        <v>8479.3960074364622</v>
      </c>
      <c r="O4" s="21">
        <f>EIA_electricity_aeo2014!Q58 * 1000</f>
        <v>8376.911352521056</v>
      </c>
      <c r="P4" s="21">
        <f>EIA_electricity_aeo2014!R58 * 1000</f>
        <v>8142.7855011058</v>
      </c>
      <c r="Q4" s="21">
        <f>EIA_electricity_aeo2014!S58 * 1000</f>
        <v>7971.5162870506829</v>
      </c>
      <c r="R4" s="21">
        <f>EIA_electricity_aeo2014!T58 * 1000</f>
        <v>7903.7574061015985</v>
      </c>
      <c r="S4" s="21">
        <f>EIA_electricity_aeo2014!U58 * 1000</f>
        <v>7876.067009555416</v>
      </c>
      <c r="T4" s="21">
        <f>EIA_electricity_aeo2014!V58 * 1000</f>
        <v>7643.8729274738052</v>
      </c>
      <c r="U4" s="21">
        <f>EIA_electricity_aeo2014!W58 * 1000</f>
        <v>7303.6894195788836</v>
      </c>
      <c r="V4" s="21">
        <f>EIA_electricity_aeo2014!X58 * 1000</f>
        <v>7311.8618028486699</v>
      </c>
      <c r="W4" s="21">
        <f>EIA_electricity_aeo2014!Y58 * 1000</f>
        <v>7059.9554366937591</v>
      </c>
      <c r="X4" s="388">
        <f>EIA_electricity_aeo2014!Z58 * 1000</f>
        <v>7173.3877650875611</v>
      </c>
      <c r="Y4" s="21">
        <f>EIA_electricity_aeo2014!AA58 * 1000</f>
        <v>7276.7364015545518</v>
      </c>
      <c r="Z4" s="21">
        <f>EIA_electricity_aeo2014!AB58 * 1000</f>
        <v>7499.3354826193181</v>
      </c>
      <c r="AA4" s="21">
        <f>EIA_electricity_aeo2014!AC58 * 1000</f>
        <v>7712.5976141222054</v>
      </c>
      <c r="AB4" s="21">
        <f>EIA_electricity_aeo2014!AD58 * 1000</f>
        <v>7843.2120037494833</v>
      </c>
      <c r="AC4" s="21">
        <f>EIA_electricity_aeo2014!AE58 * 1000</f>
        <v>7761.5791731884483</v>
      </c>
      <c r="AD4" s="21">
        <f>EIA_electricity_aeo2014!AF58 * 1000</f>
        <v>7694.9469187430595</v>
      </c>
      <c r="AE4" s="21">
        <f>EIA_electricity_aeo2014!AG58 * 1000</f>
        <v>7649.3055866191298</v>
      </c>
      <c r="AF4" s="21">
        <f>EIA_electricity_aeo2014!AH58 * 1000</f>
        <v>7581.9825353912092</v>
      </c>
      <c r="AG4" s="21">
        <f>EIA_electricity_aeo2014!AI58 * 1000</f>
        <v>7487.3779432792808</v>
      </c>
      <c r="AH4" s="21">
        <f>EIA_electricity_aeo2014!AJ58 * 1000</f>
        <v>7250.288765099187</v>
      </c>
    </row>
    <row r="5" spans="1:34">
      <c r="A5" s="9" t="s">
        <v>61</v>
      </c>
      <c r="B5" s="34">
        <v>0</v>
      </c>
      <c r="C5" s="330">
        <v>0</v>
      </c>
      <c r="D5" s="330"/>
      <c r="E5" s="330"/>
      <c r="F5" s="330"/>
      <c r="G5" s="330"/>
      <c r="H5" s="3"/>
      <c r="I5" s="3"/>
      <c r="J5" s="3"/>
      <c r="K5" s="3"/>
      <c r="L5" s="3"/>
      <c r="M5" s="3"/>
      <c r="N5" s="388"/>
      <c r="O5" s="3"/>
      <c r="P5" s="3"/>
      <c r="Q5" s="3"/>
      <c r="R5" s="3"/>
      <c r="S5" s="3"/>
      <c r="T5" s="3"/>
      <c r="U5" s="3"/>
      <c r="V5" s="3"/>
      <c r="W5" s="3"/>
      <c r="X5" s="184"/>
    </row>
    <row r="6" spans="1:34">
      <c r="A6" s="9" t="s">
        <v>60</v>
      </c>
      <c r="B6" s="34">
        <v>0</v>
      </c>
      <c r="C6" s="330">
        <v>0</v>
      </c>
      <c r="D6" s="330"/>
      <c r="E6" s="394" t="s">
        <v>0</v>
      </c>
      <c r="F6" s="330"/>
      <c r="G6" s="330"/>
      <c r="H6" s="3"/>
      <c r="I6" s="3"/>
      <c r="J6" s="3"/>
      <c r="K6" s="3"/>
      <c r="L6" s="3"/>
      <c r="M6" s="3"/>
      <c r="N6" s="388"/>
      <c r="O6" s="3"/>
      <c r="P6" s="3"/>
      <c r="Q6" s="3"/>
      <c r="R6" s="3"/>
      <c r="S6" s="3"/>
      <c r="T6" s="3"/>
      <c r="U6" s="3"/>
      <c r="V6" s="3"/>
      <c r="W6" s="3"/>
      <c r="X6" s="184"/>
    </row>
    <row r="7" spans="1:34">
      <c r="A7" s="9" t="s">
        <v>49</v>
      </c>
      <c r="B7" s="34">
        <v>0</v>
      </c>
      <c r="C7" s="330">
        <f>EIA_RE_aeo2014!E73*1000-C15</f>
        <v>4.99</v>
      </c>
      <c r="D7" s="330">
        <f>EIA_RE_aeo2014!F73*1000-D15</f>
        <v>3.99</v>
      </c>
      <c r="E7" s="330">
        <f>EIA_RE_aeo2014!G73*1000-E15</f>
        <v>4.9062502795984093</v>
      </c>
      <c r="F7" s="330">
        <f>EIA_RE_aeo2014!H73*1000-F15</f>
        <v>4.1335817378573134</v>
      </c>
      <c r="G7" s="330">
        <f>EIA_RE_aeo2014!I73*1000-G15</f>
        <v>4.0073707249329189</v>
      </c>
      <c r="H7" s="174">
        <f>EIA_RE_aeo2014!J73*1000-H15</f>
        <v>4.0750036718069627</v>
      </c>
      <c r="I7" s="174">
        <f>EIA_RE_aeo2014!K73*1000-I15</f>
        <v>4.1556872096004911</v>
      </c>
      <c r="J7" s="174">
        <f>EIA_RE_aeo2014!L73*1000-J15</f>
        <v>4.2367531658127584</v>
      </c>
      <c r="K7" s="174">
        <f>EIA_RE_aeo2014!M73*1000-K15</f>
        <v>4.280347178408884</v>
      </c>
      <c r="L7" s="174">
        <f>EIA_RE_aeo2014!N73*1000-L15</f>
        <v>4.2803488655489659</v>
      </c>
      <c r="M7" s="174">
        <f>EIA_RE_aeo2014!O73*1000-M15</f>
        <v>4.2803494279289946</v>
      </c>
      <c r="N7" s="184">
        <f>EIA_RE_aeo2014!P73*1000-N15</f>
        <v>4.280347178408884</v>
      </c>
      <c r="O7" s="174">
        <f>EIA_RE_aeo2014!Q73*1000-O15</f>
        <v>4.280347178408884</v>
      </c>
      <c r="P7" s="174">
        <f>EIA_RE_aeo2014!R73*1000-P15</f>
        <v>4.2803483031689389</v>
      </c>
      <c r="Q7" s="174">
        <f>EIA_RE_aeo2014!S73*1000-Q15</f>
        <v>4.4927693624176639</v>
      </c>
      <c r="R7" s="174">
        <f>EIA_RE_aeo2014!T73*1000-R15</f>
        <v>4.492768800037636</v>
      </c>
      <c r="S7" s="83">
        <f>EIA_RE_aeo2014!U73*1000-S15</f>
        <v>4.4927738614578843</v>
      </c>
      <c r="T7" s="83">
        <f>EIA_RE_aeo2014!V73*1000-T15</f>
        <v>4.4927834219183529</v>
      </c>
      <c r="U7" s="83">
        <f>EIA_RE_aeo2014!W73*1000-U15</f>
        <v>4.5242154040385341</v>
      </c>
      <c r="V7" s="83">
        <f>EIA_RE_aeo2014!X73*1000-V15</f>
        <v>4.5555922729160141</v>
      </c>
      <c r="W7" s="83">
        <f>EIA_RE_aeo2014!Y73*1000-W15</f>
        <v>4.5555973343362623</v>
      </c>
      <c r="X7" s="184">
        <f>EIA_RE_aeo2014!Z73*1000-X15</f>
        <v>4.5555967719562336</v>
      </c>
      <c r="Y7" s="174">
        <f>EIA_RE_aeo2014!AA73*1000-Y15</f>
        <v>4.5555973343362623</v>
      </c>
      <c r="Z7" s="174">
        <f>EIA_RE_aeo2014!AB73*1000-Z15</f>
        <v>4.5555984590963172</v>
      </c>
      <c r="AA7" s="174">
        <f>EIA_RE_aeo2014!AC73*1000-AA15</f>
        <v>4.5555917105359871</v>
      </c>
      <c r="AB7" s="174">
        <f>EIA_RE_aeo2014!AD73*1000-AB15</f>
        <v>4.5555917105359871</v>
      </c>
      <c r="AC7" s="174">
        <f>EIA_RE_aeo2014!AE73*1000-AC15</f>
        <v>4.5555917105359871</v>
      </c>
      <c r="AD7" s="174">
        <f>EIA_RE_aeo2014!AF73*1000-AD15</f>
        <v>4.5783422321707707</v>
      </c>
      <c r="AE7" s="174">
        <f>EIA_RE_aeo2014!AG73*1000-AE15</f>
        <v>4.5783422321707707</v>
      </c>
      <c r="AF7" s="174">
        <f>EIA_RE_aeo2014!AH73*1000-AF15</f>
        <v>4.5783422321707707</v>
      </c>
      <c r="AG7" s="174">
        <f>EIA_RE_aeo2014!AI73*1000-AG15</f>
        <v>4.5783422321707707</v>
      </c>
      <c r="AH7" s="174">
        <f>EIA_RE_aeo2014!AJ73*1000-AH15</f>
        <v>4.5783478559710469</v>
      </c>
    </row>
    <row r="8" spans="1:34">
      <c r="A8" s="9" t="s">
        <v>59</v>
      </c>
      <c r="B8" s="34">
        <v>0</v>
      </c>
      <c r="C8" s="330">
        <f>EIA_electricity_aeo2014!E52*1000</f>
        <v>0</v>
      </c>
      <c r="D8" s="330">
        <f>EIA_electricity_aeo2014!F52*1000</f>
        <v>0</v>
      </c>
      <c r="E8" s="330">
        <f>EIA_electricity_aeo2014!G52*1000</f>
        <v>0</v>
      </c>
      <c r="F8" s="330">
        <f>EIA_electricity_aeo2014!H52*1000</f>
        <v>0</v>
      </c>
      <c r="G8" s="330">
        <f>EIA_electricity_aeo2014!I52*1000</f>
        <v>0</v>
      </c>
      <c r="H8" s="3">
        <f>EIA_electricity_aeo2014!J52*1000</f>
        <v>0</v>
      </c>
      <c r="I8" s="3">
        <f>EIA_electricity_aeo2014!K52*1000</f>
        <v>0</v>
      </c>
      <c r="J8" s="3">
        <f>EIA_electricity_aeo2014!L52*1000</f>
        <v>0</v>
      </c>
      <c r="K8" s="3">
        <f>EIA_electricity_aeo2014!M52*1000</f>
        <v>0</v>
      </c>
      <c r="L8" s="3">
        <f>EIA_electricity_aeo2014!N52*1000</f>
        <v>0</v>
      </c>
      <c r="M8" s="3">
        <f>EIA_electricity_aeo2014!O52*1000</f>
        <v>0</v>
      </c>
      <c r="N8" s="388">
        <f>EIA_electricity_aeo2014!P52*1000</f>
        <v>0</v>
      </c>
      <c r="O8" s="3">
        <f>EIA_electricity_aeo2014!Q52*1000</f>
        <v>0</v>
      </c>
      <c r="P8" s="3">
        <f>EIA_electricity_aeo2014!R52*1000</f>
        <v>0</v>
      </c>
      <c r="Q8" s="3">
        <f>EIA_electricity_aeo2014!S52*1000</f>
        <v>0</v>
      </c>
      <c r="R8" s="3">
        <f>EIA_electricity_aeo2014!T52*1000</f>
        <v>0</v>
      </c>
      <c r="S8" s="3">
        <f>EIA_electricity_aeo2014!U52*1000</f>
        <v>0</v>
      </c>
      <c r="T8" s="3">
        <f>EIA_electricity_aeo2014!V52*1000</f>
        <v>0</v>
      </c>
      <c r="U8" s="3">
        <f>EIA_electricity_aeo2014!W52*1000</f>
        <v>0</v>
      </c>
      <c r="V8" s="3">
        <f>EIA_electricity_aeo2014!X52*1000</f>
        <v>0</v>
      </c>
      <c r="W8" s="3">
        <f>EIA_electricity_aeo2014!Y52*1000</f>
        <v>0</v>
      </c>
      <c r="X8" s="184">
        <f>EIA_electricity_aeo2014!Z52*1000</f>
        <v>0</v>
      </c>
      <c r="Y8" s="174">
        <f>EIA_electricity_aeo2014!AA52*1000</f>
        <v>0</v>
      </c>
      <c r="Z8" s="174">
        <f>EIA_electricity_aeo2014!AB52*1000</f>
        <v>0</v>
      </c>
      <c r="AA8" s="174">
        <f>EIA_electricity_aeo2014!AC52*1000</f>
        <v>0</v>
      </c>
      <c r="AB8" s="174">
        <f>EIA_electricity_aeo2014!AD52*1000</f>
        <v>0</v>
      </c>
      <c r="AC8" s="174">
        <f>EIA_electricity_aeo2014!AE52*1000</f>
        <v>0</v>
      </c>
      <c r="AD8" s="174">
        <f>EIA_electricity_aeo2014!AF52*1000</f>
        <v>0</v>
      </c>
      <c r="AE8" s="174">
        <f>EIA_electricity_aeo2014!AG52*1000</f>
        <v>0</v>
      </c>
      <c r="AF8" s="174">
        <f>EIA_electricity_aeo2014!AH52*1000</f>
        <v>0</v>
      </c>
      <c r="AG8" s="174">
        <f>EIA_electricity_aeo2014!AI52*1000</f>
        <v>0</v>
      </c>
      <c r="AH8" s="174">
        <f>EIA_electricity_aeo2014!AJ52*1000</f>
        <v>0</v>
      </c>
    </row>
    <row r="9" spans="1:34">
      <c r="A9" s="9"/>
      <c r="B9" s="34"/>
      <c r="C9" s="330"/>
      <c r="D9" s="330"/>
      <c r="E9" s="330"/>
      <c r="F9" s="330"/>
      <c r="G9" s="330"/>
      <c r="H9" s="118"/>
      <c r="I9" s="118"/>
      <c r="J9" s="118"/>
      <c r="K9" s="118"/>
      <c r="L9" s="118"/>
      <c r="M9" s="118"/>
      <c r="N9" s="388"/>
      <c r="O9" s="118"/>
      <c r="P9" s="118"/>
      <c r="Q9" s="118"/>
      <c r="R9" s="118"/>
      <c r="S9" s="118"/>
      <c r="T9" s="118"/>
      <c r="U9" s="118"/>
      <c r="V9" s="118"/>
      <c r="W9" s="118"/>
      <c r="X9" s="184"/>
    </row>
    <row r="10" spans="1:34" s="20" customFormat="1">
      <c r="A10" s="9" t="s">
        <v>125</v>
      </c>
      <c r="B10" s="35">
        <v>1</v>
      </c>
      <c r="C10" s="330">
        <f>EIA_RE_aeo2014!E76*1000</f>
        <v>0</v>
      </c>
      <c r="D10" s="330">
        <f>EIA_RE_aeo2014!F76*1000</f>
        <v>0</v>
      </c>
      <c r="E10" s="330">
        <f>EIA_RE_aeo2014!G76*1000</f>
        <v>4.9026430000000012</v>
      </c>
      <c r="F10" s="330">
        <f>EIA_RE_aeo2014!H76*1000</f>
        <v>4.9682649999999997</v>
      </c>
      <c r="G10" s="330">
        <f>EIA_RE_aeo2014!I76*1000</f>
        <v>4.1277520000000001</v>
      </c>
      <c r="H10" s="83">
        <f>EIA_RE_aeo2014!J76*1000</f>
        <v>4.273466</v>
      </c>
      <c r="I10" s="174">
        <f>EIA_RE_aeo2014!K76*1000</f>
        <v>4.5447800000000003</v>
      </c>
      <c r="J10" s="174">
        <f>EIA_RE_aeo2014!L76*1000</f>
        <v>5.8157610000000002</v>
      </c>
      <c r="K10" s="174">
        <f>EIA_RE_aeo2014!M76*1000</f>
        <v>5.9488620000000001</v>
      </c>
      <c r="L10" s="174">
        <f>EIA_RE_aeo2014!N76*1000</f>
        <v>6.0622280000000002</v>
      </c>
      <c r="M10" s="174">
        <f>EIA_RE_aeo2014!O76*1000</f>
        <v>6.227868</v>
      </c>
      <c r="N10" s="184">
        <f>EIA_RE_aeo2014!P76*1000</f>
        <v>6.3883910000000004</v>
      </c>
      <c r="O10" s="174">
        <f>EIA_RE_aeo2014!Q76*1000</f>
        <v>6.88218</v>
      </c>
      <c r="P10" s="174">
        <f>EIA_RE_aeo2014!R76*1000</f>
        <v>6.9049710000000006</v>
      </c>
      <c r="Q10" s="174">
        <f>EIA_RE_aeo2014!S76*1000</f>
        <v>6.9134719999999996</v>
      </c>
      <c r="R10" s="174">
        <f>EIA_RE_aeo2014!T76*1000</f>
        <v>6.9758950000000004</v>
      </c>
      <c r="S10" s="83">
        <f>EIA_RE_aeo2014!U76*1000</f>
        <v>7.0007729999999997</v>
      </c>
      <c r="T10" s="83">
        <f>EIA_RE_aeo2014!V76*1000</f>
        <v>7.0603559999999996</v>
      </c>
      <c r="U10" s="83">
        <f>EIA_RE_aeo2014!W76*1000</f>
        <v>7.3155500000000009</v>
      </c>
      <c r="V10" s="83">
        <f>EIA_RE_aeo2014!X76*1000</f>
        <v>7.7111660000000004</v>
      </c>
      <c r="W10" s="83">
        <f>EIA_RE_aeo2014!Y76*1000</f>
        <v>7.6204000000000001</v>
      </c>
      <c r="X10" s="184">
        <f>EIA_RE_aeo2014!Z76*1000</f>
        <v>7.621054</v>
      </c>
      <c r="Y10" s="174">
        <f>EIA_RE_aeo2014!AA76*1000</f>
        <v>7.7105220000000001</v>
      </c>
      <c r="Z10" s="174">
        <f>EIA_RE_aeo2014!AB76*1000</f>
        <v>7.7002639999999998</v>
      </c>
      <c r="AA10" s="174">
        <f>EIA_RE_aeo2014!AC76*1000</f>
        <v>7.7720380000000002</v>
      </c>
      <c r="AB10" s="174">
        <f>EIA_RE_aeo2014!AD76*1000</f>
        <v>7.8200839999999996</v>
      </c>
      <c r="AC10" s="174">
        <f>EIA_RE_aeo2014!AE76*1000</f>
        <v>7.8508080000000007</v>
      </c>
      <c r="AD10" s="174">
        <f>EIA_RE_aeo2014!AF76*1000</f>
        <v>7.9168310000000011</v>
      </c>
      <c r="AE10" s="174">
        <f>EIA_RE_aeo2014!AG76*1000</f>
        <v>8.0954979999999992</v>
      </c>
      <c r="AF10" s="174">
        <f>EIA_RE_aeo2014!AH76*1000</f>
        <v>7.9878850000000003</v>
      </c>
      <c r="AG10" s="174">
        <f>EIA_RE_aeo2014!AI76*1000</f>
        <v>8.0393059999999998</v>
      </c>
      <c r="AH10" s="174">
        <f>EIA_RE_aeo2014!AJ76*1000</f>
        <v>8.0937809999999999</v>
      </c>
    </row>
    <row r="11" spans="1:34" s="20" customFormat="1">
      <c r="A11" s="9" t="s">
        <v>50</v>
      </c>
      <c r="B11" s="35">
        <v>1</v>
      </c>
      <c r="C11" s="330">
        <f>EIA_RE_aeo2014!E74*1000</f>
        <v>0</v>
      </c>
      <c r="D11" s="330">
        <f>EIA_RE_aeo2014!F74*1000</f>
        <v>0</v>
      </c>
      <c r="E11" s="330">
        <f>EIA_RE_aeo2014!G74*1000</f>
        <v>1.0000000000000001E-7</v>
      </c>
      <c r="F11" s="330">
        <f>EIA_RE_aeo2014!H74*1000</f>
        <v>1.0000000000000001E-7</v>
      </c>
      <c r="G11" s="330">
        <f>EIA_RE_aeo2014!I74*1000</f>
        <v>1.0000000000000001E-7</v>
      </c>
      <c r="H11" s="83">
        <f>EIA_RE_aeo2014!J74*1000</f>
        <v>1.0000000000000001E-7</v>
      </c>
      <c r="I11" s="83">
        <f>EIA_RE_aeo2014!K74*1000</f>
        <v>1.0000000000000001E-7</v>
      </c>
      <c r="J11" s="83">
        <f>EIA_RE_aeo2014!L74*1000</f>
        <v>1.0000000000000001E-7</v>
      </c>
      <c r="K11" s="83">
        <f>EIA_RE_aeo2014!M74*1000</f>
        <v>1.0000000000000001E-7</v>
      </c>
      <c r="L11" s="83">
        <f>EIA_RE_aeo2014!N74*1000</f>
        <v>1.0000000000000001E-7</v>
      </c>
      <c r="M11" s="83">
        <f>EIA_RE_aeo2014!O74*1000</f>
        <v>1.0000000000000001E-7</v>
      </c>
      <c r="N11" s="388">
        <f>EIA_RE_aeo2014!P74*1000</f>
        <v>1.0000000000000001E-7</v>
      </c>
      <c r="O11" s="83">
        <f>EIA_RE_aeo2014!Q74*1000</f>
        <v>1.0000000000000001E-7</v>
      </c>
      <c r="P11" s="83">
        <f>EIA_RE_aeo2014!R74*1000</f>
        <v>1.0000000000000001E-7</v>
      </c>
      <c r="Q11" s="83">
        <f>EIA_RE_aeo2014!S74*1000</f>
        <v>1.0000000000000001E-7</v>
      </c>
      <c r="R11" s="83">
        <f>EIA_RE_aeo2014!T74*1000</f>
        <v>1.0000000000000001E-7</v>
      </c>
      <c r="S11" s="83">
        <f>EIA_RE_aeo2014!U74*1000</f>
        <v>1.0000000000000001E-7</v>
      </c>
      <c r="T11" s="83">
        <f>EIA_RE_aeo2014!V74*1000</f>
        <v>1.0000000000000001E-7</v>
      </c>
      <c r="U11" s="83">
        <f>EIA_RE_aeo2014!W74*1000</f>
        <v>1.0000000000000001E-7</v>
      </c>
      <c r="V11" s="83">
        <f>EIA_RE_aeo2014!X74*1000</f>
        <v>1.0000000000000001E-7</v>
      </c>
      <c r="W11" s="83">
        <f>EIA_RE_aeo2014!Y74*1000</f>
        <v>1.0000000000000001E-7</v>
      </c>
      <c r="X11" s="184">
        <f>EIA_RE_aeo2014!Z74*1000</f>
        <v>1.0000000000000001E-7</v>
      </c>
      <c r="Y11" s="174">
        <f>EIA_RE_aeo2014!AA74*1000</f>
        <v>1.0000000000000001E-7</v>
      </c>
      <c r="Z11" s="174">
        <f>EIA_RE_aeo2014!AB74*1000</f>
        <v>1.0000000000000001E-7</v>
      </c>
      <c r="AA11" s="174">
        <f>EIA_RE_aeo2014!AC74*1000</f>
        <v>1.0000000000000001E-7</v>
      </c>
      <c r="AB11" s="174">
        <f>EIA_RE_aeo2014!AD74*1000</f>
        <v>1.0000000000000001E-7</v>
      </c>
      <c r="AC11" s="174">
        <f>EIA_RE_aeo2014!AE74*1000</f>
        <v>1.0000000000000001E-7</v>
      </c>
      <c r="AD11" s="174">
        <f>EIA_RE_aeo2014!AF74*1000</f>
        <v>1.0000000000000001E-7</v>
      </c>
      <c r="AE11" s="174">
        <f>EIA_RE_aeo2014!AG74*1000</f>
        <v>1.0000000000000001E-7</v>
      </c>
      <c r="AF11" s="174">
        <f>EIA_RE_aeo2014!AH74*1000</f>
        <v>1.0000000000000001E-7</v>
      </c>
      <c r="AG11" s="174">
        <f>EIA_RE_aeo2014!AI74*1000</f>
        <v>1.0000000000000001E-7</v>
      </c>
      <c r="AH11" s="174">
        <f>EIA_RE_aeo2014!AJ74*1000</f>
        <v>1.0000000000000001E-7</v>
      </c>
    </row>
    <row r="12" spans="1:34" s="20" customFormat="1">
      <c r="A12" s="9" t="s">
        <v>51</v>
      </c>
      <c r="B12" s="35">
        <v>1</v>
      </c>
      <c r="C12" s="330">
        <f>EIA_RE_aeo2014!E75*1000</f>
        <v>145</v>
      </c>
      <c r="D12" s="330">
        <f>EIA_RE_aeo2014!F75*1000</f>
        <v>137</v>
      </c>
      <c r="E12" s="330">
        <f>EIA_RE_aeo2014!G75*1000</f>
        <v>150.23838458176292</v>
      </c>
      <c r="F12" s="330">
        <f>EIA_RE_aeo2014!H75*1000</f>
        <v>156.10794456882292</v>
      </c>
      <c r="G12" s="330">
        <f>EIA_RE_aeo2014!I75*1000</f>
        <v>174.96444594998297</v>
      </c>
      <c r="H12" s="83">
        <f>EIA_RE_aeo2014!J75*1000</f>
        <v>174.84658229837549</v>
      </c>
      <c r="I12" s="174">
        <f>EIA_RE_aeo2014!K75*1000</f>
        <v>174.82931723677038</v>
      </c>
      <c r="J12" s="174">
        <f>EIA_RE_aeo2014!L75*1000</f>
        <v>174.8319973726874</v>
      </c>
      <c r="K12" s="174">
        <f>EIA_RE_aeo2014!M75*1000</f>
        <v>174.83249600262545</v>
      </c>
      <c r="L12" s="174">
        <f>EIA_RE_aeo2014!N75*1000</f>
        <v>174.83548778225381</v>
      </c>
      <c r="M12" s="174">
        <f>EIA_RE_aeo2014!O75*1000</f>
        <v>174.83579942596509</v>
      </c>
      <c r="N12" s="184">
        <f>EIA_RE_aeo2014!P75*1000</f>
        <v>174.83417887866639</v>
      </c>
      <c r="O12" s="174">
        <f>EIA_RE_aeo2014!Q75*1000</f>
        <v>174.83299463256353</v>
      </c>
      <c r="P12" s="174">
        <f>EIA_RE_aeo2014!R75*1000</f>
        <v>174.83218435891419</v>
      </c>
      <c r="Q12" s="174">
        <f>EIA_RE_aeo2014!S75*1000</f>
        <v>174.83112477029584</v>
      </c>
      <c r="R12" s="174">
        <f>EIA_RE_aeo2014!T75*1000</f>
        <v>174.83000285293517</v>
      </c>
      <c r="S12" s="83">
        <f>EIA_RE_aeo2014!U75*1000</f>
        <v>175.32090402694931</v>
      </c>
      <c r="T12" s="83">
        <f>EIA_RE_aeo2014!V75*1000</f>
        <v>175.31915882216614</v>
      </c>
      <c r="U12" s="83">
        <f>EIA_RE_aeo2014!W75*1000</f>
        <v>174.82514121103918</v>
      </c>
      <c r="V12" s="83">
        <f>EIA_RE_aeo2014!X75*1000</f>
        <v>175.3159177275688</v>
      </c>
      <c r="W12" s="83">
        <f>EIA_RE_aeo2014!Y75*1000</f>
        <v>174.82102751405023</v>
      </c>
      <c r="X12" s="184">
        <f>EIA_RE_aeo2014!Z75*1000</f>
        <v>174.81940696675156</v>
      </c>
      <c r="Y12" s="174">
        <f>EIA_RE_aeo2014!AA75*1000</f>
        <v>175.31012115453893</v>
      </c>
      <c r="Z12" s="174">
        <f>EIA_RE_aeo2014!AB75*1000</f>
        <v>175.3081266347867</v>
      </c>
      <c r="AA12" s="174">
        <f>EIA_RE_aeo2014!AC75*1000</f>
        <v>175.30613211503447</v>
      </c>
      <c r="AB12" s="174">
        <f>EIA_RE_aeo2014!AD75*1000</f>
        <v>174.80775149194955</v>
      </c>
      <c r="AC12" s="174">
        <f>EIA_RE_aeo2014!AE75*1000</f>
        <v>174.80488436980571</v>
      </c>
      <c r="AD12" s="174">
        <f>EIA_RE_aeo2014!AF75*1000</f>
        <v>174.79977341294068</v>
      </c>
      <c r="AE12" s="174">
        <f>EIA_RE_aeo2014!AG75*1000</f>
        <v>174.79740492073492</v>
      </c>
      <c r="AF12" s="174">
        <f>EIA_RE_aeo2014!AH75*1000</f>
        <v>175.29659581746921</v>
      </c>
      <c r="AG12" s="174">
        <f>EIA_RE_aeo2014!AI75*1000</f>
        <v>174.79273026506567</v>
      </c>
      <c r="AH12" s="174">
        <f>EIA_RE_aeo2014!AJ75*1000</f>
        <v>174.79110971776697</v>
      </c>
    </row>
    <row r="13" spans="1:34">
      <c r="A13" s="9" t="s">
        <v>347</v>
      </c>
      <c r="B13" s="34">
        <v>1</v>
      </c>
      <c r="C13" s="330">
        <f>(EIA_RE_aeo2014!E34+EIA_RE_aeo2014!E54)*1000</f>
        <v>0</v>
      </c>
      <c r="D13" s="330">
        <f>(EIA_RE_aeo2014!F34+EIA_RE_aeo2014!F54)*1000</f>
        <v>154.78</v>
      </c>
      <c r="E13" s="330">
        <f>(EIA_RE_aeo2014!G34+EIA_RE_aeo2014!G54)*1000</f>
        <v>160.5411859527625</v>
      </c>
      <c r="F13" s="330">
        <f>(EIA_RE_aeo2014!H34+EIA_RE_aeo2014!H54)*1000</f>
        <v>157.82580010101378</v>
      </c>
      <c r="G13" s="330">
        <f>(EIA_RE_aeo2014!I34+EIA_RE_aeo2014!I54)*1000</f>
        <v>153.74636275718959</v>
      </c>
      <c r="H13" s="83">
        <f>(EIA_RE_aeo2014!J34+EIA_RE_aeo2014!J54)*1000</f>
        <v>159.70527887302018</v>
      </c>
      <c r="I13" s="83">
        <f>(EIA_RE_aeo2014!K34+EIA_RE_aeo2014!K54)*1000</f>
        <v>163.91410605333684</v>
      </c>
      <c r="J13" s="83">
        <f>(EIA_RE_aeo2014!L34+EIA_RE_aeo2014!L54)*1000</f>
        <v>168.7951571319237</v>
      </c>
      <c r="K13" s="83">
        <f>(EIA_RE_aeo2014!M34+EIA_RE_aeo2014!M54)*1000</f>
        <v>173.22335882918659</v>
      </c>
      <c r="L13" s="83">
        <f>(EIA_RE_aeo2014!N34+EIA_RE_aeo2014!N54)*1000</f>
        <v>173.99733798595366</v>
      </c>
      <c r="M13" s="83">
        <f>(EIA_RE_aeo2014!O34+EIA_RE_aeo2014!O54)*1000</f>
        <v>173.1986841790891</v>
      </c>
      <c r="N13" s="388">
        <f>(EIA_RE_aeo2014!P34+EIA_RE_aeo2014!P54)*1000</f>
        <v>169.68792014872921</v>
      </c>
      <c r="O13" s="83">
        <f>(EIA_RE_aeo2014!Q34+EIA_RE_aeo2014!Q54)*1000</f>
        <v>167.63822705042111</v>
      </c>
      <c r="P13" s="83">
        <f>(EIA_RE_aeo2014!R34+EIA_RE_aeo2014!R54)*1000</f>
        <v>162.95571002211599</v>
      </c>
      <c r="Q13" s="83">
        <f>(EIA_RE_aeo2014!S34+EIA_RE_aeo2014!S54)*1000</f>
        <v>159.53032574101363</v>
      </c>
      <c r="R13" s="83">
        <f>(EIA_RE_aeo2014!T34+EIA_RE_aeo2014!T54)*1000</f>
        <v>158.17514812203194</v>
      </c>
      <c r="S13" s="83">
        <f>(EIA_RE_aeo2014!U34+EIA_RE_aeo2014!U54)*1000</f>
        <v>157.62134019110832</v>
      </c>
      <c r="T13" s="83">
        <f>(EIA_RE_aeo2014!V34+EIA_RE_aeo2014!V54)*1000</f>
        <v>152.9774585494761</v>
      </c>
      <c r="U13" s="83">
        <f>(EIA_RE_aeo2014!W34+EIA_RE_aeo2014!W54)*1000</f>
        <v>146.17378839157766</v>
      </c>
      <c r="V13" s="83">
        <f>(EIA_RE_aeo2014!X34+EIA_RE_aeo2014!X54)*1000</f>
        <v>146.33723605697338</v>
      </c>
      <c r="W13" s="83">
        <f>(EIA_RE_aeo2014!Y34+EIA_RE_aeo2014!Y54)*1000</f>
        <v>141.29910873387516</v>
      </c>
      <c r="X13" s="184">
        <f>(EIA_RE_aeo2014!Z34+EIA_RE_aeo2014!Z54)*1000</f>
        <v>143.56775530175122</v>
      </c>
      <c r="Y13" s="174">
        <f>(EIA_RE_aeo2014!AA34+EIA_RE_aeo2014!AA54)*1000</f>
        <v>145.63472803109104</v>
      </c>
      <c r="Z13" s="174">
        <f>(EIA_RE_aeo2014!AB34+EIA_RE_aeo2014!AB54)*1000</f>
        <v>150.08670965238636</v>
      </c>
      <c r="AA13" s="174">
        <f>(EIA_RE_aeo2014!AC34+EIA_RE_aeo2014!AC54)*1000</f>
        <v>154.3519522824441</v>
      </c>
      <c r="AB13" s="174">
        <f>(EIA_RE_aeo2014!AD34+EIA_RE_aeo2014!AD54)*1000</f>
        <v>156.96424007498965</v>
      </c>
      <c r="AC13" s="174">
        <f>(EIA_RE_aeo2014!AE34+EIA_RE_aeo2014!AE54)*1000</f>
        <v>155.33158346376896</v>
      </c>
      <c r="AD13" s="174">
        <f>(EIA_RE_aeo2014!AF34+EIA_RE_aeo2014!AF54)*1000</f>
        <v>153.99893837486118</v>
      </c>
      <c r="AE13" s="174">
        <f>(EIA_RE_aeo2014!AG34+EIA_RE_aeo2014!AG54)*1000</f>
        <v>153.08611173238259</v>
      </c>
      <c r="AF13" s="174">
        <f>(EIA_RE_aeo2014!AH34+EIA_RE_aeo2014!AH54)*1000</f>
        <v>151.73965070782418</v>
      </c>
      <c r="AG13" s="174">
        <f>(EIA_RE_aeo2014!AI34+EIA_RE_aeo2014!AI54)*1000</f>
        <v>149.84755886558563</v>
      </c>
      <c r="AH13" s="174">
        <f>(EIA_RE_aeo2014!AJ34+EIA_RE_aeo2014!AJ54)*1000</f>
        <v>145.10577530198373</v>
      </c>
    </row>
    <row r="14" spans="1:34">
      <c r="A14" s="9" t="s">
        <v>348</v>
      </c>
      <c r="B14" s="34">
        <v>1</v>
      </c>
      <c r="C14" s="330">
        <f>EIA_RE_aeo2014!E33*1000</f>
        <v>0</v>
      </c>
      <c r="D14" s="330">
        <f>EIA_RE_aeo2014!F33*1000</f>
        <v>0</v>
      </c>
      <c r="E14" s="330">
        <f>EIA_RE_aeo2014!G33*1000</f>
        <v>0.1</v>
      </c>
      <c r="F14" s="330">
        <f>EIA_RE_aeo2014!H33*1000</f>
        <v>0.1</v>
      </c>
      <c r="G14" s="330">
        <f>EIA_RE_aeo2014!I33*1000</f>
        <v>0.1</v>
      </c>
      <c r="H14" s="83">
        <f>EIA_RE_aeo2014!J33*1000</f>
        <v>0.1</v>
      </c>
      <c r="I14" s="83">
        <f>EIA_RE_aeo2014!K33*1000</f>
        <v>0.1</v>
      </c>
      <c r="J14" s="83">
        <f>EIA_RE_aeo2014!L33*1000</f>
        <v>0.1</v>
      </c>
      <c r="K14" s="83">
        <f>EIA_RE_aeo2014!M33*1000</f>
        <v>0.1</v>
      </c>
      <c r="L14" s="83">
        <f>EIA_RE_aeo2014!N33*1000</f>
        <v>0.1</v>
      </c>
      <c r="M14" s="83">
        <f>EIA_RE_aeo2014!O33*1000</f>
        <v>0.1</v>
      </c>
      <c r="N14" s="388">
        <f>EIA_RE_aeo2014!P33*1000</f>
        <v>0.1</v>
      </c>
      <c r="O14" s="83">
        <f>EIA_RE_aeo2014!Q33*1000</f>
        <v>0.1</v>
      </c>
      <c r="P14" s="83">
        <f>EIA_RE_aeo2014!R33*1000</f>
        <v>0.1</v>
      </c>
      <c r="Q14" s="83">
        <f>EIA_RE_aeo2014!S33*1000</f>
        <v>0.1</v>
      </c>
      <c r="R14" s="83">
        <f>EIA_RE_aeo2014!T33*1000</f>
        <v>0.1</v>
      </c>
      <c r="S14" s="83">
        <f>EIA_RE_aeo2014!U33*1000</f>
        <v>0.1</v>
      </c>
      <c r="T14" s="83">
        <f>EIA_RE_aeo2014!V33*1000</f>
        <v>0.1</v>
      </c>
      <c r="U14" s="83">
        <f>EIA_RE_aeo2014!W33*1000</f>
        <v>0.1</v>
      </c>
      <c r="V14" s="83">
        <f>EIA_RE_aeo2014!X33*1000</f>
        <v>0.1</v>
      </c>
      <c r="W14" s="83">
        <f>EIA_RE_aeo2014!Y33*1000</f>
        <v>0.1</v>
      </c>
      <c r="X14" s="184">
        <f>EIA_RE_aeo2014!Z33*1000</f>
        <v>0.1</v>
      </c>
      <c r="Y14" s="174">
        <f>EIA_RE_aeo2014!AA33*1000</f>
        <v>0.1</v>
      </c>
      <c r="Z14" s="174">
        <f>EIA_RE_aeo2014!AB33*1000</f>
        <v>0.1</v>
      </c>
      <c r="AA14" s="174">
        <f>EIA_RE_aeo2014!AC33*1000</f>
        <v>0.1</v>
      </c>
      <c r="AB14" s="174">
        <f>EIA_RE_aeo2014!AD33*1000</f>
        <v>0.1</v>
      </c>
      <c r="AC14" s="174">
        <f>EIA_RE_aeo2014!AE33*1000</f>
        <v>0.1</v>
      </c>
      <c r="AD14" s="174">
        <f>EIA_RE_aeo2014!AF33*1000</f>
        <v>0.1</v>
      </c>
      <c r="AE14" s="174">
        <f>EIA_RE_aeo2014!AG33*1000</f>
        <v>0.1</v>
      </c>
      <c r="AF14" s="174">
        <f>EIA_RE_aeo2014!AH33*1000</f>
        <v>0.1</v>
      </c>
      <c r="AG14" s="174">
        <f>EIA_RE_aeo2014!AI33*1000</f>
        <v>0.1</v>
      </c>
      <c r="AH14" s="174">
        <f>EIA_RE_aeo2014!AJ33*1000</f>
        <v>0.1</v>
      </c>
    </row>
    <row r="15" spans="1:34" s="514" customFormat="1">
      <c r="A15" s="511" t="s">
        <v>716</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0">
        <f>EIA_RE_aeo2014!E78*1000</f>
        <v>0</v>
      </c>
      <c r="D16" s="330">
        <f>EIA_RE_aeo2014!F78*1000</f>
        <v>3</v>
      </c>
      <c r="E16" s="330">
        <f>EIA_RE_aeo2014!G78*1000</f>
        <v>0.85220521172638419</v>
      </c>
      <c r="F16" s="330">
        <f>EIA_RE_aeo2014!H78*1000</f>
        <v>1.2705273615635178</v>
      </c>
      <c r="G16" s="330">
        <f>EIA_RE_aeo2014!I78*1000</f>
        <v>2.1101550488599345</v>
      </c>
      <c r="H16" s="3">
        <f>EIA_RE_aeo2014!J78*1000</f>
        <v>2.1414332247556995</v>
      </c>
      <c r="I16" s="3">
        <f>EIA_RE_aeo2014!K78*1000</f>
        <v>5.2935752442996735</v>
      </c>
      <c r="J16" s="3">
        <f>EIA_RE_aeo2014!L78*1000</f>
        <v>7.4221182410423445</v>
      </c>
      <c r="K16" s="3">
        <f>EIA_RE_aeo2014!M78*1000</f>
        <v>7.4219511400651452</v>
      </c>
      <c r="L16" s="3">
        <f>EIA_RE_aeo2014!N78*1000</f>
        <v>7.4196596091205196</v>
      </c>
      <c r="M16" s="3">
        <f>EIA_RE_aeo2014!O78*1000</f>
        <v>7.4200162866449499</v>
      </c>
      <c r="N16" s="388">
        <f>EIA_RE_aeo2014!P78*1000</f>
        <v>7.4215680781758948</v>
      </c>
      <c r="O16" s="3">
        <f>EIA_RE_aeo2014!Q78*1000</f>
        <v>7.4207951140065136</v>
      </c>
      <c r="P16" s="3">
        <f>EIA_RE_aeo2014!R78*1000</f>
        <v>7.4203172638436463</v>
      </c>
      <c r="Q16" s="3">
        <f>EIA_RE_aeo2014!S78*1000</f>
        <v>7.4227377850162855</v>
      </c>
      <c r="R16" s="3">
        <f>EIA_RE_aeo2014!T78*1000</f>
        <v>7.4299065146579792</v>
      </c>
      <c r="S16" s="3">
        <f>EIA_RE_aeo2014!U78*1000</f>
        <v>7.4253029315960903</v>
      </c>
      <c r="T16" s="3">
        <f>EIA_RE_aeo2014!V78*1000</f>
        <v>7.4605915309446242</v>
      </c>
      <c r="U16" s="3">
        <f>EIA_RE_aeo2014!W78*1000</f>
        <v>7.486977850162865</v>
      </c>
      <c r="V16" s="3">
        <f>EIA_RE_aeo2014!X78*1000</f>
        <v>7.6194136807817578</v>
      </c>
      <c r="W16" s="3">
        <f>EIA_RE_aeo2014!Y78*1000</f>
        <v>7.7654003257328981</v>
      </c>
      <c r="X16" s="184">
        <f>EIA_RE_aeo2014!Z78*1000</f>
        <v>7.8021596091205199</v>
      </c>
      <c r="Y16" s="174">
        <f>EIA_RE_aeo2014!AA78*1000</f>
        <v>7.8070661237785002</v>
      </c>
      <c r="Z16" s="174">
        <f>EIA_RE_aeo2014!AB78*1000</f>
        <v>7.8114781758957639</v>
      </c>
      <c r="AA16" s="174">
        <f>EIA_RE_aeo2014!AC78*1000</f>
        <v>7.9262706840390864</v>
      </c>
      <c r="AB16" s="174">
        <f>EIA_RE_aeo2014!AD78*1000</f>
        <v>8.0785729641693784</v>
      </c>
      <c r="AC16" s="174">
        <f>EIA_RE_aeo2014!AE78*1000</f>
        <v>8.1336009771986966</v>
      </c>
      <c r="AD16" s="174">
        <f>EIA_RE_aeo2014!AF78*1000</f>
        <v>8.6019732899022774</v>
      </c>
      <c r="AE16" s="174">
        <f>EIA_RE_aeo2014!AG78*1000</f>
        <v>8.9532166123778474</v>
      </c>
      <c r="AF16" s="174">
        <f>EIA_RE_aeo2014!AH78*1000</f>
        <v>8.9957560260586309</v>
      </c>
      <c r="AG16" s="174">
        <f>EIA_RE_aeo2014!AI78*1000</f>
        <v>9.0881560260586287</v>
      </c>
      <c r="AH16" s="174">
        <f>EIA_RE_aeo2014!AJ78*1000</f>
        <v>9.2223224755700315</v>
      </c>
    </row>
    <row r="17" spans="1:34">
      <c r="A17" s="11" t="s">
        <v>327</v>
      </c>
      <c r="B17" s="36"/>
      <c r="C17" s="330">
        <f t="shared" ref="C17:AH17" si="0">SUM(C7:C16)</f>
        <v>150</v>
      </c>
      <c r="D17" s="330">
        <f t="shared" si="0"/>
        <v>298.77999999999997</v>
      </c>
      <c r="E17" s="330">
        <f t="shared" si="0"/>
        <v>321.55066912585022</v>
      </c>
      <c r="F17" s="330">
        <f t="shared" si="0"/>
        <v>324.4161188692575</v>
      </c>
      <c r="G17" s="330">
        <f t="shared" si="0"/>
        <v>339.06608658096548</v>
      </c>
      <c r="H17" s="3">
        <f t="shared" si="0"/>
        <v>345.15176416795839</v>
      </c>
      <c r="I17" s="3">
        <f t="shared" si="0"/>
        <v>352.84746584400744</v>
      </c>
      <c r="J17" s="3">
        <f t="shared" si="0"/>
        <v>361.21178701146624</v>
      </c>
      <c r="K17" s="3">
        <f t="shared" si="0"/>
        <v>365.81701525028603</v>
      </c>
      <c r="L17" s="3">
        <f t="shared" si="0"/>
        <v>366.70506234287694</v>
      </c>
      <c r="M17" s="3">
        <f t="shared" si="0"/>
        <v>366.07271741962819</v>
      </c>
      <c r="N17" s="388">
        <f t="shared" si="0"/>
        <v>362.7224053839804</v>
      </c>
      <c r="O17" s="3">
        <f t="shared" si="0"/>
        <v>361.16454407540004</v>
      </c>
      <c r="P17" s="3">
        <f t="shared" si="0"/>
        <v>356.50353104804276</v>
      </c>
      <c r="Q17" s="3">
        <f t="shared" si="0"/>
        <v>353.30042975874341</v>
      </c>
      <c r="R17" s="3">
        <f t="shared" si="0"/>
        <v>352.01372138966275</v>
      </c>
      <c r="S17" s="3">
        <f t="shared" si="0"/>
        <v>351.9710941111116</v>
      </c>
      <c r="T17" s="3">
        <f t="shared" si="0"/>
        <v>347.42034842450522</v>
      </c>
      <c r="U17" s="3">
        <f t="shared" si="0"/>
        <v>340.43567295681822</v>
      </c>
      <c r="V17" s="3">
        <f t="shared" si="0"/>
        <v>341.64932583823992</v>
      </c>
      <c r="W17" s="3">
        <f t="shared" si="0"/>
        <v>336.17153400799458</v>
      </c>
      <c r="X17" s="184">
        <f t="shared" si="0"/>
        <v>338.47597274957957</v>
      </c>
      <c r="Y17" s="174">
        <f t="shared" si="0"/>
        <v>341.12803474374476</v>
      </c>
      <c r="Z17" s="174">
        <f t="shared" si="0"/>
        <v>345.57217702216519</v>
      </c>
      <c r="AA17" s="174">
        <f t="shared" si="0"/>
        <v>350.02198489205364</v>
      </c>
      <c r="AB17" s="174">
        <f t="shared" si="0"/>
        <v>352.33624034164455</v>
      </c>
      <c r="AC17" s="174">
        <f t="shared" si="0"/>
        <v>350.78646862130933</v>
      </c>
      <c r="AD17" s="174">
        <f t="shared" si="0"/>
        <v>350.00585840987492</v>
      </c>
      <c r="AE17" s="174">
        <f t="shared" si="0"/>
        <v>349.62057359766612</v>
      </c>
      <c r="AF17" s="174">
        <f t="shared" si="0"/>
        <v>348.70822988352279</v>
      </c>
      <c r="AG17" s="174">
        <f t="shared" si="0"/>
        <v>346.4560934888807</v>
      </c>
      <c r="AH17" s="174">
        <f t="shared" si="0"/>
        <v>341.9013364512918</v>
      </c>
    </row>
    <row r="18" spans="1:34">
      <c r="A18" s="10" t="s">
        <v>126</v>
      </c>
      <c r="B18" s="37"/>
      <c r="C18" s="331">
        <f t="shared" ref="C18:AH18" si="1">SUMPRODUCT($B7:$B16,C7:C16)</f>
        <v>145.01</v>
      </c>
      <c r="D18" s="331">
        <f t="shared" si="1"/>
        <v>294.78999999999996</v>
      </c>
      <c r="E18" s="331">
        <f t="shared" si="1"/>
        <v>316.64441884625177</v>
      </c>
      <c r="F18" s="331">
        <f t="shared" si="1"/>
        <v>320.2825371314002</v>
      </c>
      <c r="G18" s="331">
        <f t="shared" si="1"/>
        <v>335.05871585603256</v>
      </c>
      <c r="H18" s="14">
        <f t="shared" si="1"/>
        <v>341.07676049615139</v>
      </c>
      <c r="I18" s="14">
        <f t="shared" si="1"/>
        <v>348.69177863440694</v>
      </c>
      <c r="J18" s="14">
        <f t="shared" si="1"/>
        <v>356.97503384565351</v>
      </c>
      <c r="K18" s="14">
        <f t="shared" si="1"/>
        <v>361.53666807187716</v>
      </c>
      <c r="L18" s="14">
        <f t="shared" si="1"/>
        <v>362.424713477328</v>
      </c>
      <c r="M18" s="14">
        <f t="shared" si="1"/>
        <v>361.79236799169917</v>
      </c>
      <c r="N18" s="190">
        <f t="shared" si="1"/>
        <v>358.44205820557153</v>
      </c>
      <c r="O18" s="14">
        <f t="shared" si="1"/>
        <v>356.88419689699117</v>
      </c>
      <c r="P18" s="14">
        <f t="shared" si="1"/>
        <v>352.22318274487384</v>
      </c>
      <c r="Q18" s="14">
        <f t="shared" si="1"/>
        <v>348.80766039632579</v>
      </c>
      <c r="R18" s="14">
        <f t="shared" si="1"/>
        <v>347.52095258962515</v>
      </c>
      <c r="S18" s="14">
        <f t="shared" si="1"/>
        <v>347.47832024965373</v>
      </c>
      <c r="T18" s="14">
        <f t="shared" si="1"/>
        <v>342.9275650025869</v>
      </c>
      <c r="U18" s="14">
        <f t="shared" si="1"/>
        <v>335.91145755277972</v>
      </c>
      <c r="V18" s="14">
        <f t="shared" si="1"/>
        <v>337.09373356532393</v>
      </c>
      <c r="W18" s="14">
        <f t="shared" si="1"/>
        <v>331.61593667365833</v>
      </c>
      <c r="X18" s="187">
        <f t="shared" si="1"/>
        <v>333.92037597762328</v>
      </c>
      <c r="Y18" s="14">
        <f t="shared" si="1"/>
        <v>336.57243740940845</v>
      </c>
      <c r="Z18" s="14">
        <f t="shared" si="1"/>
        <v>341.01657856306883</v>
      </c>
      <c r="AA18" s="14">
        <f t="shared" si="1"/>
        <v>345.46639318151767</v>
      </c>
      <c r="AB18" s="14">
        <f t="shared" si="1"/>
        <v>347.78064863110859</v>
      </c>
      <c r="AC18" s="14">
        <f t="shared" si="1"/>
        <v>346.23087691077336</v>
      </c>
      <c r="AD18" s="14">
        <f t="shared" si="1"/>
        <v>345.42751617770415</v>
      </c>
      <c r="AE18" s="14">
        <f t="shared" si="1"/>
        <v>345.04223136549535</v>
      </c>
      <c r="AF18" s="14">
        <f t="shared" si="1"/>
        <v>344.12988765135208</v>
      </c>
      <c r="AG18" s="14">
        <f t="shared" si="1"/>
        <v>341.87775125670998</v>
      </c>
      <c r="AH18" s="14">
        <f t="shared" si="1"/>
        <v>337.32298859532074</v>
      </c>
    </row>
    <row r="19" spans="1:34">
      <c r="A19" s="10" t="s">
        <v>112</v>
      </c>
      <c r="B19" s="37"/>
      <c r="C19" s="332">
        <f t="shared" ref="C19:AH19" si="2">C18/C4</f>
        <v>1.8842255717255715E-2</v>
      </c>
      <c r="D19" s="332">
        <f t="shared" si="2"/>
        <v>3.8091484687944176E-2</v>
      </c>
      <c r="E19" s="332">
        <f t="shared" si="2"/>
        <v>3.9471712573787503E-2</v>
      </c>
      <c r="F19" s="332">
        <f t="shared" si="2"/>
        <v>4.0612574090767482E-2</v>
      </c>
      <c r="G19" s="332">
        <f t="shared" si="2"/>
        <v>4.3614272390623723E-2</v>
      </c>
      <c r="H19" s="23">
        <f t="shared" si="2"/>
        <v>4.2740035029481378E-2</v>
      </c>
      <c r="I19" s="23">
        <f t="shared" si="2"/>
        <v>4.2571642581362937E-2</v>
      </c>
      <c r="J19" s="23">
        <f t="shared" si="2"/>
        <v>4.2321906557932824E-2</v>
      </c>
      <c r="K19" s="23">
        <f t="shared" si="2"/>
        <v>4.1766364806795353E-2</v>
      </c>
      <c r="L19" s="23">
        <f t="shared" si="2"/>
        <v>4.168260626354181E-2</v>
      </c>
      <c r="M19" s="23">
        <f t="shared" si="2"/>
        <v>4.1801862296929566E-2</v>
      </c>
      <c r="N19" s="183">
        <f t="shared" si="2"/>
        <v>4.2272121492051618E-2</v>
      </c>
      <c r="O19" s="23">
        <f t="shared" si="2"/>
        <v>4.2603315455831563E-2</v>
      </c>
      <c r="P19" s="23">
        <f t="shared" si="2"/>
        <v>4.3255859152502726E-2</v>
      </c>
      <c r="Q19" s="23">
        <f t="shared" si="2"/>
        <v>4.3756751894610799E-2</v>
      </c>
      <c r="R19" s="23">
        <f t="shared" si="2"/>
        <v>4.3969081379110077E-2</v>
      </c>
      <c r="S19" s="23">
        <f t="shared" si="2"/>
        <v>4.4118253416087681E-2</v>
      </c>
      <c r="T19" s="23">
        <f t="shared" si="2"/>
        <v>4.4863064608260013E-2</v>
      </c>
      <c r="U19" s="23">
        <f t="shared" si="2"/>
        <v>4.599202379174383E-2</v>
      </c>
      <c r="V19" s="23">
        <f t="shared" si="2"/>
        <v>4.6102311921977744E-2</v>
      </c>
      <c r="W19" s="23">
        <f t="shared" si="2"/>
        <v>4.6971392333456014E-2</v>
      </c>
      <c r="X19" s="185">
        <f t="shared" si="2"/>
        <v>4.654988506306508E-2</v>
      </c>
      <c r="Y19" s="172">
        <f t="shared" si="2"/>
        <v>4.6253212819074421E-2</v>
      </c>
      <c r="Z19" s="172">
        <f t="shared" si="2"/>
        <v>4.5472906146607116E-2</v>
      </c>
      <c r="AA19" s="172">
        <f t="shared" si="2"/>
        <v>4.479248243794659E-2</v>
      </c>
      <c r="AB19" s="172">
        <f t="shared" si="2"/>
        <v>4.4341610103724144E-2</v>
      </c>
      <c r="AC19" s="172">
        <f t="shared" si="2"/>
        <v>4.4608303179691985E-2</v>
      </c>
      <c r="AD19" s="172">
        <f t="shared" si="2"/>
        <v>4.4890175309244162E-2</v>
      </c>
      <c r="AE19" s="172">
        <f t="shared" si="2"/>
        <v>4.5107654212308501E-2</v>
      </c>
      <c r="AF19" s="172">
        <f t="shared" si="2"/>
        <v>4.5387850215299383E-2</v>
      </c>
      <c r="AG19" s="172">
        <f t="shared" si="2"/>
        <v>4.5660544164674056E-2</v>
      </c>
      <c r="AH19" s="172">
        <f t="shared" si="2"/>
        <v>4.6525455678275457E-2</v>
      </c>
    </row>
    <row r="20" spans="1:34">
      <c r="A20" s="10" t="s">
        <v>142</v>
      </c>
      <c r="B20" s="37"/>
      <c r="C20" s="331">
        <f>EIA_electricity_aeo2014!E49*1000</f>
        <v>0</v>
      </c>
      <c r="D20" s="331">
        <f>EIA_electricity_aeo2014!F49*1000</f>
        <v>0</v>
      </c>
      <c r="E20" s="331">
        <f>EIA_electricity_aeo2014!G49*1000</f>
        <v>0</v>
      </c>
      <c r="F20" s="331">
        <f>EIA_electricity_aeo2014!H49*1000</f>
        <v>0</v>
      </c>
      <c r="G20" s="331">
        <f>EIA_electricity_aeo2014!I49*1000</f>
        <v>0</v>
      </c>
      <c r="H20" s="14">
        <f>EIA_electricity_aeo2014!J49*1000</f>
        <v>0</v>
      </c>
      <c r="I20" s="14">
        <f>EIA_electricity_aeo2014!K49*1000</f>
        <v>0</v>
      </c>
      <c r="J20" s="14">
        <f>EIA_electricity_aeo2014!L49*1000</f>
        <v>0</v>
      </c>
      <c r="K20" s="14">
        <f>EIA_electricity_aeo2014!M49*1000</f>
        <v>0</v>
      </c>
      <c r="L20" s="14">
        <f>EIA_electricity_aeo2014!N49*1000</f>
        <v>0</v>
      </c>
      <c r="M20" s="14">
        <f>EIA_electricity_aeo2014!O49*1000</f>
        <v>0</v>
      </c>
      <c r="N20" s="190">
        <f>EIA_electricity_aeo2014!P49*1000</f>
        <v>0</v>
      </c>
      <c r="O20" s="14">
        <f>EIA_electricity_aeo2014!Q49*1000</f>
        <v>0</v>
      </c>
      <c r="P20" s="14">
        <f>EIA_electricity_aeo2014!R49*1000</f>
        <v>0</v>
      </c>
      <c r="Q20" s="14">
        <f>EIA_electricity_aeo2014!S49*1000</f>
        <v>0</v>
      </c>
      <c r="R20" s="14">
        <f>EIA_electricity_aeo2014!T49*1000</f>
        <v>0</v>
      </c>
      <c r="S20" s="14">
        <f>EIA_electricity_aeo2014!U49*1000</f>
        <v>0</v>
      </c>
      <c r="T20" s="14">
        <f>EIA_electricity_aeo2014!V49*1000</f>
        <v>0</v>
      </c>
      <c r="U20" s="14">
        <f>EIA_electricity_aeo2014!W49*1000</f>
        <v>0</v>
      </c>
      <c r="V20" s="14">
        <f>EIA_electricity_aeo2014!X49*1000</f>
        <v>0</v>
      </c>
      <c r="W20" s="14">
        <f>EIA_electricity_aeo2014!Y49*1000</f>
        <v>0</v>
      </c>
      <c r="X20" s="187">
        <f>EIA_electricity_aeo2014!Z49*1000</f>
        <v>0</v>
      </c>
      <c r="Y20" s="14">
        <f>EIA_electricity_aeo2014!AA49*1000</f>
        <v>0</v>
      </c>
      <c r="Z20" s="14">
        <f>EIA_electricity_aeo2014!AB49*1000</f>
        <v>0</v>
      </c>
      <c r="AA20" s="14">
        <f>EIA_electricity_aeo2014!AC49*1000</f>
        <v>0</v>
      </c>
      <c r="AB20" s="14">
        <f>EIA_electricity_aeo2014!AD49*1000</f>
        <v>0</v>
      </c>
      <c r="AC20" s="14">
        <f>EIA_electricity_aeo2014!AE49*1000</f>
        <v>0</v>
      </c>
      <c r="AD20" s="14">
        <f>EIA_electricity_aeo2014!AF49*1000</f>
        <v>0</v>
      </c>
      <c r="AE20" s="14">
        <f>EIA_electricity_aeo2014!AG49*1000</f>
        <v>0</v>
      </c>
      <c r="AF20" s="14">
        <f>EIA_electricity_aeo2014!AH49*1000</f>
        <v>0</v>
      </c>
      <c r="AG20" s="14">
        <f>EIA_electricity_aeo2014!AI49*1000</f>
        <v>0</v>
      </c>
      <c r="AH20" s="14">
        <f>EIA_electricity_aeo2014!AJ49*1000</f>
        <v>0</v>
      </c>
    </row>
    <row r="21" spans="1:34">
      <c r="A21" s="10" t="s">
        <v>222</v>
      </c>
      <c r="B21" s="37"/>
      <c r="C21" s="331">
        <f>EIA_electricity_aeo2014!E51*1000</f>
        <v>7530</v>
      </c>
      <c r="D21" s="331">
        <f>EIA_electricity_aeo2014!F51*1000</f>
        <v>7583</v>
      </c>
      <c r="E21" s="331">
        <f>EIA_electricity_aeo2014!G51*1000</f>
        <v>7855.963113392937</v>
      </c>
      <c r="F21" s="331">
        <f>EIA_electricity_aeo2014!H51*1000</f>
        <v>7727.4237269906271</v>
      </c>
      <c r="G21" s="331">
        <f>EIA_electricity_aeo2014!I51*1000</f>
        <v>7520.9727926185797</v>
      </c>
      <c r="H21" s="14">
        <f>EIA_electricity_aeo2014!J51*1000</f>
        <v>7814.7393593288452</v>
      </c>
      <c r="I21" s="14">
        <f>EIA_electricity_aeo2014!K51*1000</f>
        <v>7989.3082942442252</v>
      </c>
      <c r="J21" s="14">
        <f>EIA_electricity_aeo2014!L51*1000</f>
        <v>8198.2052470591025</v>
      </c>
      <c r="K21" s="14">
        <f>EIA_electricity_aeo2014!M51*1000</f>
        <v>8419.0692526562489</v>
      </c>
      <c r="L21" s="14">
        <f>EIA_electricity_aeo2014!N51*1000</f>
        <v>8456.5860193169174</v>
      </c>
      <c r="M21" s="14">
        <f>EIA_electricity_aeo2014!O51*1000</f>
        <v>8414.8881931917876</v>
      </c>
      <c r="N21" s="190">
        <f>EIA_electricity_aeo2014!P51*1000</f>
        <v>8237.7023230045143</v>
      </c>
      <c r="O21" s="14">
        <f>EIA_electricity_aeo2014!Q51*1000</f>
        <v>8130.5147345398809</v>
      </c>
      <c r="P21" s="14">
        <f>EIA_electricity_aeo2014!R51*1000</f>
        <v>7896.1171999014423</v>
      </c>
      <c r="Q21" s="14">
        <f>EIA_electricity_aeo2014!S51*1000</f>
        <v>7720.9376424002758</v>
      </c>
      <c r="R21" s="14">
        <f>EIA_electricity_aeo2014!T51*1000</f>
        <v>7652.2169247737702</v>
      </c>
      <c r="S21" s="14">
        <f>EIA_electricity_aeo2014!U51*1000</f>
        <v>7623.7618861420242</v>
      </c>
      <c r="T21" s="14">
        <f>EIA_electricity_aeo2014!V51*1000</f>
        <v>7390.1618327021843</v>
      </c>
      <c r="U21" s="14">
        <f>EIA_electricity_aeo2014!W51*1000</f>
        <v>7046.2005997981396</v>
      </c>
      <c r="V21" s="14">
        <f>EIA_electricity_aeo2014!X51*1000</f>
        <v>7048.1302089837418</v>
      </c>
      <c r="W21" s="14">
        <f>EIA_electricity_aeo2014!Y51*1000</f>
        <v>6795.1178977390809</v>
      </c>
      <c r="X21" s="187">
        <f>EIA_electricity_aeo2014!Z51*1000</f>
        <v>6907.4570344215736</v>
      </c>
      <c r="Y21" s="14">
        <f>EIA_electricity_aeo2014!AA51*1000</f>
        <v>7009.0957061078107</v>
      </c>
      <c r="Z21" s="14">
        <f>EIA_electricity_aeo2014!AB51*1000</f>
        <v>7231.0569507062091</v>
      </c>
      <c r="AA21" s="14">
        <f>EIA_electricity_aeo2014!AC51*1000</f>
        <v>7441.8100759651488</v>
      </c>
      <c r="AB21" s="14">
        <f>EIA_electricity_aeo2014!AD51*1000</f>
        <v>7569.8381492542167</v>
      </c>
      <c r="AC21" s="14">
        <f>EIA_electricity_aeo2014!AE51*1000</f>
        <v>7486.6672500207651</v>
      </c>
      <c r="AD21" s="14">
        <f>EIA_electricity_aeo2014!AF51*1000</f>
        <v>7413.6930815511278</v>
      </c>
      <c r="AE21" s="14">
        <f>EIA_electricity_aeo2014!AG51*1000</f>
        <v>7362.1968079152284</v>
      </c>
      <c r="AF21" s="14">
        <f>EIA_electricity_aeo2014!AH51*1000</f>
        <v>7294.6275574887986</v>
      </c>
      <c r="AG21" s="14">
        <f>EIA_electricity_aeo2014!AI51*1000</f>
        <v>7197.8858881618507</v>
      </c>
      <c r="AH21" s="14">
        <f>EIA_electricity_aeo2014!AJ51*1000</f>
        <v>6958.1243353024493</v>
      </c>
    </row>
    <row r="22" spans="1:34">
      <c r="A22" s="10" t="s">
        <v>350</v>
      </c>
      <c r="B22" s="37"/>
      <c r="C22" s="330">
        <f>SUM(C17,C20:C21)</f>
        <v>7680</v>
      </c>
      <c r="D22" s="330">
        <f t="shared" ref="D22:AH22" si="3">SUM(D17,D20:D21)</f>
        <v>7881.78</v>
      </c>
      <c r="E22" s="330">
        <f t="shared" si="3"/>
        <v>8177.5137825187876</v>
      </c>
      <c r="F22" s="330">
        <f t="shared" si="3"/>
        <v>8051.8398458598849</v>
      </c>
      <c r="G22" s="330">
        <f t="shared" si="3"/>
        <v>7860.0388791995447</v>
      </c>
      <c r="H22" s="79">
        <f t="shared" si="3"/>
        <v>8159.8911234968036</v>
      </c>
      <c r="I22" s="79">
        <f t="shared" si="3"/>
        <v>8342.1557600882334</v>
      </c>
      <c r="J22" s="79">
        <f t="shared" si="3"/>
        <v>8559.4170340705696</v>
      </c>
      <c r="K22" s="79">
        <f t="shared" si="3"/>
        <v>8784.8862679065351</v>
      </c>
      <c r="L22" s="79">
        <f t="shared" si="3"/>
        <v>8823.2910816597941</v>
      </c>
      <c r="M22" s="79">
        <f t="shared" si="3"/>
        <v>8780.9609106114167</v>
      </c>
      <c r="N22" s="388">
        <f t="shared" si="3"/>
        <v>8600.4247283884943</v>
      </c>
      <c r="O22" s="79">
        <f t="shared" si="3"/>
        <v>8491.6792786152801</v>
      </c>
      <c r="P22" s="79">
        <f t="shared" si="3"/>
        <v>8252.6207309494857</v>
      </c>
      <c r="Q22" s="79">
        <f t="shared" si="3"/>
        <v>8074.2380721590189</v>
      </c>
      <c r="R22" s="79">
        <f t="shared" si="3"/>
        <v>8004.2306461634325</v>
      </c>
      <c r="S22" s="79">
        <f t="shared" si="3"/>
        <v>7975.7329802531358</v>
      </c>
      <c r="T22" s="79">
        <f t="shared" si="3"/>
        <v>7737.5821811266896</v>
      </c>
      <c r="U22" s="79">
        <f t="shared" si="3"/>
        <v>7386.6362727549576</v>
      </c>
      <c r="V22" s="79">
        <f t="shared" si="3"/>
        <v>7389.7795348219815</v>
      </c>
      <c r="W22" s="79">
        <f t="shared" si="3"/>
        <v>7131.2894317470755</v>
      </c>
      <c r="X22" s="184">
        <f t="shared" si="3"/>
        <v>7245.9330071711529</v>
      </c>
      <c r="Y22" s="174">
        <f t="shared" si="3"/>
        <v>7350.2237408515557</v>
      </c>
      <c r="Z22" s="174">
        <f t="shared" si="3"/>
        <v>7576.6291277283744</v>
      </c>
      <c r="AA22" s="174">
        <f t="shared" si="3"/>
        <v>7791.8320608572021</v>
      </c>
      <c r="AB22" s="174">
        <f t="shared" si="3"/>
        <v>7922.1743895958616</v>
      </c>
      <c r="AC22" s="174">
        <f t="shared" si="3"/>
        <v>7837.4537186420748</v>
      </c>
      <c r="AD22" s="174">
        <f t="shared" si="3"/>
        <v>7763.6989399610029</v>
      </c>
      <c r="AE22" s="174">
        <f t="shared" si="3"/>
        <v>7711.8173815128948</v>
      </c>
      <c r="AF22" s="174">
        <f t="shared" si="3"/>
        <v>7643.3357873723216</v>
      </c>
      <c r="AG22" s="174">
        <f t="shared" si="3"/>
        <v>7544.3419816507312</v>
      </c>
      <c r="AH22" s="174">
        <f t="shared" si="3"/>
        <v>7300.0256717537413</v>
      </c>
    </row>
    <row r="23" spans="1:34">
      <c r="A23" s="10" t="s">
        <v>328</v>
      </c>
      <c r="B23" s="37"/>
      <c r="C23" s="330">
        <f>EIA_electricity_aeo2014!E50*1000+EIA_electricity_aeo2014!E55*1000</f>
        <v>17</v>
      </c>
      <c r="D23" s="330">
        <f>EIA_electricity_aeo2014!F50*1000+EIA_electricity_aeo2014!F55*1000</f>
        <v>12</v>
      </c>
      <c r="E23" s="330">
        <f>EIA_electricity_aeo2014!G50*1000+EIA_electricity_aeo2014!G55*1000</f>
        <v>4.0977079223608062</v>
      </c>
      <c r="F23" s="330">
        <f>EIA_electricity_aeo2014!H50*1000+EIA_electricity_aeo2014!H55*1000</f>
        <v>2.6229674812289243</v>
      </c>
      <c r="G23" s="330">
        <f>EIA_electricity_aeo2014!I50*1000+EIA_electricity_aeo2014!I55*1000</f>
        <v>2.628078197911365</v>
      </c>
      <c r="H23" s="330">
        <f>EIA_electricity_aeo2014!J50*1000+EIA_electricity_aeo2014!J55*1000</f>
        <v>2.6228347353410681</v>
      </c>
      <c r="I23" s="330">
        <f>EIA_electricity_aeo2014!K50*1000+EIA_electricity_aeo2014!K55*1000</f>
        <v>2.6556810459673401</v>
      </c>
      <c r="J23" s="330">
        <f>EIA_electricity_aeo2014!L50*1000+EIA_electricity_aeo2014!L55*1000</f>
        <v>2.5423160577386503</v>
      </c>
      <c r="K23" s="330">
        <f>EIA_electricity_aeo2014!M50*1000+EIA_electricity_aeo2014!M55*1000</f>
        <v>1.0491156415768472</v>
      </c>
      <c r="L23" s="330">
        <f>EIA_electricity_aeo2014!N50*1000+EIA_electricity_aeo2014!N55*1000</f>
        <v>1.1243825599909774</v>
      </c>
      <c r="M23" s="330">
        <f>EIA_electricity_aeo2014!O50*1000+EIA_electricity_aeo2014!O55*1000</f>
        <v>1.2550459967308509</v>
      </c>
      <c r="N23" s="330">
        <f>EIA_electricity_aeo2014!P50*1000+EIA_electricity_aeo2014!P55*1000</f>
        <v>1.26515957406185</v>
      </c>
      <c r="O23" s="330">
        <f>EIA_electricity_aeo2014!Q50*1000+EIA_electricity_aeo2014!Q55*1000</f>
        <v>1.1615597052085385</v>
      </c>
      <c r="P23" s="330">
        <f>EIA_electricity_aeo2014!R50*1000+EIA_electricity_aeo2014!R55*1000</f>
        <v>1.0479375218221287</v>
      </c>
      <c r="Q23" s="330">
        <f>EIA_electricity_aeo2014!S50*1000+EIA_electricity_aeo2014!S55*1000</f>
        <v>1.0445110185918558</v>
      </c>
      <c r="R23" s="330">
        <f>EIA_electricity_aeo2014!T50*1000+EIA_electricity_aeo2014!T55*1000</f>
        <v>0.92461659200426838</v>
      </c>
      <c r="S23" s="330">
        <f>EIA_electricity_aeo2014!U50*1000+EIA_electricity_aeo2014!U55*1000</f>
        <v>0.92476593112810601</v>
      </c>
      <c r="T23" s="330">
        <f>EIA_electricity_aeo2014!V50*1000+EIA_electricity_aeo2014!V55*1000</f>
        <v>0.89152138283826687</v>
      </c>
      <c r="U23" s="330">
        <f>EIA_electricity_aeo2014!W50*1000+EIA_electricity_aeo2014!W55*1000</f>
        <v>0.96742714083770209</v>
      </c>
      <c r="V23" s="330">
        <f>EIA_electricity_aeo2014!X50*1000+EIA_electricity_aeo2014!X55*1000</f>
        <v>0.9652866133960305</v>
      </c>
      <c r="W23" s="330">
        <f>EIA_electricity_aeo2014!Y50*1000+EIA_electricity_aeo2014!Y55*1000</f>
        <v>0.96794982777113348</v>
      </c>
      <c r="X23" s="330">
        <f>EIA_electricity_aeo2014!Z50*1000+EIA_electricity_aeo2014!Z55*1000</f>
        <v>0.96502112162031917</v>
      </c>
      <c r="Y23" s="330">
        <f>EIA_electricity_aeo2014!AA50*1000+EIA_electricity_aeo2014!AA55*1000</f>
        <v>0.96311289948239476</v>
      </c>
      <c r="Z23" s="330">
        <f>EIA_electricity_aeo2014!AB50*1000+EIA_electricity_aeo2014!AB55*1000</f>
        <v>0.92284941237219054</v>
      </c>
      <c r="AA23" s="330">
        <f>EIA_electricity_aeo2014!AC50*1000+EIA_electricity_aeo2014!AC55*1000</f>
        <v>0.90973245932845825</v>
      </c>
      <c r="AB23" s="330">
        <f>EIA_electricity_aeo2014!AD50*1000+EIA_electricity_aeo2014!AD55*1000</f>
        <v>0.90102101043793392</v>
      </c>
      <c r="AC23" s="330">
        <f>EIA_electricity_aeo2014!AE50*1000+EIA_electricity_aeo2014!AE55*1000</f>
        <v>0.86662323224734938</v>
      </c>
      <c r="AD23" s="330">
        <f>EIA_electricity_aeo2014!AF50*1000+EIA_electricity_aeo2014!AF55*1000</f>
        <v>0.89639979421696048</v>
      </c>
      <c r="AE23" s="330">
        <f>EIA_electricity_aeo2014!AG50*1000+EIA_electricity_aeo2014!AG55*1000</f>
        <v>0.8796572191111719</v>
      </c>
      <c r="AF23" s="330">
        <f>EIA_electricity_aeo2014!AH50*1000+EIA_electricity_aeo2014!AH55*1000</f>
        <v>0.88504172418731508</v>
      </c>
      <c r="AG23" s="330">
        <f>EIA_electricity_aeo2014!AI50*1000+EIA_electricity_aeo2014!AI55*1000</f>
        <v>0.88568056377262017</v>
      </c>
      <c r="AH23" s="330">
        <f>EIA_electricity_aeo2014!AJ50*1000+EIA_electricity_aeo2014!AJ55*1000</f>
        <v>0.88678401396541984</v>
      </c>
    </row>
    <row r="24" spans="1:34">
      <c r="A24" s="10" t="s">
        <v>345</v>
      </c>
      <c r="B24" s="37"/>
      <c r="C24" s="330">
        <f>SUM(C22:C23)</f>
        <v>7697</v>
      </c>
      <c r="D24" s="330">
        <f t="shared" ref="D24:AH24" si="4">SUM(D22:D23)</f>
        <v>7893.78</v>
      </c>
      <c r="E24" s="330">
        <f t="shared" si="4"/>
        <v>8181.6114904411488</v>
      </c>
      <c r="F24" s="330">
        <f t="shared" si="4"/>
        <v>8054.4628133411143</v>
      </c>
      <c r="G24" s="330">
        <f t="shared" si="4"/>
        <v>7862.6669573974559</v>
      </c>
      <c r="H24" s="83">
        <f t="shared" si="4"/>
        <v>8162.5139582321444</v>
      </c>
      <c r="I24" s="83">
        <f t="shared" si="4"/>
        <v>8344.8114411342012</v>
      </c>
      <c r="J24" s="83">
        <f t="shared" si="4"/>
        <v>8561.9593501283089</v>
      </c>
      <c r="K24" s="83">
        <f t="shared" si="4"/>
        <v>8785.9353835481124</v>
      </c>
      <c r="L24" s="83">
        <f t="shared" si="4"/>
        <v>8824.4154642197846</v>
      </c>
      <c r="M24" s="83">
        <f t="shared" si="4"/>
        <v>8782.2159566081482</v>
      </c>
      <c r="N24" s="388">
        <f t="shared" si="4"/>
        <v>8601.6898879625569</v>
      </c>
      <c r="O24" s="83">
        <f t="shared" si="4"/>
        <v>8492.8408383204878</v>
      </c>
      <c r="P24" s="83">
        <f t="shared" si="4"/>
        <v>8253.6686684713077</v>
      </c>
      <c r="Q24" s="83">
        <f t="shared" si="4"/>
        <v>8075.2825831776108</v>
      </c>
      <c r="R24" s="83">
        <f t="shared" si="4"/>
        <v>8005.1552627554365</v>
      </c>
      <c r="S24" s="83">
        <f t="shared" si="4"/>
        <v>7976.6577461842635</v>
      </c>
      <c r="T24" s="83">
        <f t="shared" si="4"/>
        <v>7738.4737025095283</v>
      </c>
      <c r="U24" s="83">
        <f t="shared" si="4"/>
        <v>7387.6036998957952</v>
      </c>
      <c r="V24" s="83">
        <f t="shared" si="4"/>
        <v>7390.7448214353772</v>
      </c>
      <c r="W24" s="83">
        <f t="shared" si="4"/>
        <v>7132.2573815748465</v>
      </c>
      <c r="X24" s="184">
        <f t="shared" si="4"/>
        <v>7246.8980282927732</v>
      </c>
      <c r="Y24" s="174">
        <f t="shared" si="4"/>
        <v>7351.1868537510381</v>
      </c>
      <c r="Z24" s="174">
        <f t="shared" si="4"/>
        <v>7577.5519771407462</v>
      </c>
      <c r="AA24" s="174">
        <f t="shared" si="4"/>
        <v>7792.7417933165307</v>
      </c>
      <c r="AB24" s="174">
        <f t="shared" si="4"/>
        <v>7923.0754106062996</v>
      </c>
      <c r="AC24" s="174">
        <f t="shared" si="4"/>
        <v>7838.3203418743224</v>
      </c>
      <c r="AD24" s="174">
        <f t="shared" si="4"/>
        <v>7764.5953397552203</v>
      </c>
      <c r="AE24" s="174">
        <f t="shared" si="4"/>
        <v>7712.6970387320061</v>
      </c>
      <c r="AF24" s="174">
        <f t="shared" si="4"/>
        <v>7644.2208290965091</v>
      </c>
      <c r="AG24" s="174">
        <f t="shared" si="4"/>
        <v>7545.2276622145037</v>
      </c>
      <c r="AH24" s="174">
        <f t="shared" si="4"/>
        <v>7300.9124557677069</v>
      </c>
    </row>
    <row r="25" spans="1:34">
      <c r="A25" s="10" t="s">
        <v>346</v>
      </c>
      <c r="B25" s="37"/>
      <c r="C25" s="332">
        <f t="shared" ref="C25:AH25" si="5">C24/C4-1</f>
        <v>1.2993762993751545E-4</v>
      </c>
      <c r="D25" s="332">
        <f t="shared" si="5"/>
        <v>2.0000000000000018E-2</v>
      </c>
      <c r="E25" s="332">
        <f t="shared" si="5"/>
        <v>1.9889181428763392E-2</v>
      </c>
      <c r="F25" s="332">
        <f t="shared" si="5"/>
        <v>2.1324705049233561E-2</v>
      </c>
      <c r="G25" s="332">
        <f t="shared" si="5"/>
        <v>2.3475833244811062E-2</v>
      </c>
      <c r="H25" s="82">
        <f t="shared" si="5"/>
        <v>2.2837592323763811E-2</v>
      </c>
      <c r="I25" s="82">
        <f t="shared" si="5"/>
        <v>1.8814758042531965E-2</v>
      </c>
      <c r="J25" s="82">
        <f t="shared" si="5"/>
        <v>1.508063369390622E-2</v>
      </c>
      <c r="K25" s="82">
        <f t="shared" si="5"/>
        <v>1.4991326758720946E-2</v>
      </c>
      <c r="L25" s="82">
        <f t="shared" si="5"/>
        <v>1.4899430482663956E-2</v>
      </c>
      <c r="M25" s="82">
        <f t="shared" si="5"/>
        <v>1.4706264031678851E-2</v>
      </c>
      <c r="N25" s="199">
        <f t="shared" si="5"/>
        <v>1.4422475423820469E-2</v>
      </c>
      <c r="O25" s="82">
        <f t="shared" si="5"/>
        <v>1.3839168271076785E-2</v>
      </c>
      <c r="P25" s="82">
        <f t="shared" si="5"/>
        <v>1.3617350886923063E-2</v>
      </c>
      <c r="Q25" s="82">
        <f t="shared" si="5"/>
        <v>1.3017134054595259E-2</v>
      </c>
      <c r="R25" s="82">
        <f t="shared" si="5"/>
        <v>1.2829069952926542E-2</v>
      </c>
      <c r="S25" s="82">
        <f t="shared" si="5"/>
        <v>1.2771696394508592E-2</v>
      </c>
      <c r="T25" s="82">
        <f t="shared" si="5"/>
        <v>1.2376026646872429E-2</v>
      </c>
      <c r="U25" s="82">
        <f t="shared" si="5"/>
        <v>1.1489300201068753E-2</v>
      </c>
      <c r="V25" s="82">
        <f t="shared" si="5"/>
        <v>1.0788362897665049E-2</v>
      </c>
      <c r="W25" s="82">
        <f t="shared" si="5"/>
        <v>1.0241133322924645E-2</v>
      </c>
      <c r="X25" s="185">
        <f t="shared" si="5"/>
        <v>1.0247635512328213E-2</v>
      </c>
      <c r="Y25" s="172">
        <f t="shared" si="5"/>
        <v>1.0231297121135352E-2</v>
      </c>
      <c r="Z25" s="172">
        <f t="shared" si="5"/>
        <v>1.042979003975808E-2</v>
      </c>
      <c r="AA25" s="172">
        <f t="shared" si="5"/>
        <v>1.0391334178717848E-2</v>
      </c>
      <c r="AB25" s="172">
        <f t="shared" si="5"/>
        <v>1.018248733027205E-2</v>
      </c>
      <c r="AC25" s="172">
        <f t="shared" si="5"/>
        <v>9.8873137764243779E-3</v>
      </c>
      <c r="AD25" s="172">
        <f t="shared" si="5"/>
        <v>9.0511892736404587E-3</v>
      </c>
      <c r="AE25" s="172">
        <f t="shared" si="5"/>
        <v>8.2872165839167344E-3</v>
      </c>
      <c r="AF25" s="172">
        <f t="shared" si="5"/>
        <v>8.2087097160647993E-3</v>
      </c>
      <c r="AG25" s="172">
        <f t="shared" si="5"/>
        <v>7.7262987621919965E-3</v>
      </c>
      <c r="AH25" s="172">
        <f t="shared" si="5"/>
        <v>6.9822999205504388E-3</v>
      </c>
    </row>
    <row r="26" spans="1:34">
      <c r="A26" s="10"/>
      <c r="B26" s="37"/>
      <c r="C26" s="332"/>
      <c r="D26" s="332"/>
      <c r="E26" s="332"/>
      <c r="F26" s="332"/>
      <c r="G26" s="332"/>
      <c r="H26" s="82"/>
      <c r="I26" s="82"/>
      <c r="J26" s="82"/>
      <c r="K26" s="82"/>
      <c r="L26" s="82"/>
      <c r="M26" s="82"/>
      <c r="N26" s="183" t="s">
        <v>0</v>
      </c>
      <c r="O26" s="91" t="s">
        <v>0</v>
      </c>
      <c r="P26" s="82"/>
      <c r="Q26" s="82"/>
      <c r="R26" s="82"/>
      <c r="S26" s="82"/>
      <c r="T26" s="82"/>
      <c r="U26" s="82"/>
      <c r="V26" s="82"/>
      <c r="W26" s="82"/>
      <c r="X26" s="185" t="s">
        <v>0</v>
      </c>
    </row>
    <row r="27" spans="1:34">
      <c r="A27" s="10"/>
      <c r="B27" s="37"/>
      <c r="C27" s="332"/>
      <c r="D27" s="332"/>
      <c r="E27" s="332"/>
      <c r="F27" s="332"/>
      <c r="G27" s="332"/>
      <c r="H27" s="164"/>
      <c r="I27" s="164"/>
      <c r="J27" s="164"/>
      <c r="K27" s="164"/>
      <c r="L27" s="164"/>
      <c r="M27" s="164"/>
      <c r="N27" s="183"/>
      <c r="O27" s="164"/>
      <c r="P27" s="164"/>
      <c r="Q27" s="164"/>
      <c r="R27" s="164"/>
      <c r="S27" s="164"/>
      <c r="T27" s="164"/>
      <c r="U27" s="164"/>
      <c r="V27" s="164"/>
      <c r="W27" s="164"/>
      <c r="X27" s="185"/>
    </row>
    <row r="28" spans="1:34">
      <c r="A28" s="9" t="s">
        <v>125</v>
      </c>
      <c r="B28" s="37"/>
      <c r="C28" s="332">
        <f t="shared" ref="C28:K28" si="6">C10/C$18</f>
        <v>0</v>
      </c>
      <c r="D28" s="332">
        <f t="shared" si="6"/>
        <v>0</v>
      </c>
      <c r="E28" s="332">
        <f t="shared" si="6"/>
        <v>1.548311831253373E-2</v>
      </c>
      <c r="F28" s="332">
        <f t="shared" si="6"/>
        <v>1.5512132020990275E-2</v>
      </c>
      <c r="G28" s="332">
        <f t="shared" si="6"/>
        <v>1.2319488509511286E-2</v>
      </c>
      <c r="H28" s="164">
        <f t="shared" si="6"/>
        <v>1.2529337952499464E-2</v>
      </c>
      <c r="I28" s="164">
        <f t="shared" si="6"/>
        <v>1.303380314212991E-2</v>
      </c>
      <c r="J28" s="164">
        <f t="shared" si="6"/>
        <v>1.6291786395668723E-2</v>
      </c>
      <c r="K28" s="164">
        <f t="shared" si="6"/>
        <v>1.6454380773397254E-2</v>
      </c>
      <c r="L28" s="164">
        <f t="shared" ref="L28:L34" si="7">L10/L$18</f>
        <v>1.6726861537214768E-2</v>
      </c>
      <c r="M28" s="164">
        <f t="shared" ref="M28:AH28" si="8">M10/M$18</f>
        <v>1.7213928625887682E-2</v>
      </c>
      <c r="N28" s="185">
        <f t="shared" si="8"/>
        <v>1.7822660186646314E-2</v>
      </c>
      <c r="O28" s="164">
        <f t="shared" si="8"/>
        <v>1.9284070462740128E-2</v>
      </c>
      <c r="P28" s="164">
        <f t="shared" si="8"/>
        <v>1.9603965151270254E-2</v>
      </c>
      <c r="Q28" s="164">
        <f t="shared" si="8"/>
        <v>1.9820298648672751E-2</v>
      </c>
      <c r="R28" s="164">
        <f t="shared" si="8"/>
        <v>2.007330766107096E-2</v>
      </c>
      <c r="S28" s="164">
        <f t="shared" si="8"/>
        <v>2.0147366301788653E-2</v>
      </c>
      <c r="T28" s="164">
        <f t="shared" si="8"/>
        <v>2.0588476169732053E-2</v>
      </c>
      <c r="U28" s="164">
        <f t="shared" si="8"/>
        <v>2.1778209214106826E-2</v>
      </c>
      <c r="V28" s="164">
        <f t="shared" si="8"/>
        <v>2.2875435619765645E-2</v>
      </c>
      <c r="W28" s="164">
        <f t="shared" si="8"/>
        <v>2.2979595240319225E-2</v>
      </c>
      <c r="X28" s="185">
        <f t="shared" si="8"/>
        <v>2.2822967833836839E-2</v>
      </c>
      <c r="Y28" s="172">
        <f t="shared" si="8"/>
        <v>2.2908952555199525E-2</v>
      </c>
      <c r="Z28" s="172">
        <f t="shared" si="8"/>
        <v>2.2580321556348867E-2</v>
      </c>
      <c r="AA28" s="172">
        <f t="shared" si="8"/>
        <v>2.2497233170568794E-2</v>
      </c>
      <c r="AB28" s="172">
        <f t="shared" si="8"/>
        <v>2.2485678920838328E-2</v>
      </c>
      <c r="AC28" s="172">
        <f t="shared" si="8"/>
        <v>2.2675066042775905E-2</v>
      </c>
      <c r="AD28" s="172">
        <f t="shared" si="8"/>
        <v>2.2918935606528842E-2</v>
      </c>
      <c r="AE28" s="172">
        <f t="shared" si="8"/>
        <v>2.3462339574962413E-2</v>
      </c>
      <c r="AF28" s="172">
        <f t="shared" si="8"/>
        <v>2.3211831597994642E-2</v>
      </c>
      <c r="AG28" s="172">
        <f t="shared" si="8"/>
        <v>2.3515148237778793E-2</v>
      </c>
      <c r="AH28" s="172">
        <f t="shared" si="8"/>
        <v>2.3994157746864794E-2</v>
      </c>
    </row>
    <row r="29" spans="1:34">
      <c r="A29" s="9" t="s">
        <v>50</v>
      </c>
      <c r="B29" s="37"/>
      <c r="C29" s="332">
        <f t="shared" ref="C29:K29" si="9">C11/C$18</f>
        <v>0</v>
      </c>
      <c r="D29" s="332">
        <f t="shared" si="9"/>
        <v>0</v>
      </c>
      <c r="E29" s="332">
        <f t="shared" si="9"/>
        <v>3.1581166143514277E-10</v>
      </c>
      <c r="F29" s="332">
        <f t="shared" si="9"/>
        <v>3.1222432823108826E-10</v>
      </c>
      <c r="G29" s="332">
        <f t="shared" si="9"/>
        <v>2.9845515209032147E-10</v>
      </c>
      <c r="H29" s="164">
        <f t="shared" si="9"/>
        <v>2.9318913389037063E-10</v>
      </c>
      <c r="I29" s="164">
        <f t="shared" si="9"/>
        <v>2.8678622820312337E-10</v>
      </c>
      <c r="J29" s="164">
        <f t="shared" si="9"/>
        <v>2.8013163532113383E-10</v>
      </c>
      <c r="K29" s="164">
        <f t="shared" si="9"/>
        <v>2.7659711678296209E-10</v>
      </c>
      <c r="L29" s="164">
        <f t="shared" si="7"/>
        <v>2.7591937382122164E-10</v>
      </c>
      <c r="M29" s="164">
        <f t="shared" ref="M29:AH29" si="10">M11/M$18</f>
        <v>2.7640162935193363E-10</v>
      </c>
      <c r="N29" s="185">
        <f t="shared" si="10"/>
        <v>2.7898511826602839E-10</v>
      </c>
      <c r="O29" s="164">
        <f t="shared" si="10"/>
        <v>2.8020293660933207E-10</v>
      </c>
      <c r="P29" s="164">
        <f t="shared" si="10"/>
        <v>2.8391089768907433E-10</v>
      </c>
      <c r="Q29" s="164">
        <f t="shared" si="10"/>
        <v>2.8669095135805501E-10</v>
      </c>
      <c r="R29" s="164">
        <f t="shared" si="10"/>
        <v>2.877524340757847E-10</v>
      </c>
      <c r="S29" s="164">
        <f t="shared" si="10"/>
        <v>2.8778773860813168E-10</v>
      </c>
      <c r="T29" s="164">
        <f t="shared" si="10"/>
        <v>2.9160677124116763E-10</v>
      </c>
      <c r="U29" s="164">
        <f t="shared" si="10"/>
        <v>2.9769749662167335E-10</v>
      </c>
      <c r="V29" s="164">
        <f t="shared" si="10"/>
        <v>2.9665339353044202E-10</v>
      </c>
      <c r="W29" s="164">
        <f t="shared" si="10"/>
        <v>3.0155366175422847E-10</v>
      </c>
      <c r="X29" s="185">
        <f t="shared" si="10"/>
        <v>2.9947259045581939E-10</v>
      </c>
      <c r="Y29" s="172">
        <f t="shared" si="10"/>
        <v>2.9711286155722695E-10</v>
      </c>
      <c r="Z29" s="172">
        <f t="shared" si="10"/>
        <v>2.9324087533036361E-10</v>
      </c>
      <c r="AA29" s="172">
        <f t="shared" si="10"/>
        <v>2.8946375674654185E-10</v>
      </c>
      <c r="AB29" s="172">
        <f t="shared" si="10"/>
        <v>2.8753756252283646E-10</v>
      </c>
      <c r="AC29" s="172">
        <f t="shared" si="10"/>
        <v>2.8882461579465326E-10</v>
      </c>
      <c r="AD29" s="172">
        <f t="shared" si="10"/>
        <v>2.8949633516907008E-10</v>
      </c>
      <c r="AE29" s="172">
        <f t="shared" si="10"/>
        <v>2.8981959571804498E-10</v>
      </c>
      <c r="AF29" s="172">
        <f t="shared" si="10"/>
        <v>2.9058795410793525E-10</v>
      </c>
      <c r="AG29" s="172">
        <f t="shared" si="10"/>
        <v>2.9250221645722647E-10</v>
      </c>
      <c r="AH29" s="172">
        <f t="shared" si="10"/>
        <v>2.9645177880232732E-10</v>
      </c>
    </row>
    <row r="30" spans="1:34">
      <c r="A30" s="9" t="s">
        <v>51</v>
      </c>
      <c r="B30" s="37"/>
      <c r="C30" s="332">
        <f t="shared" ref="C30:K30" si="11">C12/C$18</f>
        <v>0.99993103923867321</v>
      </c>
      <c r="D30" s="332">
        <f t="shared" si="11"/>
        <v>0.46473760982394252</v>
      </c>
      <c r="E30" s="332">
        <f t="shared" si="11"/>
        <v>0.4744703384609848</v>
      </c>
      <c r="F30" s="332">
        <f t="shared" si="11"/>
        <v>0.48740698124536691</v>
      </c>
      <c r="G30" s="332">
        <f t="shared" si="11"/>
        <v>0.52219040326401001</v>
      </c>
      <c r="H30" s="164">
        <f t="shared" si="11"/>
        <v>0.51263118027752119</v>
      </c>
      <c r="I30" s="164">
        <f t="shared" si="11"/>
        <v>0.50138640469660678</v>
      </c>
      <c r="J30" s="164">
        <f t="shared" si="11"/>
        <v>0.48975973330471084</v>
      </c>
      <c r="K30" s="164">
        <f t="shared" si="11"/>
        <v>0.48358164314294938</v>
      </c>
      <c r="L30" s="164">
        <f t="shared" si="7"/>
        <v>0.4824049831060731</v>
      </c>
      <c r="M30" s="164">
        <f t="shared" ref="M30:AH30" si="12">M12/M$18</f>
        <v>0.4832489983038461</v>
      </c>
      <c r="N30" s="185">
        <f t="shared" si="12"/>
        <v>0.48776134071408705</v>
      </c>
      <c r="O30" s="164">
        <f t="shared" si="12"/>
        <v>0.48988718512247892</v>
      </c>
      <c r="P30" s="164">
        <f t="shared" si="12"/>
        <v>0.49636762406281065</v>
      </c>
      <c r="Q30" s="164">
        <f t="shared" si="12"/>
        <v>0.50122501487394933</v>
      </c>
      <c r="R30" s="164">
        <f t="shared" si="12"/>
        <v>0.5030775887040847</v>
      </c>
      <c r="S30" s="164">
        <f t="shared" si="12"/>
        <v>0.50455206500649019</v>
      </c>
      <c r="T30" s="164">
        <f t="shared" si="12"/>
        <v>0.51124253840849343</v>
      </c>
      <c r="U30" s="164">
        <f t="shared" si="12"/>
        <v>0.52045006885056899</v>
      </c>
      <c r="V30" s="164">
        <f t="shared" si="12"/>
        <v>0.52008061933787053</v>
      </c>
      <c r="W30" s="164">
        <f t="shared" si="12"/>
        <v>0.52717920998498569</v>
      </c>
      <c r="X30" s="185">
        <f t="shared" si="12"/>
        <v>0.52353620666283207</v>
      </c>
      <c r="Y30" s="172">
        <f t="shared" si="12"/>
        <v>0.52086891756169207</v>
      </c>
      <c r="Z30" s="172">
        <f t="shared" si="12"/>
        <v>0.5140750850691107</v>
      </c>
      <c r="AA30" s="172">
        <f t="shared" si="12"/>
        <v>0.50744771582723458</v>
      </c>
      <c r="AB30" s="172">
        <f t="shared" si="12"/>
        <v>0.50263794774092896</v>
      </c>
      <c r="AC30" s="172">
        <f t="shared" si="12"/>
        <v>0.50487953567137922</v>
      </c>
      <c r="AD30" s="172">
        <f t="shared" si="12"/>
        <v>0.50603893791430177</v>
      </c>
      <c r="AE30" s="172">
        <f t="shared" si="12"/>
        <v>0.50659713226690795</v>
      </c>
      <c r="AF30" s="172">
        <f t="shared" si="12"/>
        <v>0.50939079140684007</v>
      </c>
      <c r="AG30" s="172">
        <f t="shared" si="12"/>
        <v>0.51127261023141835</v>
      </c>
      <c r="AH30" s="172">
        <f t="shared" si="12"/>
        <v>0.51817135394664782</v>
      </c>
    </row>
    <row r="31" spans="1:34">
      <c r="A31" s="9" t="s">
        <v>347</v>
      </c>
      <c r="B31" s="37"/>
      <c r="C31" s="332">
        <f t="shared" ref="C31:K31" si="13">C13/C$18</f>
        <v>0</v>
      </c>
      <c r="D31" s="332">
        <f t="shared" si="13"/>
        <v>0.52505173174123965</v>
      </c>
      <c r="E31" s="332">
        <f t="shared" si="13"/>
        <v>0.50700778664510127</v>
      </c>
      <c r="F31" s="332">
        <f t="shared" si="13"/>
        <v>0.49277054414073046</v>
      </c>
      <c r="G31" s="332">
        <f t="shared" si="13"/>
        <v>0.45886394080030751</v>
      </c>
      <c r="H31" s="164">
        <f t="shared" si="13"/>
        <v>0.46823852390500892</v>
      </c>
      <c r="I31" s="164">
        <f t="shared" si="13"/>
        <v>0.4700830822432322</v>
      </c>
      <c r="J31" s="164">
        <f t="shared" si="13"/>
        <v>0.47284863401653526</v>
      </c>
      <c r="K31" s="164">
        <f t="shared" si="13"/>
        <v>0.47913081611613467</v>
      </c>
      <c r="L31" s="164">
        <f t="shared" si="7"/>
        <v>0.48009236543643791</v>
      </c>
      <c r="M31" s="164">
        <f t="shared" ref="M31:AH31" si="14">M13/M$18</f>
        <v>0.47872398508711189</v>
      </c>
      <c r="N31" s="185">
        <f t="shared" si="14"/>
        <v>0.47340404471009595</v>
      </c>
      <c r="O31" s="164">
        <f t="shared" si="14"/>
        <v>0.46972723507509961</v>
      </c>
      <c r="P31" s="164">
        <f t="shared" si="14"/>
        <v>0.46264901915939433</v>
      </c>
      <c r="Q31" s="164">
        <f t="shared" si="14"/>
        <v>0.45735900857151607</v>
      </c>
      <c r="R31" s="164">
        <f t="shared" si="14"/>
        <v>0.45515283882412472</v>
      </c>
      <c r="S31" s="164">
        <f t="shared" si="14"/>
        <v>0.45361489049982073</v>
      </c>
      <c r="T31" s="164">
        <f t="shared" si="14"/>
        <v>0.44609262760292279</v>
      </c>
      <c r="U31" s="164">
        <f t="shared" si="14"/>
        <v>0.43515570875878878</v>
      </c>
      <c r="V31" s="164">
        <f t="shared" si="14"/>
        <v>0.43411437676166509</v>
      </c>
      <c r="W31" s="164">
        <f t="shared" si="14"/>
        <v>0.42609263641308937</v>
      </c>
      <c r="X31" s="185">
        <f t="shared" si="14"/>
        <v>0.4299460758614263</v>
      </c>
      <c r="Y31" s="172">
        <f t="shared" si="14"/>
        <v>0.43269950787425948</v>
      </c>
      <c r="Z31" s="172">
        <f t="shared" si="14"/>
        <v>0.44011558113919902</v>
      </c>
      <c r="AA31" s="172">
        <f t="shared" si="14"/>
        <v>0.44679295968839228</v>
      </c>
      <c r="AB31" s="172">
        <f t="shared" si="14"/>
        <v>0.45133114994411844</v>
      </c>
      <c r="AC31" s="172">
        <f t="shared" si="14"/>
        <v>0.44863584914698185</v>
      </c>
      <c r="AD31" s="172">
        <f t="shared" si="14"/>
        <v>0.44582128279449773</v>
      </c>
      <c r="AE31" s="172">
        <f t="shared" si="14"/>
        <v>0.44367355012326581</v>
      </c>
      <c r="AF31" s="172">
        <f t="shared" si="14"/>
        <v>0.44093714656239336</v>
      </c>
      <c r="AG31" s="172">
        <f t="shared" si="14"/>
        <v>0.43830743098888508</v>
      </c>
      <c r="AH31" s="172">
        <f t="shared" si="14"/>
        <v>0.43016865202763888</v>
      </c>
    </row>
    <row r="32" spans="1:34">
      <c r="A32" s="9" t="s">
        <v>348</v>
      </c>
      <c r="B32" s="37"/>
      <c r="C32" s="332">
        <f t="shared" ref="C32:K32" si="15">C14/C$18</f>
        <v>0</v>
      </c>
      <c r="D32" s="332">
        <f t="shared" si="15"/>
        <v>0</v>
      </c>
      <c r="E32" s="332">
        <f t="shared" si="15"/>
        <v>3.1581166143514276E-4</v>
      </c>
      <c r="F32" s="332">
        <f t="shared" si="15"/>
        <v>3.1222432823108825E-4</v>
      </c>
      <c r="G32" s="332">
        <f t="shared" si="15"/>
        <v>2.984551520903215E-4</v>
      </c>
      <c r="H32" s="164">
        <f t="shared" si="15"/>
        <v>2.9318913389037065E-4</v>
      </c>
      <c r="I32" s="164">
        <f t="shared" si="15"/>
        <v>2.8678622820312336E-4</v>
      </c>
      <c r="J32" s="164">
        <f t="shared" si="15"/>
        <v>2.8013163532113379E-4</v>
      </c>
      <c r="K32" s="164">
        <f t="shared" si="15"/>
        <v>2.7659711678296211E-4</v>
      </c>
      <c r="L32" s="164">
        <f t="shared" si="7"/>
        <v>2.7591937382122166E-4</v>
      </c>
      <c r="M32" s="164">
        <f t="shared" ref="M32:AH32" si="16">M14/M$18</f>
        <v>2.7640162935193364E-4</v>
      </c>
      <c r="N32" s="185">
        <f t="shared" si="16"/>
        <v>2.7898511826602841E-4</v>
      </c>
      <c r="O32" s="164">
        <f t="shared" si="16"/>
        <v>2.802029366093321E-4</v>
      </c>
      <c r="P32" s="164">
        <f t="shared" si="16"/>
        <v>2.8391089768907434E-4</v>
      </c>
      <c r="Q32" s="164">
        <f t="shared" si="16"/>
        <v>2.8669095135805503E-4</v>
      </c>
      <c r="R32" s="164">
        <f t="shared" si="16"/>
        <v>2.8775243407578465E-4</v>
      </c>
      <c r="S32" s="164">
        <f t="shared" si="16"/>
        <v>2.8778773860813165E-4</v>
      </c>
      <c r="T32" s="164">
        <f t="shared" si="16"/>
        <v>2.9160677124116764E-4</v>
      </c>
      <c r="U32" s="164">
        <f t="shared" si="16"/>
        <v>2.9769749662167334E-4</v>
      </c>
      <c r="V32" s="164">
        <f t="shared" si="16"/>
        <v>2.9665339353044198E-4</v>
      </c>
      <c r="W32" s="164">
        <f t="shared" si="16"/>
        <v>3.0155366175422843E-4</v>
      </c>
      <c r="X32" s="185">
        <f t="shared" si="16"/>
        <v>2.9947259045581939E-4</v>
      </c>
      <c r="Y32" s="172">
        <f t="shared" si="16"/>
        <v>2.9711286155722697E-4</v>
      </c>
      <c r="Z32" s="172">
        <f t="shared" si="16"/>
        <v>2.9324087533036359E-4</v>
      </c>
      <c r="AA32" s="172">
        <f t="shared" si="16"/>
        <v>2.8946375674654184E-4</v>
      </c>
      <c r="AB32" s="172">
        <f t="shared" si="16"/>
        <v>2.8753756252283645E-4</v>
      </c>
      <c r="AC32" s="172">
        <f t="shared" si="16"/>
        <v>2.8882461579465325E-4</v>
      </c>
      <c r="AD32" s="172">
        <f t="shared" si="16"/>
        <v>2.8949633516907005E-4</v>
      </c>
      <c r="AE32" s="172">
        <f t="shared" si="16"/>
        <v>2.8981959571804501E-4</v>
      </c>
      <c r="AF32" s="172">
        <f t="shared" si="16"/>
        <v>2.9058795410793521E-4</v>
      </c>
      <c r="AG32" s="172">
        <f t="shared" si="16"/>
        <v>2.9250221645722642E-4</v>
      </c>
      <c r="AH32" s="172">
        <f t="shared" si="16"/>
        <v>2.964517788023273E-4</v>
      </c>
    </row>
    <row r="33" spans="1:36">
      <c r="A33" s="9" t="s">
        <v>344</v>
      </c>
      <c r="B33" s="37"/>
      <c r="C33" s="332">
        <f t="shared" ref="C33:K33" si="17">C15/C$18</f>
        <v>6.8960761326805056E-5</v>
      </c>
      <c r="D33" s="332">
        <f t="shared" si="17"/>
        <v>3.3922453271820622E-5</v>
      </c>
      <c r="E33" s="332">
        <f t="shared" si="17"/>
        <v>3.1581166143514278E-5</v>
      </c>
      <c r="F33" s="332">
        <f t="shared" si="17"/>
        <v>3.1222432823108822E-5</v>
      </c>
      <c r="G33" s="332">
        <f t="shared" si="17"/>
        <v>2.9845515209032148E-5</v>
      </c>
      <c r="H33" s="164">
        <f t="shared" si="17"/>
        <v>2.9318913389037063E-5</v>
      </c>
      <c r="I33" s="164">
        <f t="shared" si="17"/>
        <v>2.8678622820312334E-5</v>
      </c>
      <c r="J33" s="164">
        <f t="shared" si="17"/>
        <v>2.8013163532113379E-5</v>
      </c>
      <c r="K33" s="164">
        <f t="shared" si="17"/>
        <v>2.7659711678296207E-5</v>
      </c>
      <c r="L33" s="164">
        <f t="shared" si="7"/>
        <v>2.7591937382122164E-5</v>
      </c>
      <c r="M33" s="164">
        <f t="shared" ref="M33:AH33" si="18">M15/M$18</f>
        <v>2.7640162935193362E-5</v>
      </c>
      <c r="N33" s="185">
        <f t="shared" si="18"/>
        <v>2.7898511826602839E-5</v>
      </c>
      <c r="O33" s="164">
        <f t="shared" si="18"/>
        <v>2.8020293660933206E-5</v>
      </c>
      <c r="P33" s="164">
        <f t="shared" si="18"/>
        <v>2.8391089768907432E-5</v>
      </c>
      <c r="Q33" s="164">
        <f t="shared" si="18"/>
        <v>2.86690951358055E-5</v>
      </c>
      <c r="R33" s="164">
        <f t="shared" si="18"/>
        <v>2.8775243407578467E-5</v>
      </c>
      <c r="S33" s="164">
        <f t="shared" si="18"/>
        <v>2.8778773860813163E-5</v>
      </c>
      <c r="T33" s="164">
        <f t="shared" si="18"/>
        <v>2.9160677124116762E-5</v>
      </c>
      <c r="U33" s="164">
        <f t="shared" si="18"/>
        <v>2.9769749662167334E-5</v>
      </c>
      <c r="V33" s="164">
        <f t="shared" si="18"/>
        <v>2.9665339353044198E-5</v>
      </c>
      <c r="W33" s="164">
        <f t="shared" si="18"/>
        <v>3.0155366175422844E-5</v>
      </c>
      <c r="X33" s="185">
        <f t="shared" si="18"/>
        <v>2.9947259045581938E-5</v>
      </c>
      <c r="Y33" s="172">
        <f t="shared" si="18"/>
        <v>2.9711286155722694E-5</v>
      </c>
      <c r="Z33" s="172">
        <f t="shared" si="18"/>
        <v>2.9324087533036357E-5</v>
      </c>
      <c r="AA33" s="172">
        <f t="shared" si="18"/>
        <v>2.894637567465418E-5</v>
      </c>
      <c r="AB33" s="172">
        <f t="shared" si="18"/>
        <v>2.8753756252283646E-5</v>
      </c>
      <c r="AC33" s="172">
        <f t="shared" si="18"/>
        <v>2.8882461579465326E-5</v>
      </c>
      <c r="AD33" s="172">
        <f t="shared" si="18"/>
        <v>2.8949633516907004E-5</v>
      </c>
      <c r="AE33" s="172">
        <f t="shared" si="18"/>
        <v>2.8981959571804498E-5</v>
      </c>
      <c r="AF33" s="172">
        <f t="shared" si="18"/>
        <v>2.9058795410793524E-5</v>
      </c>
      <c r="AG33" s="172">
        <f t="shared" si="18"/>
        <v>2.9250221645722642E-5</v>
      </c>
      <c r="AH33" s="172">
        <f t="shared" si="18"/>
        <v>2.9645177880232731E-5</v>
      </c>
    </row>
    <row r="34" spans="1:36">
      <c r="A34" s="9" t="s">
        <v>53</v>
      </c>
      <c r="B34" s="37"/>
      <c r="C34" s="332">
        <f t="shared" ref="C34:K34" si="19">C16/C$18</f>
        <v>0</v>
      </c>
      <c r="D34" s="332">
        <f t="shared" si="19"/>
        <v>1.0176735981546187E-2</v>
      </c>
      <c r="E34" s="332">
        <f t="shared" si="19"/>
        <v>2.6913634379899698E-3</v>
      </c>
      <c r="F34" s="332">
        <f t="shared" si="19"/>
        <v>3.9668955196338626E-3</v>
      </c>
      <c r="G34" s="332">
        <f t="shared" si="19"/>
        <v>6.2978664604165149E-3</v>
      </c>
      <c r="H34" s="164">
        <f t="shared" si="19"/>
        <v>6.2784495245018692E-3</v>
      </c>
      <c r="I34" s="164">
        <f t="shared" si="19"/>
        <v>1.5181244780221306E-2</v>
      </c>
      <c r="J34" s="164">
        <f t="shared" si="19"/>
        <v>2.079170120410009E-2</v>
      </c>
      <c r="K34" s="164">
        <f t="shared" si="19"/>
        <v>2.0528902862460376E-2</v>
      </c>
      <c r="L34" s="164">
        <f t="shared" si="7"/>
        <v>2.0472278333151437E-2</v>
      </c>
      <c r="M34" s="164">
        <f t="shared" ref="M34:AH34" si="20">M16/M$18</f>
        <v>2.0509045914465483E-2</v>
      </c>
      <c r="N34" s="185">
        <f t="shared" si="20"/>
        <v>2.0705070480092829E-2</v>
      </c>
      <c r="O34" s="164">
        <f t="shared" si="20"/>
        <v>2.0793285829208082E-2</v>
      </c>
      <c r="P34" s="164">
        <f t="shared" si="20"/>
        <v>2.1067089355155853E-2</v>
      </c>
      <c r="Q34" s="164">
        <f t="shared" si="20"/>
        <v>2.1280317572677006E-2</v>
      </c>
      <c r="R34" s="164">
        <f t="shared" si="20"/>
        <v>2.1379736845483631E-2</v>
      </c>
      <c r="S34" s="164">
        <f t="shared" si="20"/>
        <v>2.1369111391643693E-2</v>
      </c>
      <c r="T34" s="164">
        <f t="shared" si="20"/>
        <v>2.1755590078879616E-2</v>
      </c>
      <c r="U34" s="164">
        <f t="shared" si="20"/>
        <v>2.2288545632554023E-2</v>
      </c>
      <c r="V34" s="164">
        <f t="shared" si="20"/>
        <v>2.2603249251161844E-2</v>
      </c>
      <c r="W34" s="164">
        <f t="shared" si="20"/>
        <v>2.3416849032122336E-2</v>
      </c>
      <c r="X34" s="185">
        <f t="shared" si="20"/>
        <v>2.3365329492930853E-2</v>
      </c>
      <c r="Y34" s="172">
        <f t="shared" si="20"/>
        <v>2.3195797564023179E-2</v>
      </c>
      <c r="Z34" s="172">
        <f t="shared" si="20"/>
        <v>2.2906446979237056E-2</v>
      </c>
      <c r="AA34" s="172">
        <f t="shared" si="20"/>
        <v>2.2943680891919355E-2</v>
      </c>
      <c r="AB34" s="172">
        <f t="shared" si="20"/>
        <v>2.3228931787801489E-2</v>
      </c>
      <c r="AC34" s="172">
        <f t="shared" si="20"/>
        <v>2.34918417726643E-2</v>
      </c>
      <c r="AD34" s="172">
        <f t="shared" si="20"/>
        <v>2.4902397426489378E-2</v>
      </c>
      <c r="AE34" s="172">
        <f t="shared" si="20"/>
        <v>2.594817618975432E-2</v>
      </c>
      <c r="AF34" s="172">
        <f t="shared" si="20"/>
        <v>2.6140583392665073E-2</v>
      </c>
      <c r="AG34" s="172">
        <f t="shared" si="20"/>
        <v>2.6583057811312479E-2</v>
      </c>
      <c r="AH34" s="172">
        <f t="shared" si="20"/>
        <v>2.7339739025714186E-2</v>
      </c>
    </row>
    <row r="35" spans="1:36">
      <c r="A35" s="10"/>
      <c r="B35" s="37"/>
      <c r="C35" s="332"/>
      <c r="D35" s="332"/>
      <c r="E35" s="332"/>
      <c r="F35" s="332"/>
      <c r="G35" s="332"/>
      <c r="H35" s="164"/>
      <c r="I35" s="164"/>
      <c r="J35" s="164"/>
      <c r="K35" s="164"/>
      <c r="L35" s="164"/>
      <c r="M35" s="164"/>
      <c r="N35" s="183"/>
      <c r="O35" s="164"/>
      <c r="P35" s="164"/>
      <c r="Q35" s="164"/>
      <c r="R35" s="164"/>
      <c r="S35" s="164"/>
      <c r="T35" s="164"/>
      <c r="U35" s="164"/>
      <c r="V35" s="164"/>
      <c r="W35" s="164"/>
      <c r="X35" s="185"/>
    </row>
    <row r="36" spans="1:36">
      <c r="A36" s="10"/>
      <c r="B36" s="37"/>
      <c r="C36" s="332"/>
      <c r="D36" s="332"/>
      <c r="E36" s="332"/>
      <c r="F36" s="332"/>
      <c r="G36" s="332"/>
      <c r="H36" s="164"/>
      <c r="I36" s="164"/>
      <c r="J36" s="164"/>
      <c r="K36" s="164"/>
      <c r="L36" s="164"/>
      <c r="M36" s="164"/>
      <c r="N36" s="183"/>
      <c r="O36" s="164"/>
      <c r="P36" s="164"/>
      <c r="Q36" s="164"/>
      <c r="R36" s="164"/>
      <c r="S36" s="164"/>
      <c r="T36" s="164"/>
      <c r="U36" s="164"/>
      <c r="V36" s="164"/>
      <c r="W36" s="164"/>
      <c r="X36" s="185"/>
    </row>
    <row r="37" spans="1:36">
      <c r="A37" s="10"/>
      <c r="B37" s="37"/>
      <c r="C37" s="332"/>
      <c r="D37" s="332"/>
      <c r="E37" s="332"/>
      <c r="F37" s="332"/>
      <c r="G37" s="332"/>
      <c r="H37" s="164"/>
      <c r="I37" s="164"/>
      <c r="J37" s="164"/>
      <c r="K37" s="164"/>
      <c r="L37" s="164"/>
      <c r="M37" s="164"/>
      <c r="N37" s="183"/>
      <c r="O37" s="164"/>
      <c r="P37" s="164"/>
      <c r="Q37" s="164"/>
      <c r="R37" s="164"/>
      <c r="S37" s="164"/>
      <c r="T37" s="164"/>
      <c r="U37" s="164"/>
      <c r="V37" s="164"/>
      <c r="W37" s="164"/>
      <c r="X37" s="185"/>
    </row>
    <row r="38" spans="1:36">
      <c r="A38" s="10"/>
      <c r="B38" s="37"/>
      <c r="C38" s="332"/>
      <c r="D38" s="332"/>
      <c r="E38" s="332"/>
      <c r="F38" s="332"/>
      <c r="G38" s="332"/>
      <c r="H38" s="164"/>
      <c r="I38" s="164"/>
      <c r="J38" s="164"/>
      <c r="K38" s="164"/>
      <c r="L38" s="164"/>
      <c r="M38" s="164"/>
      <c r="N38" s="183"/>
      <c r="O38" s="164"/>
      <c r="P38" s="164"/>
      <c r="Q38" s="164"/>
      <c r="R38" s="164"/>
      <c r="S38" s="164"/>
      <c r="T38" s="164"/>
      <c r="U38" s="164"/>
      <c r="V38" s="164"/>
      <c r="W38" s="164"/>
      <c r="X38" s="185"/>
    </row>
    <row r="39" spans="1:36">
      <c r="A39" s="1" t="s">
        <v>139</v>
      </c>
      <c r="B39" s="13"/>
      <c r="D39" s="333"/>
      <c r="E39" s="333"/>
      <c r="F39" s="333"/>
      <c r="G39" s="333"/>
      <c r="H39" s="16"/>
      <c r="I39" s="16"/>
      <c r="J39" s="16"/>
      <c r="K39" s="16"/>
      <c r="L39" s="16"/>
      <c r="M39" s="16"/>
      <c r="N39" s="389" t="s">
        <v>0</v>
      </c>
    </row>
    <row r="40" spans="1:36" ht="15">
      <c r="A40" s="8" t="s">
        <v>61</v>
      </c>
      <c r="B40" s="34">
        <v>0</v>
      </c>
      <c r="C40" s="331">
        <f>C5*Inputs!$C$44</f>
        <v>0</v>
      </c>
      <c r="D40" s="331">
        <f>D5*Inputs!$C$44</f>
        <v>0</v>
      </c>
      <c r="E40" s="331">
        <f>E5*Inputs!$C$44</f>
        <v>0</v>
      </c>
      <c r="F40" s="331">
        <f>F5*Inputs!$C$44</f>
        <v>0</v>
      </c>
      <c r="G40" s="331">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1">
        <f>C6*Inputs!$C$47</f>
        <v>0</v>
      </c>
      <c r="D41" s="331">
        <f>D6*Inputs!$C$47</f>
        <v>0</v>
      </c>
      <c r="E41" s="331" t="s">
        <v>376</v>
      </c>
      <c r="F41" s="331">
        <f>F6*Inputs!$C$47</f>
        <v>0</v>
      </c>
      <c r="G41" s="331">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1">
        <f>C7*Inputs!$C$48</f>
        <v>0.74850000000000005</v>
      </c>
      <c r="D42" s="331">
        <f>D7*Inputs!$C$48</f>
        <v>0.59850000000000003</v>
      </c>
      <c r="E42" s="331">
        <f>E7*Inputs!$C$48</f>
        <v>0.73593754193976135</v>
      </c>
      <c r="F42" s="331">
        <f>F7*Inputs!$C$48</f>
        <v>0.62003726067859699</v>
      </c>
      <c r="G42" s="331">
        <f>G7*Inputs!$C$48</f>
        <v>0.60110560873993779</v>
      </c>
      <c r="H42" s="14">
        <f>H7*Inputs!$C$48</f>
        <v>0.6112505507710444</v>
      </c>
      <c r="I42" s="14">
        <f>I7*Inputs!$C$48</f>
        <v>0.62335308144007362</v>
      </c>
      <c r="J42" s="14">
        <f>J7*Inputs!$C$48</f>
        <v>0.63551297487191372</v>
      </c>
      <c r="K42" s="14">
        <f>K7*Inputs!$C$48</f>
        <v>0.64205207676133258</v>
      </c>
      <c r="L42" s="14">
        <f>L7*Inputs!$C$48</f>
        <v>0.64205232983234484</v>
      </c>
      <c r="M42" s="14">
        <f>M7*Inputs!$C$48</f>
        <v>0.64205241418934922</v>
      </c>
      <c r="N42" s="190">
        <f>N7*Inputs!$C$48</f>
        <v>0.64205207676133258</v>
      </c>
      <c r="O42" s="14">
        <f>O7*Inputs!$C$48</f>
        <v>0.64205207676133258</v>
      </c>
      <c r="P42" s="14">
        <f>P7*Inputs!$C$48</f>
        <v>0.64205224547534079</v>
      </c>
      <c r="Q42" s="14">
        <f>Q7*Inputs!$C$48</f>
        <v>0.67391540436264952</v>
      </c>
      <c r="R42" s="14">
        <f>R7*Inputs!$C$48</f>
        <v>0.67391532000564536</v>
      </c>
      <c r="S42" s="14">
        <f>S7*Inputs!$C$48</f>
        <v>0.67391607921868257</v>
      </c>
      <c r="T42" s="14">
        <f>T7*Inputs!$C$48</f>
        <v>0.67391751328775296</v>
      </c>
      <c r="U42" s="14">
        <f>U7*Inputs!$C$48</f>
        <v>0.67863231060578011</v>
      </c>
      <c r="V42" s="14">
        <f>V7*Inputs!$C$48</f>
        <v>0.68333884093740205</v>
      </c>
      <c r="W42" s="14">
        <f>W7*Inputs!$C$48</f>
        <v>0.68333960015043937</v>
      </c>
      <c r="X42" s="187">
        <f>X7*Inputs!$C$48</f>
        <v>0.68333951579343499</v>
      </c>
      <c r="Y42" s="14">
        <f>Y7*Inputs!$C$48</f>
        <v>0.68333960015043937</v>
      </c>
      <c r="Z42" s="14">
        <f>Z7*Inputs!$C$48</f>
        <v>0.68333976886444758</v>
      </c>
      <c r="AA42" s="14">
        <f>AA7*Inputs!$C$48</f>
        <v>0.683338756580398</v>
      </c>
      <c r="AB42" s="14">
        <f>AB7*Inputs!$C$48</f>
        <v>0.683338756580398</v>
      </c>
      <c r="AC42" s="14">
        <f>AC7*Inputs!$C$48</f>
        <v>0.683338756580398</v>
      </c>
      <c r="AD42" s="14">
        <f>AD7*Inputs!$C$48</f>
        <v>0.68675133482561557</v>
      </c>
      <c r="AE42" s="14">
        <f>AE7*Inputs!$C$48</f>
        <v>0.68675133482561557</v>
      </c>
      <c r="AF42" s="14">
        <f>AF7*Inputs!$C$48</f>
        <v>0.68675133482561557</v>
      </c>
      <c r="AG42" s="14">
        <f>AG7*Inputs!$C$48</f>
        <v>0.68675133482561557</v>
      </c>
      <c r="AH42" s="14">
        <f>AH7*Inputs!$C$48</f>
        <v>0.68675217839565705</v>
      </c>
    </row>
    <row r="43" spans="1:36" ht="15">
      <c r="A43" s="8" t="s">
        <v>59</v>
      </c>
      <c r="B43" s="34">
        <v>0</v>
      </c>
      <c r="C43" s="331">
        <f>C8*Inputs!$C$53</f>
        <v>0</v>
      </c>
      <c r="D43" s="331">
        <f>D8*Inputs!$C$53</f>
        <v>0</v>
      </c>
      <c r="E43" s="331">
        <f>E8*Inputs!$C$53</f>
        <v>0</v>
      </c>
      <c r="F43" s="331">
        <f>F8*Inputs!$C$53</f>
        <v>0</v>
      </c>
      <c r="G43" s="331">
        <f>G8*Inputs!$C$53</f>
        <v>0</v>
      </c>
      <c r="H43" s="14">
        <f>H8*Inputs!$C$53</f>
        <v>0</v>
      </c>
      <c r="I43" s="14">
        <f>I8*Inputs!$C$53</f>
        <v>0</v>
      </c>
      <c r="J43" s="14">
        <f>J8*Inputs!$C$53</f>
        <v>0</v>
      </c>
      <c r="K43" s="14">
        <f>K8*Inputs!$C$53</f>
        <v>0</v>
      </c>
      <c r="L43" s="14">
        <f>L8*Inputs!$C$53</f>
        <v>0</v>
      </c>
      <c r="M43" s="14">
        <f>M8*Inputs!$C$53</f>
        <v>0</v>
      </c>
      <c r="N43" s="190">
        <f>N8*Inputs!$C$53</f>
        <v>0</v>
      </c>
      <c r="O43" s="14">
        <f>O8*Inputs!$C$53</f>
        <v>0</v>
      </c>
      <c r="P43" s="14">
        <f>P8*Inputs!$C$53</f>
        <v>0</v>
      </c>
      <c r="Q43" s="14">
        <f>Q8*Inputs!$C$53</f>
        <v>0</v>
      </c>
      <c r="R43" s="14">
        <f>R8*Inputs!$C$53</f>
        <v>0</v>
      </c>
      <c r="S43" s="14">
        <f>S8*Inputs!$C$53</f>
        <v>0</v>
      </c>
      <c r="T43" s="14">
        <f>T8*Inputs!$C$53</f>
        <v>0</v>
      </c>
      <c r="U43" s="14">
        <f>U8*Inputs!$C$53</f>
        <v>0</v>
      </c>
      <c r="V43" s="14">
        <f>V8*Inputs!$C$53</f>
        <v>0</v>
      </c>
      <c r="W43" s="14">
        <f>W8*Inputs!$C$53</f>
        <v>0</v>
      </c>
      <c r="X43" s="187">
        <f>X8*Inputs!$C$53</f>
        <v>0</v>
      </c>
      <c r="Y43" s="14">
        <f>Y8*Inputs!$C$53</f>
        <v>0</v>
      </c>
      <c r="Z43" s="14">
        <f>Z8*Inputs!$C$53</f>
        <v>0</v>
      </c>
      <c r="AA43" s="14">
        <f>AA8*Inputs!$C$53</f>
        <v>0</v>
      </c>
      <c r="AB43" s="14">
        <f>AB8*Inputs!$C$53</f>
        <v>0</v>
      </c>
      <c r="AC43" s="14">
        <f>AC8*Inputs!$C$53</f>
        <v>0</v>
      </c>
      <c r="AD43" s="14">
        <f>AD8*Inputs!$C$53</f>
        <v>0</v>
      </c>
      <c r="AE43" s="14">
        <f>AE8*Inputs!$C$53</f>
        <v>0</v>
      </c>
      <c r="AF43" s="14">
        <f>AF8*Inputs!$C$53</f>
        <v>0</v>
      </c>
      <c r="AG43" s="14">
        <f>AG8*Inputs!$C$53</f>
        <v>0</v>
      </c>
      <c r="AH43" s="14">
        <f>AH8*Inputs!$C$53</f>
        <v>0</v>
      </c>
    </row>
    <row r="44" spans="1:36" ht="15">
      <c r="A44" s="8" t="s">
        <v>121</v>
      </c>
      <c r="B44" s="34">
        <v>1</v>
      </c>
      <c r="C44" s="331">
        <f>C10*Inputs!$C$46</f>
        <v>0</v>
      </c>
      <c r="D44" s="331">
        <f>D10*Inputs!$C$46</f>
        <v>0</v>
      </c>
      <c r="E44" s="331">
        <f>E10*Inputs!$C$46</f>
        <v>1.0295550300000003</v>
      </c>
      <c r="F44" s="331">
        <f>F10*Inputs!$C$46</f>
        <v>1.0433356499999999</v>
      </c>
      <c r="G44" s="331">
        <f>G10*Inputs!$C$46</f>
        <v>0.86682791999999997</v>
      </c>
      <c r="H44" s="14">
        <f>H10*Inputs!$C$46</f>
        <v>0.89742785999999997</v>
      </c>
      <c r="I44" s="14">
        <f>I10*Inputs!$C$46</f>
        <v>0.95440380000000002</v>
      </c>
      <c r="J44" s="14">
        <f>J10*Inputs!$C$46</f>
        <v>1.2213098099999999</v>
      </c>
      <c r="K44" s="14">
        <f>K10*Inputs!$C$46</f>
        <v>1.2492610200000001</v>
      </c>
      <c r="L44" s="14">
        <f>L10*Inputs!$C$46</f>
        <v>1.2730678799999999</v>
      </c>
      <c r="M44" s="14">
        <f>M10*Inputs!$C$46</f>
        <v>1.3078522799999999</v>
      </c>
      <c r="N44" s="190">
        <f>N10*Inputs!$C$46</f>
        <v>1.3415621099999999</v>
      </c>
      <c r="O44" s="14">
        <f>O10*Inputs!$C$46</f>
        <v>1.4452578</v>
      </c>
      <c r="P44" s="14">
        <f>P10*Inputs!$C$46</f>
        <v>1.45004391</v>
      </c>
      <c r="Q44" s="14">
        <f>Q10*Inputs!$C$46</f>
        <v>1.45182912</v>
      </c>
      <c r="R44" s="14">
        <f>R10*Inputs!$C$46</f>
        <v>1.4649379499999999</v>
      </c>
      <c r="S44" s="14">
        <f>S10*Inputs!$C$46</f>
        <v>1.47016233</v>
      </c>
      <c r="T44" s="14">
        <f>T10*Inputs!$C$46</f>
        <v>1.4826747599999999</v>
      </c>
      <c r="U44" s="14">
        <f>U10*Inputs!$C$46</f>
        <v>1.5362655000000001</v>
      </c>
      <c r="V44" s="14">
        <f>V10*Inputs!$C$46</f>
        <v>1.61934486</v>
      </c>
      <c r="W44" s="14">
        <f>W10*Inputs!$C$46</f>
        <v>1.600284</v>
      </c>
      <c r="X44" s="187">
        <f>X10*Inputs!$C$46</f>
        <v>1.60042134</v>
      </c>
      <c r="Y44" s="14">
        <f>Y10*Inputs!$C$46</f>
        <v>1.6192096199999999</v>
      </c>
      <c r="Z44" s="14">
        <f>Z10*Inputs!$C$46</f>
        <v>1.6170554399999999</v>
      </c>
      <c r="AA44" s="14">
        <f>AA10*Inputs!$C$46</f>
        <v>1.6321279799999999</v>
      </c>
      <c r="AB44" s="14">
        <f>AB10*Inputs!$C$46</f>
        <v>1.6422176399999999</v>
      </c>
      <c r="AC44" s="14">
        <f>AC10*Inputs!$C$46</f>
        <v>1.64866968</v>
      </c>
      <c r="AD44" s="14">
        <f>AD10*Inputs!$C$46</f>
        <v>1.6625345100000002</v>
      </c>
      <c r="AE44" s="14">
        <f>AE10*Inputs!$C$46</f>
        <v>1.7000545799999998</v>
      </c>
      <c r="AF44" s="14">
        <f>AF10*Inputs!$C$46</f>
        <v>1.6774558500000001</v>
      </c>
      <c r="AG44" s="14">
        <f>AG10*Inputs!$C$46</f>
        <v>1.6882542599999999</v>
      </c>
      <c r="AH44" s="14">
        <f>AH10*Inputs!$C$46</f>
        <v>1.69969401</v>
      </c>
    </row>
    <row r="45" spans="1:36" ht="15">
      <c r="A45" s="8" t="s">
        <v>50</v>
      </c>
      <c r="B45" s="34">
        <v>1</v>
      </c>
      <c r="C45" s="331">
        <f>C11*Inputs!$C$49</f>
        <v>0</v>
      </c>
      <c r="D45" s="331">
        <f>D11*Inputs!$C$49</f>
        <v>0</v>
      </c>
      <c r="E45" s="331">
        <f>E11*Inputs!$C$49</f>
        <v>2.5000000000000002E-8</v>
      </c>
      <c r="F45" s="331">
        <f>F11*Inputs!$C$49</f>
        <v>2.5000000000000002E-8</v>
      </c>
      <c r="G45" s="331">
        <f>G11*Inputs!$C$49</f>
        <v>2.5000000000000002E-8</v>
      </c>
      <c r="H45" s="14">
        <f>H11*Inputs!$C$49</f>
        <v>2.5000000000000002E-8</v>
      </c>
      <c r="I45" s="14">
        <f>I11*Inputs!$C$49</f>
        <v>2.5000000000000002E-8</v>
      </c>
      <c r="J45" s="14">
        <f>J11*Inputs!$C$49</f>
        <v>2.5000000000000002E-8</v>
      </c>
      <c r="K45" s="14">
        <f>K11*Inputs!$C$49</f>
        <v>2.5000000000000002E-8</v>
      </c>
      <c r="L45" s="14">
        <f>L11*Inputs!$C$49</f>
        <v>2.5000000000000002E-8</v>
      </c>
      <c r="M45" s="14">
        <f>M11*Inputs!$C$49</f>
        <v>2.5000000000000002E-8</v>
      </c>
      <c r="N45" s="190">
        <f>N11*Inputs!$C$49</f>
        <v>2.5000000000000002E-8</v>
      </c>
      <c r="O45" s="14">
        <f>O11*Inputs!$C$49</f>
        <v>2.5000000000000002E-8</v>
      </c>
      <c r="P45" s="14">
        <f>P11*Inputs!$C$49</f>
        <v>2.5000000000000002E-8</v>
      </c>
      <c r="Q45" s="14">
        <f>Q11*Inputs!$C$49</f>
        <v>2.5000000000000002E-8</v>
      </c>
      <c r="R45" s="14">
        <f>R11*Inputs!$C$49</f>
        <v>2.5000000000000002E-8</v>
      </c>
      <c r="S45" s="14">
        <f>S11*Inputs!$C$49</f>
        <v>2.5000000000000002E-8</v>
      </c>
      <c r="T45" s="14">
        <f>T11*Inputs!$C$49</f>
        <v>2.5000000000000002E-8</v>
      </c>
      <c r="U45" s="14">
        <f>U11*Inputs!$C$49</f>
        <v>2.5000000000000002E-8</v>
      </c>
      <c r="V45" s="14">
        <f>V11*Inputs!$C$49</f>
        <v>2.5000000000000002E-8</v>
      </c>
      <c r="W45" s="14">
        <f>W11*Inputs!$C$49</f>
        <v>2.5000000000000002E-8</v>
      </c>
      <c r="X45" s="187">
        <f>X11*Inputs!$C$49</f>
        <v>2.5000000000000002E-8</v>
      </c>
      <c r="Y45" s="14">
        <f>Y11*Inputs!$C$49</f>
        <v>2.5000000000000002E-8</v>
      </c>
      <c r="Z45" s="14">
        <f>Z11*Inputs!$C$49</f>
        <v>2.5000000000000002E-8</v>
      </c>
      <c r="AA45" s="14">
        <f>AA11*Inputs!$C$49</f>
        <v>2.5000000000000002E-8</v>
      </c>
      <c r="AB45" s="14">
        <f>AB11*Inputs!$C$49</f>
        <v>2.5000000000000002E-8</v>
      </c>
      <c r="AC45" s="14">
        <f>AC11*Inputs!$C$49</f>
        <v>2.5000000000000002E-8</v>
      </c>
      <c r="AD45" s="14">
        <f>AD11*Inputs!$C$49</f>
        <v>2.5000000000000002E-8</v>
      </c>
      <c r="AE45" s="14">
        <f>AE11*Inputs!$C$49</f>
        <v>2.5000000000000002E-8</v>
      </c>
      <c r="AF45" s="14">
        <f>AF11*Inputs!$C$49</f>
        <v>2.5000000000000002E-8</v>
      </c>
      <c r="AG45" s="14">
        <f>AG11*Inputs!$C$49</f>
        <v>2.5000000000000002E-8</v>
      </c>
      <c r="AH45" s="14">
        <f>AH11*Inputs!$C$49</f>
        <v>2.5000000000000002E-8</v>
      </c>
    </row>
    <row r="46" spans="1:36" ht="15">
      <c r="A46" s="8" t="s">
        <v>51</v>
      </c>
      <c r="B46" s="34">
        <v>1</v>
      </c>
      <c r="C46" s="331">
        <f>C12*Inputs!$C$52</f>
        <v>21.75</v>
      </c>
      <c r="D46" s="331">
        <f>D12*Inputs!$C$52</f>
        <v>20.55</v>
      </c>
      <c r="E46" s="331">
        <f>E12*Inputs!$C$52</f>
        <v>22.535757687264436</v>
      </c>
      <c r="F46" s="331">
        <f>F12*Inputs!$C$52</f>
        <v>23.416191685323437</v>
      </c>
      <c r="G46" s="331">
        <f>G12*Inputs!$C$52</f>
        <v>26.244666892497445</v>
      </c>
      <c r="H46" s="14">
        <f>H12*Inputs!$C$52</f>
        <v>26.226987344756324</v>
      </c>
      <c r="I46" s="14">
        <f>I12*Inputs!$C$52</f>
        <v>26.224397585515558</v>
      </c>
      <c r="J46" s="14">
        <f>J12*Inputs!$C$52</f>
        <v>26.224799605903108</v>
      </c>
      <c r="K46" s="14">
        <f>K12*Inputs!$C$52</f>
        <v>26.224874400393816</v>
      </c>
      <c r="L46" s="14">
        <f>L12*Inputs!$C$52</f>
        <v>26.225323167338072</v>
      </c>
      <c r="M46" s="14">
        <f>M12*Inputs!$C$52</f>
        <v>26.225369913894763</v>
      </c>
      <c r="N46" s="190">
        <f>N12*Inputs!$C$52</f>
        <v>26.225126831799958</v>
      </c>
      <c r="O46" s="14">
        <f>O12*Inputs!$C$52</f>
        <v>26.224949194884527</v>
      </c>
      <c r="P46" s="14">
        <f>P12*Inputs!$C$52</f>
        <v>26.224827653837128</v>
      </c>
      <c r="Q46" s="14">
        <f>Q12*Inputs!$C$52</f>
        <v>26.224668715544375</v>
      </c>
      <c r="R46" s="14">
        <f>R12*Inputs!$C$52</f>
        <v>26.224500427940274</v>
      </c>
      <c r="S46" s="14">
        <f>S12*Inputs!$C$52</f>
        <v>26.298135604042397</v>
      </c>
      <c r="T46" s="14">
        <f>T12*Inputs!$C$52</f>
        <v>26.29787382332492</v>
      </c>
      <c r="U46" s="14">
        <f>U12*Inputs!$C$52</f>
        <v>26.223771181655877</v>
      </c>
      <c r="V46" s="14">
        <f>V12*Inputs!$C$52</f>
        <v>26.297387659135321</v>
      </c>
      <c r="W46" s="14">
        <f>W12*Inputs!$C$52</f>
        <v>26.223154127107534</v>
      </c>
      <c r="X46" s="187">
        <f>X12*Inputs!$C$52</f>
        <v>26.222911045012733</v>
      </c>
      <c r="Y46" s="14">
        <f>Y12*Inputs!$C$52</f>
        <v>26.296518173180839</v>
      </c>
      <c r="Z46" s="14">
        <f>Z12*Inputs!$C$52</f>
        <v>26.296218995218005</v>
      </c>
      <c r="AA46" s="14">
        <f>AA12*Inputs!$C$52</f>
        <v>26.295919817255172</v>
      </c>
      <c r="AB46" s="14">
        <f>AB12*Inputs!$C$52</f>
        <v>26.221162723792432</v>
      </c>
      <c r="AC46" s="14">
        <f>AC12*Inputs!$C$52</f>
        <v>26.220732655470854</v>
      </c>
      <c r="AD46" s="14">
        <f>AD12*Inputs!$C$52</f>
        <v>26.2199660119411</v>
      </c>
      <c r="AE46" s="14">
        <f>AE12*Inputs!$C$52</f>
        <v>26.219610738110237</v>
      </c>
      <c r="AF46" s="14">
        <f>AF12*Inputs!$C$52</f>
        <v>26.294489372620379</v>
      </c>
      <c r="AG46" s="14">
        <f>AG12*Inputs!$C$52</f>
        <v>26.218909539759849</v>
      </c>
      <c r="AH46" s="14">
        <f>AH12*Inputs!$C$52</f>
        <v>26.218666457665044</v>
      </c>
    </row>
    <row r="47" spans="1:36" ht="15">
      <c r="A47" s="8" t="s">
        <v>347</v>
      </c>
      <c r="B47" s="34">
        <v>1</v>
      </c>
      <c r="C47" s="331">
        <f>C13*Inputs!$C$54</f>
        <v>0</v>
      </c>
      <c r="D47" s="331">
        <f>D13*Inputs!$C$54</f>
        <v>122.2762</v>
      </c>
      <c r="E47" s="331">
        <f>E13*Inputs!$C$54</f>
        <v>126.82753690268238</v>
      </c>
      <c r="F47" s="331">
        <f>F13*Inputs!$C$54</f>
        <v>124.68238207980089</v>
      </c>
      <c r="G47" s="331">
        <f>G13*Inputs!$C$54</f>
        <v>121.45962657817978</v>
      </c>
      <c r="H47" s="14">
        <f>H13*Inputs!$C$54</f>
        <v>126.16717030968594</v>
      </c>
      <c r="I47" s="14">
        <f>I13*Inputs!$C$54</f>
        <v>129.49214378213611</v>
      </c>
      <c r="J47" s="14">
        <f>J13*Inputs!$C$54</f>
        <v>133.34817413421973</v>
      </c>
      <c r="K47" s="14">
        <f>K13*Inputs!$C$54</f>
        <v>136.84645347505742</v>
      </c>
      <c r="L47" s="14">
        <f>L13*Inputs!$C$54</f>
        <v>137.45789700890339</v>
      </c>
      <c r="M47" s="14">
        <f>M13*Inputs!$C$54</f>
        <v>136.82696050148039</v>
      </c>
      <c r="N47" s="190">
        <f>N13*Inputs!$C$54</f>
        <v>134.05345691749608</v>
      </c>
      <c r="O47" s="14">
        <f>O13*Inputs!$C$54</f>
        <v>132.43419936983267</v>
      </c>
      <c r="P47" s="14">
        <f>P13*Inputs!$C$54</f>
        <v>128.73501091747164</v>
      </c>
      <c r="Q47" s="14">
        <f>Q13*Inputs!$C$54</f>
        <v>126.02895733540078</v>
      </c>
      <c r="R47" s="14">
        <f>R13*Inputs!$C$54</f>
        <v>124.95836701640523</v>
      </c>
      <c r="S47" s="14">
        <f>S13*Inputs!$C$54</f>
        <v>124.52085875097558</v>
      </c>
      <c r="T47" s="14">
        <f>T13*Inputs!$C$54</f>
        <v>120.85219225408612</v>
      </c>
      <c r="U47" s="14">
        <f>U13*Inputs!$C$54</f>
        <v>115.47729282934635</v>
      </c>
      <c r="V47" s="14">
        <f>V13*Inputs!$C$54</f>
        <v>115.60641648500898</v>
      </c>
      <c r="W47" s="14">
        <f>W13*Inputs!$C$54</f>
        <v>111.62629589976137</v>
      </c>
      <c r="X47" s="187">
        <f>X13*Inputs!$C$54</f>
        <v>113.41852668838347</v>
      </c>
      <c r="Y47" s="14">
        <f>Y13*Inputs!$C$54</f>
        <v>115.05143514456194</v>
      </c>
      <c r="Z47" s="14">
        <f>Z13*Inputs!$C$54</f>
        <v>118.56850062538523</v>
      </c>
      <c r="AA47" s="14">
        <f>AA13*Inputs!$C$54</f>
        <v>121.93804230313084</v>
      </c>
      <c r="AB47" s="14">
        <f>AB13*Inputs!$C$54</f>
        <v>124.00174965924182</v>
      </c>
      <c r="AC47" s="14">
        <f>AC13*Inputs!$C$54</f>
        <v>122.71195093637749</v>
      </c>
      <c r="AD47" s="14">
        <f>AD13*Inputs!$C$54</f>
        <v>121.65916131614034</v>
      </c>
      <c r="AE47" s="14">
        <f>AE13*Inputs!$C$54</f>
        <v>120.93802826858226</v>
      </c>
      <c r="AF47" s="14">
        <f>AF13*Inputs!$C$54</f>
        <v>119.87432405918111</v>
      </c>
      <c r="AG47" s="14">
        <f>AG13*Inputs!$C$54</f>
        <v>118.37957150381266</v>
      </c>
      <c r="AH47" s="14">
        <f>AH13*Inputs!$C$54</f>
        <v>114.63356248856715</v>
      </c>
    </row>
    <row r="48" spans="1:36" ht="15">
      <c r="A48" s="8" t="s">
        <v>348</v>
      </c>
      <c r="B48" s="34">
        <v>1</v>
      </c>
      <c r="C48" s="331">
        <f>C14*Inputs!$C$55</f>
        <v>0</v>
      </c>
      <c r="D48" s="331">
        <f>D14*Inputs!$C$55</f>
        <v>0</v>
      </c>
      <c r="E48" s="331">
        <f>E14*Inputs!$C$55</f>
        <v>2.3000000000000003E-2</v>
      </c>
      <c r="F48" s="331">
        <f>F14*Inputs!$C$55</f>
        <v>2.3000000000000003E-2</v>
      </c>
      <c r="G48" s="331">
        <f>G14*Inputs!$C$55</f>
        <v>2.3000000000000003E-2</v>
      </c>
      <c r="H48" s="14">
        <f>H14*Inputs!$C$55</f>
        <v>2.3000000000000003E-2</v>
      </c>
      <c r="I48" s="14">
        <f>I14*Inputs!$C$55</f>
        <v>2.3000000000000003E-2</v>
      </c>
      <c r="J48" s="14">
        <f>J14*Inputs!$C$55</f>
        <v>2.3000000000000003E-2</v>
      </c>
      <c r="K48" s="14">
        <f>K14*Inputs!$C$55</f>
        <v>2.3000000000000003E-2</v>
      </c>
      <c r="L48" s="14">
        <f>L14*Inputs!$C$55</f>
        <v>2.3000000000000003E-2</v>
      </c>
      <c r="M48" s="14">
        <f>M14*Inputs!$C$55</f>
        <v>2.3000000000000003E-2</v>
      </c>
      <c r="N48" s="190">
        <f>N14*Inputs!$C$55</f>
        <v>2.3000000000000003E-2</v>
      </c>
      <c r="O48" s="14">
        <f>O14*Inputs!$C$55</f>
        <v>2.3000000000000003E-2</v>
      </c>
      <c r="P48" s="14">
        <f>P14*Inputs!$C$55</f>
        <v>2.3000000000000003E-2</v>
      </c>
      <c r="Q48" s="14">
        <f>Q14*Inputs!$C$55</f>
        <v>2.3000000000000003E-2</v>
      </c>
      <c r="R48" s="14">
        <f>R14*Inputs!$C$55</f>
        <v>2.3000000000000003E-2</v>
      </c>
      <c r="S48" s="14">
        <f>S14*Inputs!$C$55</f>
        <v>2.3000000000000003E-2</v>
      </c>
      <c r="T48" s="14">
        <f>T14*Inputs!$C$55</f>
        <v>2.3000000000000003E-2</v>
      </c>
      <c r="U48" s="14">
        <f>U14*Inputs!$C$55</f>
        <v>2.3000000000000003E-2</v>
      </c>
      <c r="V48" s="14">
        <f>V14*Inputs!$C$55</f>
        <v>2.3000000000000003E-2</v>
      </c>
      <c r="W48" s="14">
        <f>W14*Inputs!$C$55</f>
        <v>2.3000000000000003E-2</v>
      </c>
      <c r="X48" s="187">
        <f>X14*Inputs!$C$55</f>
        <v>2.3000000000000003E-2</v>
      </c>
      <c r="Y48" s="14">
        <f>Y14*Inputs!$C$55</f>
        <v>2.3000000000000003E-2</v>
      </c>
      <c r="Z48" s="14">
        <f>Z14*Inputs!$C$55</f>
        <v>2.3000000000000003E-2</v>
      </c>
      <c r="AA48" s="14">
        <f>AA14*Inputs!$C$55</f>
        <v>2.3000000000000003E-2</v>
      </c>
      <c r="AB48" s="14">
        <f>AB14*Inputs!$C$55</f>
        <v>2.3000000000000003E-2</v>
      </c>
      <c r="AC48" s="14">
        <f>AC14*Inputs!$C$55</f>
        <v>2.3000000000000003E-2</v>
      </c>
      <c r="AD48" s="14">
        <f>AD14*Inputs!$C$55</f>
        <v>2.3000000000000003E-2</v>
      </c>
      <c r="AE48" s="14">
        <f>AE14*Inputs!$C$55</f>
        <v>2.3000000000000003E-2</v>
      </c>
      <c r="AF48" s="14">
        <f>AF14*Inputs!$C$55</f>
        <v>2.3000000000000003E-2</v>
      </c>
      <c r="AG48" s="14">
        <f>AG14*Inputs!$C$55</f>
        <v>2.3000000000000003E-2</v>
      </c>
      <c r="AH48" s="14">
        <f>AH14*Inputs!$C$55</f>
        <v>2.3000000000000003E-2</v>
      </c>
    </row>
    <row r="49" spans="1:34" ht="15">
      <c r="A49" s="8" t="s">
        <v>344</v>
      </c>
      <c r="B49" s="34">
        <v>1</v>
      </c>
      <c r="C49" s="331">
        <f>C15*Inputs!$C$51</f>
        <v>2.7000000000000001E-3</v>
      </c>
      <c r="D49" s="331">
        <f>D15*Inputs!$C$51</f>
        <v>2.7000000000000001E-3</v>
      </c>
      <c r="E49" s="331">
        <f>E15*Inputs!$C$51</f>
        <v>2.7000000000000001E-3</v>
      </c>
      <c r="F49" s="331">
        <f>F15*Inputs!$C$51</f>
        <v>2.7000000000000001E-3</v>
      </c>
      <c r="G49" s="331">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1">
        <f>C16*Inputs!$C$57</f>
        <v>0</v>
      </c>
      <c r="D50" s="331">
        <f>D16*Inputs!$C$57</f>
        <v>0.51</v>
      </c>
      <c r="E50" s="331">
        <f>E16*Inputs!$C$57</f>
        <v>0.14487488599348533</v>
      </c>
      <c r="F50" s="331">
        <f>F16*Inputs!$C$57</f>
        <v>0.21598965146579804</v>
      </c>
      <c r="G50" s="331">
        <f>G16*Inputs!$C$57</f>
        <v>0.35872635830618887</v>
      </c>
      <c r="H50" s="14">
        <f>H16*Inputs!$C$57</f>
        <v>0.36404364820846896</v>
      </c>
      <c r="I50" s="14">
        <f>I16*Inputs!$C$57</f>
        <v>0.89990779153094458</v>
      </c>
      <c r="J50" s="14">
        <f>J16*Inputs!$C$57</f>
        <v>1.2617601009771986</v>
      </c>
      <c r="K50" s="14">
        <f>K16*Inputs!$C$57</f>
        <v>1.2617316938110748</v>
      </c>
      <c r="L50" s="14">
        <f>L16*Inputs!$C$57</f>
        <v>1.2613421335504884</v>
      </c>
      <c r="M50" s="14">
        <f>M16*Inputs!$C$57</f>
        <v>1.2614027687296416</v>
      </c>
      <c r="N50" s="190">
        <f>N16*Inputs!$C$57</f>
        <v>1.2616665732899022</v>
      </c>
      <c r="O50" s="14">
        <f>O16*Inputs!$C$57</f>
        <v>1.2615351693811074</v>
      </c>
      <c r="P50" s="14">
        <f>P16*Inputs!$C$57</f>
        <v>1.2614539348534199</v>
      </c>
      <c r="Q50" s="14">
        <f>Q16*Inputs!$C$57</f>
        <v>1.2618654234527686</v>
      </c>
      <c r="R50" s="14">
        <f>R16*Inputs!$C$57</f>
        <v>1.2630841074918566</v>
      </c>
      <c r="S50" s="14">
        <f>S16*Inputs!$C$57</f>
        <v>1.2623014983713354</v>
      </c>
      <c r="T50" s="14">
        <f>T16*Inputs!$C$57</f>
        <v>1.2683005602605861</v>
      </c>
      <c r="U50" s="14">
        <f>U16*Inputs!$C$57</f>
        <v>1.2727862345276872</v>
      </c>
      <c r="V50" s="14">
        <f>V16*Inputs!$C$57</f>
        <v>1.295300325732899</v>
      </c>
      <c r="W50" s="14">
        <f>W16*Inputs!$C$57</f>
        <v>1.3201180553745928</v>
      </c>
      <c r="X50" s="187">
        <f>X16*Inputs!$C$57</f>
        <v>1.3263671335504885</v>
      </c>
      <c r="Y50" s="14">
        <f>Y16*Inputs!$C$57</f>
        <v>1.327201241042345</v>
      </c>
      <c r="Z50" s="14">
        <f>Z16*Inputs!$C$57</f>
        <v>1.3279512899022801</v>
      </c>
      <c r="AA50" s="14">
        <f>AA16*Inputs!$C$57</f>
        <v>1.3474660162866448</v>
      </c>
      <c r="AB50" s="14">
        <f>AB16*Inputs!$C$57</f>
        <v>1.3733574039087943</v>
      </c>
      <c r="AC50" s="14">
        <f>AC16*Inputs!$C$57</f>
        <v>1.3827121661237785</v>
      </c>
      <c r="AD50" s="14">
        <f>AD16*Inputs!$C$57</f>
        <v>1.4623354592833873</v>
      </c>
      <c r="AE50" s="14">
        <f>AE16*Inputs!$C$57</f>
        <v>1.5220468241042342</v>
      </c>
      <c r="AF50" s="14">
        <f>AF16*Inputs!$C$57</f>
        <v>1.5292785244299674</v>
      </c>
      <c r="AG50" s="14">
        <f>AG16*Inputs!$C$57</f>
        <v>1.544986524429967</v>
      </c>
      <c r="AH50" s="14">
        <f>AH16*Inputs!$C$57</f>
        <v>1.5677948208469055</v>
      </c>
    </row>
    <row r="51" spans="1:34" s="20" customFormat="1" ht="15">
      <c r="A51" s="8" t="s">
        <v>128</v>
      </c>
      <c r="B51" s="38"/>
      <c r="C51" s="334">
        <f t="shared" ref="C51:AH51" si="21">SUMPRODUCT($B42:$B50,C42:C50)</f>
        <v>21.752700000000001</v>
      </c>
      <c r="D51" s="334">
        <f t="shared" si="21"/>
        <v>143.3389</v>
      </c>
      <c r="E51" s="334">
        <f t="shared" si="21"/>
        <v>150.5634245309403</v>
      </c>
      <c r="F51" s="334">
        <f t="shared" si="21"/>
        <v>149.38359909159013</v>
      </c>
      <c r="G51" s="334">
        <f t="shared" si="21"/>
        <v>148.95554777398343</v>
      </c>
      <c r="H51" s="19">
        <f t="shared" si="21"/>
        <v>153.68132918765076</v>
      </c>
      <c r="I51" s="19">
        <f t="shared" si="21"/>
        <v>157.59655298418261</v>
      </c>
      <c r="J51" s="19">
        <f t="shared" si="21"/>
        <v>162.08174367610005</v>
      </c>
      <c r="K51" s="19">
        <f t="shared" si="21"/>
        <v>165.6080206142623</v>
      </c>
      <c r="L51" s="19">
        <f t="shared" si="21"/>
        <v>166.24333021479197</v>
      </c>
      <c r="M51" s="19">
        <f t="shared" si="21"/>
        <v>165.6472854891048</v>
      </c>
      <c r="N51" s="190">
        <f t="shared" si="21"/>
        <v>162.90751245758597</v>
      </c>
      <c r="O51" s="19">
        <f t="shared" si="21"/>
        <v>161.3916415590983</v>
      </c>
      <c r="P51" s="19">
        <f t="shared" si="21"/>
        <v>157.6970364411622</v>
      </c>
      <c r="Q51" s="19">
        <f t="shared" si="21"/>
        <v>154.99302061939792</v>
      </c>
      <c r="R51" s="19">
        <f t="shared" si="21"/>
        <v>153.93658952683737</v>
      </c>
      <c r="S51" s="19">
        <f t="shared" si="21"/>
        <v>153.57715820838931</v>
      </c>
      <c r="T51" s="19">
        <f t="shared" si="21"/>
        <v>149.92674142267163</v>
      </c>
      <c r="U51" s="19">
        <f t="shared" si="21"/>
        <v>144.53581577052992</v>
      </c>
      <c r="V51" s="19">
        <f t="shared" si="21"/>
        <v>144.8441493548772</v>
      </c>
      <c r="W51" s="19">
        <f t="shared" si="21"/>
        <v>140.79555210724351</v>
      </c>
      <c r="X51" s="182">
        <f t="shared" si="21"/>
        <v>142.59392623194668</v>
      </c>
      <c r="Y51" s="19">
        <f t="shared" si="21"/>
        <v>144.32006420378511</v>
      </c>
      <c r="Z51" s="19">
        <f t="shared" si="21"/>
        <v>147.83542637550551</v>
      </c>
      <c r="AA51" s="19">
        <f t="shared" si="21"/>
        <v>151.23925614167266</v>
      </c>
      <c r="AB51" s="19">
        <f t="shared" si="21"/>
        <v>153.26418745194303</v>
      </c>
      <c r="AC51" s="19">
        <f t="shared" si="21"/>
        <v>151.98976546297212</v>
      </c>
      <c r="AD51" s="19">
        <f t="shared" si="21"/>
        <v>151.02969732236483</v>
      </c>
      <c r="AE51" s="19">
        <f t="shared" si="21"/>
        <v>150.40544043579672</v>
      </c>
      <c r="AF51" s="19">
        <f t="shared" si="21"/>
        <v>149.40124783123144</v>
      </c>
      <c r="AG51" s="19">
        <f t="shared" si="21"/>
        <v>147.85742185300245</v>
      </c>
      <c r="AH51" s="19">
        <f t="shared" si="21"/>
        <v>144.14541780207909</v>
      </c>
    </row>
    <row r="52" spans="1:34" s="20" customFormat="1" ht="15">
      <c r="A52" s="27" t="s">
        <v>329</v>
      </c>
      <c r="B52" s="39"/>
      <c r="C52" s="334">
        <f>SUM(C40:C50)</f>
        <v>22.501200000000001</v>
      </c>
      <c r="D52" s="334">
        <f t="shared" ref="D52:I52" si="22">SUM(D42:D50)</f>
        <v>143.9374</v>
      </c>
      <c r="E52" s="334">
        <f t="shared" si="22"/>
        <v>151.29936207288006</v>
      </c>
      <c r="F52" s="334">
        <f t="shared" si="22"/>
        <v>150.00363635226873</v>
      </c>
      <c r="G52" s="334">
        <f t="shared" si="22"/>
        <v>149.55665338272337</v>
      </c>
      <c r="H52" s="19">
        <f t="shared" si="22"/>
        <v>154.29257973842181</v>
      </c>
      <c r="I52" s="19">
        <f t="shared" si="22"/>
        <v>158.21990606562269</v>
      </c>
      <c r="J52" s="19">
        <f t="shared" ref="J52:AH52" si="23">SUM(J42:J50)</f>
        <v>162.71725665097196</v>
      </c>
      <c r="K52" s="19">
        <f t="shared" si="23"/>
        <v>166.25007269102363</v>
      </c>
      <c r="L52" s="19">
        <f t="shared" si="23"/>
        <v>166.88538254462429</v>
      </c>
      <c r="M52" s="19">
        <f t="shared" si="23"/>
        <v>166.28933790329415</v>
      </c>
      <c r="N52" s="190">
        <f t="shared" si="23"/>
        <v>163.5495645343473</v>
      </c>
      <c r="O52" s="19">
        <f t="shared" si="23"/>
        <v>162.03369363585966</v>
      </c>
      <c r="P52" s="19">
        <f t="shared" si="23"/>
        <v>158.33908868663752</v>
      </c>
      <c r="Q52" s="19">
        <f t="shared" si="23"/>
        <v>155.66693602376057</v>
      </c>
      <c r="R52" s="19">
        <f t="shared" si="23"/>
        <v>154.61050484684301</v>
      </c>
      <c r="S52" s="19">
        <f t="shared" si="23"/>
        <v>154.25107428760799</v>
      </c>
      <c r="T52" s="19">
        <f t="shared" si="23"/>
        <v>150.60065893595939</v>
      </c>
      <c r="U52" s="19">
        <f t="shared" si="23"/>
        <v>145.21444808113571</v>
      </c>
      <c r="V52" s="19">
        <f t="shared" si="23"/>
        <v>145.52748819581461</v>
      </c>
      <c r="W52" s="19">
        <f t="shared" si="23"/>
        <v>141.47889170739393</v>
      </c>
      <c r="X52" s="182">
        <f t="shared" si="23"/>
        <v>143.27726574774013</v>
      </c>
      <c r="Y52" s="19">
        <f t="shared" si="23"/>
        <v>145.00340380393556</v>
      </c>
      <c r="Z52" s="19">
        <f t="shared" si="23"/>
        <v>148.51876614436995</v>
      </c>
      <c r="AA52" s="19">
        <f t="shared" si="23"/>
        <v>151.92259489825304</v>
      </c>
      <c r="AB52" s="19">
        <f t="shared" si="23"/>
        <v>153.94752620852344</v>
      </c>
      <c r="AC52" s="19">
        <f t="shared" si="23"/>
        <v>152.67310421955253</v>
      </c>
      <c r="AD52" s="19">
        <f t="shared" si="23"/>
        <v>151.71644865719045</v>
      </c>
      <c r="AE52" s="19">
        <f t="shared" si="23"/>
        <v>151.09219177062232</v>
      </c>
      <c r="AF52" s="19">
        <f t="shared" si="23"/>
        <v>150.08799916605707</v>
      </c>
      <c r="AG52" s="19">
        <f t="shared" si="23"/>
        <v>148.54417318782808</v>
      </c>
      <c r="AH52" s="19">
        <f t="shared" si="23"/>
        <v>144.83216998047476</v>
      </c>
    </row>
    <row r="53" spans="1:34" s="20" customFormat="1" ht="15">
      <c r="A53" s="27" t="s">
        <v>330</v>
      </c>
      <c r="B53" s="39"/>
      <c r="C53" s="334">
        <f>C20*Inputs!$C$60</f>
        <v>0</v>
      </c>
      <c r="D53" s="334">
        <f>D20*Inputs!$C$60</f>
        <v>0</v>
      </c>
      <c r="E53" s="334">
        <f>E20*Inputs!$C$60</f>
        <v>0</v>
      </c>
      <c r="F53" s="334">
        <f>F20*Inputs!$C$60</f>
        <v>0</v>
      </c>
      <c r="G53" s="334">
        <f>G20*Inputs!$C$60</f>
        <v>0</v>
      </c>
      <c r="H53" s="19">
        <f>H20*Inputs!$C$60</f>
        <v>0</v>
      </c>
      <c r="I53" s="19">
        <f>I20*Inputs!$C$60</f>
        <v>0</v>
      </c>
      <c r="J53" s="19">
        <f>J20*Inputs!$C$60</f>
        <v>0</v>
      </c>
      <c r="K53" s="19">
        <f>K20*Inputs!$C$60</f>
        <v>0</v>
      </c>
      <c r="L53" s="19">
        <f>L20*Inputs!$C$60</f>
        <v>0</v>
      </c>
      <c r="M53" s="19">
        <f>M20*Inputs!$C$60</f>
        <v>0</v>
      </c>
      <c r="N53" s="190">
        <f>N20*Inputs!$C$60</f>
        <v>0</v>
      </c>
      <c r="O53" s="19">
        <f>O20*Inputs!$C$60</f>
        <v>0</v>
      </c>
      <c r="P53" s="19">
        <f>P20*Inputs!$C$60</f>
        <v>0</v>
      </c>
      <c r="Q53" s="19">
        <f>Q20*Inputs!$C$60</f>
        <v>0</v>
      </c>
      <c r="R53" s="19">
        <f>R20*Inputs!$C$60</f>
        <v>0</v>
      </c>
      <c r="S53" s="19">
        <f>S20*Inputs!$C$60</f>
        <v>0</v>
      </c>
      <c r="T53" s="19">
        <f>T20*Inputs!$C$60</f>
        <v>0</v>
      </c>
      <c r="U53" s="19">
        <f>U20*Inputs!$C$60</f>
        <v>0</v>
      </c>
      <c r="V53" s="19">
        <f>V20*Inputs!$C$60</f>
        <v>0</v>
      </c>
      <c r="W53" s="19">
        <f>W20*Inputs!$C$60</f>
        <v>0</v>
      </c>
      <c r="X53" s="182">
        <f>X20*Inputs!$C$60</f>
        <v>0</v>
      </c>
      <c r="Y53" s="19">
        <f>Y20*Inputs!$C$60</f>
        <v>0</v>
      </c>
      <c r="Z53" s="19">
        <f>Z20*Inputs!$C$60</f>
        <v>0</v>
      </c>
      <c r="AA53" s="19">
        <f>AA20*Inputs!$C$60</f>
        <v>0</v>
      </c>
      <c r="AB53" s="19">
        <f>AB20*Inputs!$C$60</f>
        <v>0</v>
      </c>
      <c r="AC53" s="19">
        <f>AC20*Inputs!$C$60</f>
        <v>0</v>
      </c>
      <c r="AD53" s="19">
        <f>AD20*Inputs!$C$60</f>
        <v>0</v>
      </c>
      <c r="AE53" s="19">
        <f>AE20*Inputs!$C$60</f>
        <v>0</v>
      </c>
      <c r="AF53" s="19">
        <f>AF20*Inputs!$C$60</f>
        <v>0</v>
      </c>
      <c r="AG53" s="19">
        <f>AG20*Inputs!$C$60</f>
        <v>0</v>
      </c>
      <c r="AH53" s="19">
        <f>AH20*Inputs!$C$60</f>
        <v>0</v>
      </c>
    </row>
    <row r="54" spans="1:34" s="20" customFormat="1" ht="15">
      <c r="A54" s="27" t="s">
        <v>222</v>
      </c>
      <c r="B54" s="39"/>
      <c r="C54" s="334">
        <f>C21*Inputs!$C$61</f>
        <v>828.3</v>
      </c>
      <c r="D54" s="334">
        <f>D21*Inputs!$C$61</f>
        <v>834.13</v>
      </c>
      <c r="E54" s="334">
        <f>E21*Inputs!$C$61</f>
        <v>864.15594247322304</v>
      </c>
      <c r="F54" s="334">
        <f>F21*Inputs!$C$61</f>
        <v>850.01660996896896</v>
      </c>
      <c r="G54" s="334">
        <f>G21*Inputs!$C$61</f>
        <v>827.30700718804371</v>
      </c>
      <c r="H54" s="19">
        <f>H21*Inputs!$C$61</f>
        <v>859.62132952617299</v>
      </c>
      <c r="I54" s="19">
        <f>I21*Inputs!$C$61</f>
        <v>878.82391236686476</v>
      </c>
      <c r="J54" s="19">
        <f>J21*Inputs!$C$61</f>
        <v>901.80257717650125</v>
      </c>
      <c r="K54" s="19">
        <f>K21*Inputs!$C$61</f>
        <v>926.09761779218741</v>
      </c>
      <c r="L54" s="19">
        <f>L21*Inputs!$C$61</f>
        <v>930.22446212486091</v>
      </c>
      <c r="M54" s="19">
        <f>M21*Inputs!$C$61</f>
        <v>925.6377012510967</v>
      </c>
      <c r="N54" s="190">
        <f>N21*Inputs!$C$61</f>
        <v>906.14725553049652</v>
      </c>
      <c r="O54" s="19">
        <f>O21*Inputs!$C$61</f>
        <v>894.35662079938686</v>
      </c>
      <c r="P54" s="19">
        <f>P21*Inputs!$C$61</f>
        <v>868.57289198915862</v>
      </c>
      <c r="Q54" s="19">
        <f>Q21*Inputs!$C$61</f>
        <v>849.30314066403037</v>
      </c>
      <c r="R54" s="19">
        <f>R21*Inputs!$C$61</f>
        <v>841.7438617251147</v>
      </c>
      <c r="S54" s="19">
        <f>S21*Inputs!$C$61</f>
        <v>838.61380747562271</v>
      </c>
      <c r="T54" s="19">
        <f>T21*Inputs!$C$61</f>
        <v>812.91780159724033</v>
      </c>
      <c r="U54" s="19">
        <f>U21*Inputs!$C$61</f>
        <v>775.08206597779531</v>
      </c>
      <c r="V54" s="19">
        <f>V21*Inputs!$C$61</f>
        <v>775.29432298821155</v>
      </c>
      <c r="W54" s="19">
        <f>W21*Inputs!$C$61</f>
        <v>747.46296875129894</v>
      </c>
      <c r="X54" s="182">
        <f>X21*Inputs!$C$61</f>
        <v>759.82027378637315</v>
      </c>
      <c r="Y54" s="19">
        <f>Y21*Inputs!$C$61</f>
        <v>771.00052767185923</v>
      </c>
      <c r="Z54" s="19">
        <f>Z21*Inputs!$C$61</f>
        <v>795.41626457768302</v>
      </c>
      <c r="AA54" s="19">
        <f>AA21*Inputs!$C$61</f>
        <v>818.59910835616643</v>
      </c>
      <c r="AB54" s="19">
        <f>AB21*Inputs!$C$61</f>
        <v>832.68219641796384</v>
      </c>
      <c r="AC54" s="19">
        <f>AC21*Inputs!$C$61</f>
        <v>823.53339750228417</v>
      </c>
      <c r="AD54" s="19">
        <f>AD21*Inputs!$C$61</f>
        <v>815.50623897062405</v>
      </c>
      <c r="AE54" s="19">
        <f>AE21*Inputs!$C$61</f>
        <v>809.84164887067516</v>
      </c>
      <c r="AF54" s="19">
        <f>AF21*Inputs!$C$61</f>
        <v>802.40903132376786</v>
      </c>
      <c r="AG54" s="19">
        <f>AG21*Inputs!$C$61</f>
        <v>791.76744769780362</v>
      </c>
      <c r="AH54" s="19">
        <f>AH21*Inputs!$C$61</f>
        <v>765.39367688326945</v>
      </c>
    </row>
    <row r="55" spans="1:34" s="20" customFormat="1" ht="15">
      <c r="A55" s="27" t="s">
        <v>58</v>
      </c>
      <c r="B55" s="39"/>
      <c r="C55" s="334">
        <f>SUM(C52:C54)</f>
        <v>850.80119999999999</v>
      </c>
      <c r="D55" s="334">
        <f t="shared" ref="D55:AH55" si="24">SUM(D52:D54)</f>
        <v>978.06740000000002</v>
      </c>
      <c r="E55" s="334">
        <f t="shared" si="24"/>
        <v>1015.4553045461031</v>
      </c>
      <c r="F55" s="334">
        <f t="shared" si="24"/>
        <v>1000.0202463212377</v>
      </c>
      <c r="G55" s="334">
        <f t="shared" si="24"/>
        <v>976.86366057076702</v>
      </c>
      <c r="H55" s="19">
        <f t="shared" si="24"/>
        <v>1013.9139092645948</v>
      </c>
      <c r="I55" s="19">
        <f t="shared" si="24"/>
        <v>1037.0438184324876</v>
      </c>
      <c r="J55" s="19">
        <f t="shared" si="24"/>
        <v>1064.5198338274731</v>
      </c>
      <c r="K55" s="19">
        <f t="shared" si="24"/>
        <v>1092.347690483211</v>
      </c>
      <c r="L55" s="19">
        <f t="shared" si="24"/>
        <v>1097.1098446694853</v>
      </c>
      <c r="M55" s="19">
        <f t="shared" si="24"/>
        <v>1091.927039154391</v>
      </c>
      <c r="N55" s="190">
        <f t="shared" si="24"/>
        <v>1069.6968200648439</v>
      </c>
      <c r="O55" s="19">
        <f t="shared" si="24"/>
        <v>1056.3903144352466</v>
      </c>
      <c r="P55" s="19">
        <f t="shared" si="24"/>
        <v>1026.9119806757963</v>
      </c>
      <c r="Q55" s="19">
        <f t="shared" si="24"/>
        <v>1004.9700766877909</v>
      </c>
      <c r="R55" s="19">
        <f t="shared" si="24"/>
        <v>996.35436657195771</v>
      </c>
      <c r="S55" s="19">
        <f t="shared" si="24"/>
        <v>992.86488176323064</v>
      </c>
      <c r="T55" s="19">
        <f t="shared" si="24"/>
        <v>963.51846053319969</v>
      </c>
      <c r="U55" s="19">
        <f t="shared" si="24"/>
        <v>920.29651405893105</v>
      </c>
      <c r="V55" s="19">
        <f t="shared" si="24"/>
        <v>920.82181118402616</v>
      </c>
      <c r="W55" s="19">
        <f t="shared" si="24"/>
        <v>888.94186045869287</v>
      </c>
      <c r="X55" s="182">
        <f t="shared" si="24"/>
        <v>903.09753953411325</v>
      </c>
      <c r="Y55" s="19">
        <f t="shared" si="24"/>
        <v>916.00393147579484</v>
      </c>
      <c r="Z55" s="19">
        <f t="shared" si="24"/>
        <v>943.93503072205294</v>
      </c>
      <c r="AA55" s="19">
        <f t="shared" si="24"/>
        <v>970.52170325441944</v>
      </c>
      <c r="AB55" s="19">
        <f t="shared" si="24"/>
        <v>986.62972262648725</v>
      </c>
      <c r="AC55" s="19">
        <f t="shared" si="24"/>
        <v>976.20650172183673</v>
      </c>
      <c r="AD55" s="19">
        <f t="shared" si="24"/>
        <v>967.22268762781448</v>
      </c>
      <c r="AE55" s="19">
        <f t="shared" si="24"/>
        <v>960.93384064129748</v>
      </c>
      <c r="AF55" s="19">
        <f t="shared" si="24"/>
        <v>952.49703048982497</v>
      </c>
      <c r="AG55" s="19">
        <f t="shared" si="24"/>
        <v>940.31162088563167</v>
      </c>
      <c r="AH55" s="19">
        <f t="shared" si="24"/>
        <v>910.22584686374421</v>
      </c>
    </row>
    <row r="57" spans="1:34">
      <c r="A57" s="1" t="s">
        <v>140</v>
      </c>
      <c r="B57" s="13"/>
      <c r="D57" s="333"/>
      <c r="E57" s="333"/>
      <c r="F57" s="333"/>
      <c r="G57" s="333"/>
      <c r="H57" s="16"/>
      <c r="I57" s="16"/>
      <c r="J57" s="16"/>
      <c r="K57" s="16"/>
      <c r="L57" s="16"/>
      <c r="M57" s="16"/>
      <c r="N57" s="389" t="s">
        <v>0</v>
      </c>
    </row>
    <row r="58" spans="1:34" ht="15">
      <c r="A58" s="8" t="s">
        <v>61</v>
      </c>
      <c r="B58" s="34">
        <v>0</v>
      </c>
      <c r="C58" s="331">
        <f>C40*Inputs!$H44</f>
        <v>0</v>
      </c>
      <c r="D58" s="331">
        <f>D40*Inputs!$H44</f>
        <v>0</v>
      </c>
      <c r="E58" s="331">
        <f>E40*Inputs!$H44</f>
        <v>0</v>
      </c>
      <c r="F58" s="331">
        <f>F40*Inputs!$H44</f>
        <v>0</v>
      </c>
      <c r="G58" s="331">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1">
        <f>C41*Inputs!$H47</f>
        <v>0</v>
      </c>
      <c r="D59" s="331">
        <f>D41*Inputs!$H47</f>
        <v>0</v>
      </c>
      <c r="E59" s="331" t="s">
        <v>376</v>
      </c>
      <c r="F59" s="331">
        <f>F41*Inputs!$H47</f>
        <v>0</v>
      </c>
      <c r="G59" s="331">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1">
        <f>C42*Inputs!$H48</f>
        <v>0.67365000000000008</v>
      </c>
      <c r="D60" s="331">
        <f>D42*Inputs!$H48</f>
        <v>0.53865000000000007</v>
      </c>
      <c r="E60" s="331">
        <f>E42*Inputs!$H48</f>
        <v>0.66234378774578528</v>
      </c>
      <c r="F60" s="331">
        <f>F42*Inputs!$H48</f>
        <v>0.55803353461073735</v>
      </c>
      <c r="G60" s="331">
        <f>G42*Inputs!$H48</f>
        <v>0.54099504786594399</v>
      </c>
      <c r="H60" s="14">
        <f>H42*Inputs!$H48</f>
        <v>0.55012549569393998</v>
      </c>
      <c r="I60" s="14">
        <f>I42*Inputs!$H48</f>
        <v>0.56101777329606628</v>
      </c>
      <c r="J60" s="14">
        <f>J42*Inputs!$H48</f>
        <v>0.57196167738472237</v>
      </c>
      <c r="K60" s="14">
        <f>K42*Inputs!$H48</f>
        <v>0.57784686908519933</v>
      </c>
      <c r="L60" s="14">
        <f>L42*Inputs!$H48</f>
        <v>0.5778470968491104</v>
      </c>
      <c r="M60" s="14">
        <f>M42*Inputs!$H48</f>
        <v>0.57784717277041431</v>
      </c>
      <c r="N60" s="190">
        <f>N42*Inputs!$H48</f>
        <v>0.57784686908519933</v>
      </c>
      <c r="O60" s="14">
        <f>O42*Inputs!$H48</f>
        <v>0.57784686908519933</v>
      </c>
      <c r="P60" s="14">
        <f>P42*Inputs!$H48</f>
        <v>0.57784702092780671</v>
      </c>
      <c r="Q60" s="14">
        <f>Q42*Inputs!$H48</f>
        <v>0.60652386392638458</v>
      </c>
      <c r="R60" s="14">
        <f>R42*Inputs!$H48</f>
        <v>0.60652378800508089</v>
      </c>
      <c r="S60" s="14">
        <f>S42*Inputs!$H48</f>
        <v>0.6065244712968143</v>
      </c>
      <c r="T60" s="14">
        <f>T42*Inputs!$H48</f>
        <v>0.60652576195897767</v>
      </c>
      <c r="U60" s="14">
        <f>U42*Inputs!$H48</f>
        <v>0.6107690795452021</v>
      </c>
      <c r="V60" s="14">
        <f>V42*Inputs!$H48</f>
        <v>0.61500495684366185</v>
      </c>
      <c r="W60" s="14">
        <f>W42*Inputs!$H48</f>
        <v>0.61500564013539549</v>
      </c>
      <c r="X60" s="187">
        <f>X42*Inputs!$H48</f>
        <v>0.61500556421409147</v>
      </c>
      <c r="Y60" s="14">
        <f>Y42*Inputs!$H48</f>
        <v>0.61500564013539549</v>
      </c>
      <c r="Z60" s="14">
        <f>Z42*Inputs!$H48</f>
        <v>0.61500579197800287</v>
      </c>
      <c r="AA60" s="14">
        <f>AA42*Inputs!$H48</f>
        <v>0.61500488092235817</v>
      </c>
      <c r="AB60" s="14">
        <f>AB42*Inputs!$H48</f>
        <v>0.61500488092235817</v>
      </c>
      <c r="AC60" s="14">
        <f>AC42*Inputs!$H48</f>
        <v>0.61500488092235817</v>
      </c>
      <c r="AD60" s="14">
        <f>AD42*Inputs!$H48</f>
        <v>0.61807620134305408</v>
      </c>
      <c r="AE60" s="14">
        <f>AE42*Inputs!$H48</f>
        <v>0.61807620134305408</v>
      </c>
      <c r="AF60" s="14">
        <f>AF42*Inputs!$H48</f>
        <v>0.61807620134305408</v>
      </c>
      <c r="AG60" s="14">
        <f>AG42*Inputs!$H48</f>
        <v>0.61807620134305408</v>
      </c>
      <c r="AH60" s="14">
        <f>AH42*Inputs!$H48</f>
        <v>0.6180769605560914</v>
      </c>
    </row>
    <row r="61" spans="1:34" ht="15">
      <c r="A61" s="8" t="s">
        <v>59</v>
      </c>
      <c r="B61" s="34">
        <v>0</v>
      </c>
      <c r="C61" s="331">
        <f>C43*Inputs!$H53</f>
        <v>0</v>
      </c>
      <c r="D61" s="331">
        <f>D43*Inputs!$H53</f>
        <v>0</v>
      </c>
      <c r="E61" s="331">
        <f>E43*Inputs!$H53</f>
        <v>0</v>
      </c>
      <c r="F61" s="331">
        <f>F43*Inputs!$H53</f>
        <v>0</v>
      </c>
      <c r="G61" s="331">
        <f>G43*Inputs!$H53</f>
        <v>0</v>
      </c>
      <c r="H61" s="14">
        <f>H43*Inputs!$H53</f>
        <v>0</v>
      </c>
      <c r="I61" s="14">
        <f>I43*Inputs!$H53</f>
        <v>0</v>
      </c>
      <c r="J61" s="14">
        <f>J43*Inputs!$H53</f>
        <v>0</v>
      </c>
      <c r="K61" s="14">
        <f>K43*Inputs!$H53</f>
        <v>0</v>
      </c>
      <c r="L61" s="14">
        <f>L43*Inputs!$H53</f>
        <v>0</v>
      </c>
      <c r="M61" s="14">
        <f>M43*Inputs!$H53</f>
        <v>0</v>
      </c>
      <c r="N61" s="190">
        <f>N43*Inputs!$H53</f>
        <v>0</v>
      </c>
      <c r="O61" s="14">
        <f>O43*Inputs!$H53</f>
        <v>0</v>
      </c>
      <c r="P61" s="14">
        <f>P43*Inputs!$H53</f>
        <v>0</v>
      </c>
      <c r="Q61" s="14">
        <f>Q43*Inputs!$H53</f>
        <v>0</v>
      </c>
      <c r="R61" s="14">
        <f>R43*Inputs!$H53</f>
        <v>0</v>
      </c>
      <c r="S61" s="14">
        <f>S43*Inputs!$H53</f>
        <v>0</v>
      </c>
      <c r="T61" s="14">
        <f>T43*Inputs!$H53</f>
        <v>0</v>
      </c>
      <c r="U61" s="14">
        <f>U43*Inputs!$H53</f>
        <v>0</v>
      </c>
      <c r="V61" s="14">
        <f>V43*Inputs!$H53</f>
        <v>0</v>
      </c>
      <c r="W61" s="14">
        <f>W43*Inputs!$H53</f>
        <v>0</v>
      </c>
      <c r="X61" s="187">
        <f>X43*Inputs!$H53</f>
        <v>0</v>
      </c>
      <c r="Y61" s="14">
        <f>Y43*Inputs!$H53</f>
        <v>0</v>
      </c>
      <c r="Z61" s="14">
        <f>Z43*Inputs!$H53</f>
        <v>0</v>
      </c>
      <c r="AA61" s="14">
        <f>AA43*Inputs!$H53</f>
        <v>0</v>
      </c>
      <c r="AB61" s="14">
        <f>AB43*Inputs!$H53</f>
        <v>0</v>
      </c>
      <c r="AC61" s="14">
        <f>AC43*Inputs!$H53</f>
        <v>0</v>
      </c>
      <c r="AD61" s="14">
        <f>AD43*Inputs!$H53</f>
        <v>0</v>
      </c>
      <c r="AE61" s="14">
        <f>AE43*Inputs!$H53</f>
        <v>0</v>
      </c>
      <c r="AF61" s="14">
        <f>AF43*Inputs!$H53</f>
        <v>0</v>
      </c>
      <c r="AG61" s="14">
        <f>AG43*Inputs!$H53</f>
        <v>0</v>
      </c>
      <c r="AH61" s="14">
        <f>AH43*Inputs!$H53</f>
        <v>0</v>
      </c>
    </row>
    <row r="62" spans="1:34" ht="15">
      <c r="A62" s="8" t="s">
        <v>121</v>
      </c>
      <c r="B62" s="34">
        <v>1</v>
      </c>
      <c r="C62" s="331">
        <f>C44*Inputs!$H46</f>
        <v>0</v>
      </c>
      <c r="D62" s="331">
        <f>D44*Inputs!$H46</f>
        <v>0</v>
      </c>
      <c r="E62" s="331">
        <f>E44*Inputs!$H46</f>
        <v>0.92659952700000026</v>
      </c>
      <c r="F62" s="331">
        <f>F44*Inputs!$H46</f>
        <v>0.93900208499999993</v>
      </c>
      <c r="G62" s="331">
        <f>G44*Inputs!$H46</f>
        <v>0.78014512800000002</v>
      </c>
      <c r="H62" s="14">
        <f>H44*Inputs!$H46</f>
        <v>0.807685074</v>
      </c>
      <c r="I62" s="14">
        <f>I44*Inputs!$H46</f>
        <v>0.85896342000000003</v>
      </c>
      <c r="J62" s="14">
        <f>J44*Inputs!$H46</f>
        <v>1.099178829</v>
      </c>
      <c r="K62" s="14">
        <f>K44*Inputs!$H46</f>
        <v>1.1243349180000002</v>
      </c>
      <c r="L62" s="14">
        <f>L44*Inputs!$H46</f>
        <v>1.1457610919999999</v>
      </c>
      <c r="M62" s="14">
        <f>M44*Inputs!$H46</f>
        <v>1.1770670519999999</v>
      </c>
      <c r="N62" s="190">
        <f>N44*Inputs!$H46</f>
        <v>1.2074058990000001</v>
      </c>
      <c r="O62" s="14">
        <f>O44*Inputs!$H46</f>
        <v>1.3007320200000001</v>
      </c>
      <c r="P62" s="14">
        <f>P44*Inputs!$H46</f>
        <v>1.3050395189999999</v>
      </c>
      <c r="Q62" s="14">
        <f>Q44*Inputs!$H46</f>
        <v>1.3066462080000001</v>
      </c>
      <c r="R62" s="14">
        <f>R44*Inputs!$H46</f>
        <v>1.3184441549999999</v>
      </c>
      <c r="S62" s="14">
        <f>S44*Inputs!$H46</f>
        <v>1.323146097</v>
      </c>
      <c r="T62" s="14">
        <f>T44*Inputs!$H46</f>
        <v>1.3344072839999999</v>
      </c>
      <c r="U62" s="14">
        <f>U44*Inputs!$H46</f>
        <v>1.38263895</v>
      </c>
      <c r="V62" s="14">
        <f>V44*Inputs!$H46</f>
        <v>1.457410374</v>
      </c>
      <c r="W62" s="14">
        <f>W44*Inputs!$H46</f>
        <v>1.4402556</v>
      </c>
      <c r="X62" s="187">
        <f>X44*Inputs!$H46</f>
        <v>1.440379206</v>
      </c>
      <c r="Y62" s="14">
        <f>Y44*Inputs!$H46</f>
        <v>1.457288658</v>
      </c>
      <c r="Z62" s="14">
        <f>Z44*Inputs!$H46</f>
        <v>1.455349896</v>
      </c>
      <c r="AA62" s="14">
        <f>AA44*Inputs!$H46</f>
        <v>1.4689151819999999</v>
      </c>
      <c r="AB62" s="14">
        <f>AB44*Inputs!$H46</f>
        <v>1.477995876</v>
      </c>
      <c r="AC62" s="14">
        <f>AC44*Inputs!$H46</f>
        <v>1.4838027120000001</v>
      </c>
      <c r="AD62" s="14">
        <f>AD44*Inputs!$H46</f>
        <v>1.4962810590000002</v>
      </c>
      <c r="AE62" s="14">
        <f>AE44*Inputs!$H46</f>
        <v>1.5300491219999999</v>
      </c>
      <c r="AF62" s="14">
        <f>AF44*Inputs!$H46</f>
        <v>1.5097102650000001</v>
      </c>
      <c r="AG62" s="14">
        <f>AG44*Inputs!$H46</f>
        <v>1.519428834</v>
      </c>
      <c r="AH62" s="14">
        <f>AH44*Inputs!$H46</f>
        <v>1.5297246090000001</v>
      </c>
    </row>
    <row r="63" spans="1:34" ht="15">
      <c r="A63" s="8" t="s">
        <v>50</v>
      </c>
      <c r="B63" s="34">
        <v>1</v>
      </c>
      <c r="C63" s="331">
        <f>C45*Inputs!$H49</f>
        <v>0</v>
      </c>
      <c r="D63" s="331">
        <f>D45*Inputs!$H49</f>
        <v>0</v>
      </c>
      <c r="E63" s="331">
        <f>E45*Inputs!$H49</f>
        <v>2.2500000000000003E-8</v>
      </c>
      <c r="F63" s="331">
        <f>F45*Inputs!$H49</f>
        <v>2.2500000000000003E-8</v>
      </c>
      <c r="G63" s="331">
        <f>G45*Inputs!$H49</f>
        <v>2.2500000000000003E-8</v>
      </c>
      <c r="H63" s="14">
        <f>H45*Inputs!$H49</f>
        <v>2.2500000000000003E-8</v>
      </c>
      <c r="I63" s="14">
        <f>I45*Inputs!$H49</f>
        <v>2.2500000000000003E-8</v>
      </c>
      <c r="J63" s="14">
        <f>J45*Inputs!$H49</f>
        <v>2.2500000000000003E-8</v>
      </c>
      <c r="K63" s="14">
        <f>K45*Inputs!$H49</f>
        <v>2.2500000000000003E-8</v>
      </c>
      <c r="L63" s="14">
        <f>L45*Inputs!$H49</f>
        <v>2.2500000000000003E-8</v>
      </c>
      <c r="M63" s="14">
        <f>M45*Inputs!$H49</f>
        <v>2.2500000000000003E-8</v>
      </c>
      <c r="N63" s="190">
        <f>N45*Inputs!$H49</f>
        <v>2.2500000000000003E-8</v>
      </c>
      <c r="O63" s="14">
        <f>O45*Inputs!$H49</f>
        <v>2.2500000000000003E-8</v>
      </c>
      <c r="P63" s="14">
        <f>P45*Inputs!$H49</f>
        <v>2.2500000000000003E-8</v>
      </c>
      <c r="Q63" s="14">
        <f>Q45*Inputs!$H49</f>
        <v>2.2500000000000003E-8</v>
      </c>
      <c r="R63" s="14">
        <f>R45*Inputs!$H49</f>
        <v>2.2500000000000003E-8</v>
      </c>
      <c r="S63" s="14">
        <f>S45*Inputs!$H49</f>
        <v>2.2500000000000003E-8</v>
      </c>
      <c r="T63" s="14">
        <f>T45*Inputs!$H49</f>
        <v>2.2500000000000003E-8</v>
      </c>
      <c r="U63" s="14">
        <f>U45*Inputs!$H49</f>
        <v>2.2500000000000003E-8</v>
      </c>
      <c r="V63" s="14">
        <f>V45*Inputs!$H49</f>
        <v>2.2500000000000003E-8</v>
      </c>
      <c r="W63" s="14">
        <f>W45*Inputs!$H49</f>
        <v>2.2500000000000003E-8</v>
      </c>
      <c r="X63" s="187">
        <f>X45*Inputs!$H49</f>
        <v>2.2500000000000003E-8</v>
      </c>
      <c r="Y63" s="14">
        <f>Y45*Inputs!$H49</f>
        <v>2.2500000000000003E-8</v>
      </c>
      <c r="Z63" s="14">
        <f>Z45*Inputs!$H49</f>
        <v>2.2500000000000003E-8</v>
      </c>
      <c r="AA63" s="14">
        <f>AA45*Inputs!$H49</f>
        <v>2.2500000000000003E-8</v>
      </c>
      <c r="AB63" s="14">
        <f>AB45*Inputs!$H49</f>
        <v>2.2500000000000003E-8</v>
      </c>
      <c r="AC63" s="14">
        <f>AC45*Inputs!$H49</f>
        <v>2.2500000000000003E-8</v>
      </c>
      <c r="AD63" s="14">
        <f>AD45*Inputs!$H49</f>
        <v>2.2500000000000003E-8</v>
      </c>
      <c r="AE63" s="14">
        <f>AE45*Inputs!$H49</f>
        <v>2.2500000000000003E-8</v>
      </c>
      <c r="AF63" s="14">
        <f>AF45*Inputs!$H49</f>
        <v>2.2500000000000003E-8</v>
      </c>
      <c r="AG63" s="14">
        <f>AG45*Inputs!$H49</f>
        <v>2.2500000000000003E-8</v>
      </c>
      <c r="AH63" s="14">
        <f>AH45*Inputs!$H49</f>
        <v>2.2500000000000003E-8</v>
      </c>
    </row>
    <row r="64" spans="1:34" ht="15">
      <c r="A64" s="8" t="s">
        <v>51</v>
      </c>
      <c r="B64" s="34">
        <v>1</v>
      </c>
      <c r="C64" s="331">
        <f>C46*Inputs!$H52</f>
        <v>19.574999999999999</v>
      </c>
      <c r="D64" s="331">
        <f>D46*Inputs!$H52</f>
        <v>18.495000000000001</v>
      </c>
      <c r="E64" s="331">
        <f>E46*Inputs!$H52</f>
        <v>20.282181918537994</v>
      </c>
      <c r="F64" s="331">
        <f>F46*Inputs!$H52</f>
        <v>21.074572516791093</v>
      </c>
      <c r="G64" s="331">
        <f>G46*Inputs!$H52</f>
        <v>23.620200203247702</v>
      </c>
      <c r="H64" s="14">
        <f>H46*Inputs!$H52</f>
        <v>23.604288610280694</v>
      </c>
      <c r="I64" s="14">
        <f>I46*Inputs!$H52</f>
        <v>23.601957826964004</v>
      </c>
      <c r="J64" s="14">
        <f>J46*Inputs!$H52</f>
        <v>23.602319645312797</v>
      </c>
      <c r="K64" s="14">
        <f>K46*Inputs!$H52</f>
        <v>23.602386960354433</v>
      </c>
      <c r="L64" s="14">
        <f>L46*Inputs!$H52</f>
        <v>23.602790850604265</v>
      </c>
      <c r="M64" s="14">
        <f>M46*Inputs!$H52</f>
        <v>23.602832922505286</v>
      </c>
      <c r="N64" s="190">
        <f>N46*Inputs!$H52</f>
        <v>23.602614148619963</v>
      </c>
      <c r="O64" s="14">
        <f>O46*Inputs!$H52</f>
        <v>23.602454275396074</v>
      </c>
      <c r="P64" s="14">
        <f>P46*Inputs!$H52</f>
        <v>23.602344888453416</v>
      </c>
      <c r="Q64" s="14">
        <f>Q46*Inputs!$H52</f>
        <v>23.602201843989938</v>
      </c>
      <c r="R64" s="14">
        <f>R46*Inputs!$H52</f>
        <v>23.602050385146246</v>
      </c>
      <c r="S64" s="14">
        <f>S46*Inputs!$H52</f>
        <v>23.668322043638156</v>
      </c>
      <c r="T64" s="14">
        <f>T46*Inputs!$H52</f>
        <v>23.668086440992429</v>
      </c>
      <c r="U64" s="14">
        <f>U46*Inputs!$H52</f>
        <v>23.601394063490289</v>
      </c>
      <c r="V64" s="14">
        <f>V46*Inputs!$H52</f>
        <v>23.667648893221788</v>
      </c>
      <c r="W64" s="14">
        <f>W46*Inputs!$H52</f>
        <v>23.600838714396783</v>
      </c>
      <c r="X64" s="187">
        <f>X46*Inputs!$H52</f>
        <v>23.600619940511461</v>
      </c>
      <c r="Y64" s="14">
        <f>Y46*Inputs!$H52</f>
        <v>23.666866355862755</v>
      </c>
      <c r="Z64" s="14">
        <f>Z46*Inputs!$H52</f>
        <v>23.666597095696204</v>
      </c>
      <c r="AA64" s="14">
        <f>AA46*Inputs!$H52</f>
        <v>23.666327835529653</v>
      </c>
      <c r="AB64" s="14">
        <f>AB46*Inputs!$H52</f>
        <v>23.599046451413191</v>
      </c>
      <c r="AC64" s="14">
        <f>AC46*Inputs!$H52</f>
        <v>23.598659389923771</v>
      </c>
      <c r="AD64" s="14">
        <f>AD46*Inputs!$H52</f>
        <v>23.597969410746991</v>
      </c>
      <c r="AE64" s="14">
        <f>AE46*Inputs!$H52</f>
        <v>23.597649664299215</v>
      </c>
      <c r="AF64" s="14">
        <f>AF46*Inputs!$H52</f>
        <v>23.665040435358343</v>
      </c>
      <c r="AG64" s="14">
        <f>AG46*Inputs!$H52</f>
        <v>23.597018585783864</v>
      </c>
      <c r="AH64" s="14">
        <f>AH46*Inputs!$H52</f>
        <v>23.596799811898542</v>
      </c>
    </row>
    <row r="65" spans="1:34" ht="15">
      <c r="A65" s="8" t="s">
        <v>347</v>
      </c>
      <c r="B65" s="34">
        <v>1</v>
      </c>
      <c r="C65" s="331">
        <f>C47*Inputs!$H54</f>
        <v>0</v>
      </c>
      <c r="D65" s="331">
        <f>D47*Inputs!$H54</f>
        <v>110.04858</v>
      </c>
      <c r="E65" s="331">
        <f>E47*Inputs!$H54</f>
        <v>114.14478321241414</v>
      </c>
      <c r="F65" s="331">
        <f>F47*Inputs!$H54</f>
        <v>112.2141438718208</v>
      </c>
      <c r="G65" s="331">
        <f>G47*Inputs!$H54</f>
        <v>109.3136639203618</v>
      </c>
      <c r="H65" s="14">
        <f>H47*Inputs!$H54</f>
        <v>113.55045327871736</v>
      </c>
      <c r="I65" s="14">
        <f>I47*Inputs!$H54</f>
        <v>116.5429294039225</v>
      </c>
      <c r="J65" s="14">
        <f>J47*Inputs!$H54</f>
        <v>120.01335672079776</v>
      </c>
      <c r="K65" s="14">
        <f>K47*Inputs!$H54</f>
        <v>123.16180812755168</v>
      </c>
      <c r="L65" s="14">
        <f>L47*Inputs!$H54</f>
        <v>123.71210730801305</v>
      </c>
      <c r="M65" s="14">
        <f>M47*Inputs!$H54</f>
        <v>123.14426445133235</v>
      </c>
      <c r="N65" s="190">
        <f>N47*Inputs!$H54</f>
        <v>120.64811122574648</v>
      </c>
      <c r="O65" s="14">
        <f>O47*Inputs!$H54</f>
        <v>119.19077943284941</v>
      </c>
      <c r="P65" s="14">
        <f>P47*Inputs!$H54</f>
        <v>115.86150982572448</v>
      </c>
      <c r="Q65" s="14">
        <f>Q47*Inputs!$H54</f>
        <v>113.4260616018607</v>
      </c>
      <c r="R65" s="14">
        <f>R47*Inputs!$H54</f>
        <v>112.46253031476471</v>
      </c>
      <c r="S65" s="14">
        <f>S47*Inputs!$H54</f>
        <v>112.06877287587803</v>
      </c>
      <c r="T65" s="14">
        <f>T47*Inputs!$H54</f>
        <v>108.76697302867751</v>
      </c>
      <c r="U65" s="14">
        <f>U47*Inputs!$H54</f>
        <v>103.92956354641171</v>
      </c>
      <c r="V65" s="14">
        <f>V47*Inputs!$H54</f>
        <v>104.04577483650809</v>
      </c>
      <c r="W65" s="14">
        <f>W47*Inputs!$H54</f>
        <v>100.46366630978524</v>
      </c>
      <c r="X65" s="187">
        <f>X47*Inputs!$H54</f>
        <v>102.07667401954512</v>
      </c>
      <c r="Y65" s="14">
        <f>Y47*Inputs!$H54</f>
        <v>103.54629163010574</v>
      </c>
      <c r="Z65" s="14">
        <f>Z47*Inputs!$H54</f>
        <v>106.7116505628467</v>
      </c>
      <c r="AA65" s="14">
        <f>AA47*Inputs!$H54</f>
        <v>109.74423807281777</v>
      </c>
      <c r="AB65" s="14">
        <f>AB47*Inputs!$H54</f>
        <v>111.60157469331764</v>
      </c>
      <c r="AC65" s="14">
        <f>AC47*Inputs!$H54</f>
        <v>110.44075584273975</v>
      </c>
      <c r="AD65" s="14">
        <f>AD47*Inputs!$H54</f>
        <v>109.49324518452632</v>
      </c>
      <c r="AE65" s="14">
        <f>AE47*Inputs!$H54</f>
        <v>108.84422544172403</v>
      </c>
      <c r="AF65" s="14">
        <f>AF47*Inputs!$H54</f>
        <v>107.88689165326299</v>
      </c>
      <c r="AG65" s="14">
        <f>AG47*Inputs!$H54</f>
        <v>106.5416143534314</v>
      </c>
      <c r="AH65" s="14">
        <f>AH47*Inputs!$H54</f>
        <v>103.17020623971044</v>
      </c>
    </row>
    <row r="66" spans="1:34" ht="15">
      <c r="A66" s="8" t="s">
        <v>348</v>
      </c>
      <c r="B66" s="34">
        <v>1</v>
      </c>
      <c r="C66" s="331">
        <f>C48*Inputs!$H55</f>
        <v>0</v>
      </c>
      <c r="D66" s="331">
        <f>D48*Inputs!$H55</f>
        <v>0</v>
      </c>
      <c r="E66" s="331">
        <f>E48*Inputs!$H55</f>
        <v>2.0700000000000003E-2</v>
      </c>
      <c r="F66" s="331">
        <f>F48*Inputs!$H55</f>
        <v>2.0700000000000003E-2</v>
      </c>
      <c r="G66" s="331">
        <f>G48*Inputs!$H55</f>
        <v>2.0700000000000003E-2</v>
      </c>
      <c r="H66" s="14">
        <f>H48*Inputs!$H55</f>
        <v>2.0700000000000003E-2</v>
      </c>
      <c r="I66" s="14">
        <f>I48*Inputs!$H55</f>
        <v>2.0700000000000003E-2</v>
      </c>
      <c r="J66" s="14">
        <f>J48*Inputs!$H55</f>
        <v>2.0700000000000003E-2</v>
      </c>
      <c r="K66" s="14">
        <f>K48*Inputs!$H55</f>
        <v>2.0700000000000003E-2</v>
      </c>
      <c r="L66" s="14">
        <f>L48*Inputs!$H55</f>
        <v>2.0700000000000003E-2</v>
      </c>
      <c r="M66" s="14">
        <f>M48*Inputs!$H55</f>
        <v>2.0700000000000003E-2</v>
      </c>
      <c r="N66" s="190">
        <f>N48*Inputs!$H55</f>
        <v>2.0700000000000003E-2</v>
      </c>
      <c r="O66" s="14">
        <f>O48*Inputs!$H55</f>
        <v>2.0700000000000003E-2</v>
      </c>
      <c r="P66" s="14">
        <f>P48*Inputs!$H55</f>
        <v>2.0700000000000003E-2</v>
      </c>
      <c r="Q66" s="14">
        <f>Q48*Inputs!$H55</f>
        <v>2.0700000000000003E-2</v>
      </c>
      <c r="R66" s="14">
        <f>R48*Inputs!$H55</f>
        <v>2.0700000000000003E-2</v>
      </c>
      <c r="S66" s="14">
        <f>S48*Inputs!$H55</f>
        <v>2.0700000000000003E-2</v>
      </c>
      <c r="T66" s="14">
        <f>T48*Inputs!$H55</f>
        <v>2.0700000000000003E-2</v>
      </c>
      <c r="U66" s="14">
        <f>U48*Inputs!$H55</f>
        <v>2.0700000000000003E-2</v>
      </c>
      <c r="V66" s="14">
        <f>V48*Inputs!$H55</f>
        <v>2.0700000000000003E-2</v>
      </c>
      <c r="W66" s="14">
        <f>W48*Inputs!$H55</f>
        <v>2.0700000000000003E-2</v>
      </c>
      <c r="X66" s="187">
        <f>X48*Inputs!$H55</f>
        <v>2.0700000000000003E-2</v>
      </c>
      <c r="Y66" s="14">
        <f>Y48*Inputs!$H55</f>
        <v>2.0700000000000003E-2</v>
      </c>
      <c r="Z66" s="14">
        <f>Z48*Inputs!$H55</f>
        <v>2.0700000000000003E-2</v>
      </c>
      <c r="AA66" s="14">
        <f>AA48*Inputs!$H55</f>
        <v>2.0700000000000003E-2</v>
      </c>
      <c r="AB66" s="14">
        <f>AB48*Inputs!$H55</f>
        <v>2.0700000000000003E-2</v>
      </c>
      <c r="AC66" s="14">
        <f>AC48*Inputs!$H55</f>
        <v>2.0700000000000003E-2</v>
      </c>
      <c r="AD66" s="14">
        <f>AD48*Inputs!$H55</f>
        <v>2.0700000000000003E-2</v>
      </c>
      <c r="AE66" s="14">
        <f>AE48*Inputs!$H55</f>
        <v>2.0700000000000003E-2</v>
      </c>
      <c r="AF66" s="14">
        <f>AF48*Inputs!$H55</f>
        <v>2.0700000000000003E-2</v>
      </c>
      <c r="AG66" s="14">
        <f>AG48*Inputs!$H55</f>
        <v>2.0700000000000003E-2</v>
      </c>
      <c r="AH66" s="14">
        <f>AH48*Inputs!$H55</f>
        <v>2.0700000000000003E-2</v>
      </c>
    </row>
    <row r="67" spans="1:34" ht="15">
      <c r="A67" s="8" t="s">
        <v>344</v>
      </c>
      <c r="B67" s="34">
        <v>1</v>
      </c>
      <c r="C67" s="331">
        <f>C49*Inputs!$H51</f>
        <v>2.4300000000000003E-3</v>
      </c>
      <c r="D67" s="331">
        <f>D49*Inputs!$H51</f>
        <v>2.4300000000000003E-3</v>
      </c>
      <c r="E67" s="331">
        <f>E49*Inputs!$H51</f>
        <v>2.4300000000000003E-3</v>
      </c>
      <c r="F67" s="331">
        <f>F49*Inputs!$H51</f>
        <v>2.4300000000000003E-3</v>
      </c>
      <c r="G67" s="331">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1">
        <f>C50*Inputs!$H57</f>
        <v>0</v>
      </c>
      <c r="D68" s="331">
        <f>D50*Inputs!$H57</f>
        <v>0.45900000000000002</v>
      </c>
      <c r="E68" s="331">
        <f>E50*Inputs!$H57</f>
        <v>0.13038739739413679</v>
      </c>
      <c r="F68" s="331">
        <f>F50*Inputs!$H57</f>
        <v>0.19439068631921824</v>
      </c>
      <c r="G68" s="331">
        <f>G50*Inputs!$H57</f>
        <v>0.32285372247556998</v>
      </c>
      <c r="H68" s="14">
        <f>H50*Inputs!$H57</f>
        <v>0.32763928338762205</v>
      </c>
      <c r="I68" s="14">
        <f>I50*Inputs!$H57</f>
        <v>0.80991701237785019</v>
      </c>
      <c r="J68" s="14">
        <f>J50*Inputs!$H57</f>
        <v>1.1355840908794788</v>
      </c>
      <c r="K68" s="14">
        <f>K50*Inputs!$H57</f>
        <v>1.1355585244299673</v>
      </c>
      <c r="L68" s="14">
        <f>L50*Inputs!$H57</f>
        <v>1.1352079201954397</v>
      </c>
      <c r="M68" s="14">
        <f>M50*Inputs!$H57</f>
        <v>1.1352624918566776</v>
      </c>
      <c r="N68" s="190">
        <f>N50*Inputs!$H57</f>
        <v>1.135499915960912</v>
      </c>
      <c r="O68" s="14">
        <f>O50*Inputs!$H57</f>
        <v>1.1353816524429967</v>
      </c>
      <c r="P68" s="14">
        <f>P50*Inputs!$H57</f>
        <v>1.1353085413680779</v>
      </c>
      <c r="Q68" s="14">
        <f>Q50*Inputs!$H57</f>
        <v>1.1356788811074918</v>
      </c>
      <c r="R68" s="14">
        <f>R50*Inputs!$H57</f>
        <v>1.136775696742671</v>
      </c>
      <c r="S68" s="14">
        <f>S50*Inputs!$H57</f>
        <v>1.136071348534202</v>
      </c>
      <c r="T68" s="14">
        <f>T50*Inputs!$H57</f>
        <v>1.1414705042345274</v>
      </c>
      <c r="U68" s="14">
        <f>U50*Inputs!$H57</f>
        <v>1.1455076110749185</v>
      </c>
      <c r="V68" s="14">
        <f>V50*Inputs!$H57</f>
        <v>1.1657702931596092</v>
      </c>
      <c r="W68" s="14">
        <f>W50*Inputs!$H57</f>
        <v>1.1881062498371335</v>
      </c>
      <c r="X68" s="187">
        <f>X50*Inputs!$H57</f>
        <v>1.1937304201954397</v>
      </c>
      <c r="Y68" s="14">
        <f>Y50*Inputs!$H57</f>
        <v>1.1944811169381107</v>
      </c>
      <c r="Z68" s="14">
        <f>Z50*Inputs!$H57</f>
        <v>1.195156160912052</v>
      </c>
      <c r="AA68" s="14">
        <f>AA50*Inputs!$H57</f>
        <v>1.2127194146579803</v>
      </c>
      <c r="AB68" s="14">
        <f>AB50*Inputs!$H57</f>
        <v>1.2360216635179149</v>
      </c>
      <c r="AC68" s="14">
        <f>AC50*Inputs!$H57</f>
        <v>1.2444409495114006</v>
      </c>
      <c r="AD68" s="14">
        <f>AD50*Inputs!$H57</f>
        <v>1.3161019133550487</v>
      </c>
      <c r="AE68" s="14">
        <f>AE50*Inputs!$H57</f>
        <v>1.3698421416938109</v>
      </c>
      <c r="AF68" s="14">
        <f>AF50*Inputs!$H57</f>
        <v>1.3763506719869707</v>
      </c>
      <c r="AG68" s="14">
        <f>AG50*Inputs!$H57</f>
        <v>1.3904878719869702</v>
      </c>
      <c r="AH68" s="14">
        <f>AH50*Inputs!$H57</f>
        <v>1.4110153387622149</v>
      </c>
    </row>
    <row r="69" spans="1:34" s="20" customFormat="1" ht="15">
      <c r="A69" s="8" t="s">
        <v>128</v>
      </c>
      <c r="B69" s="38"/>
      <c r="C69" s="334">
        <f t="shared" ref="C69:AH69" si="25">SUMPRODUCT($B60:$B68,C60:C68)</f>
        <v>19.57743</v>
      </c>
      <c r="D69" s="334">
        <f t="shared" si="25"/>
        <v>129.00501</v>
      </c>
      <c r="E69" s="334">
        <f t="shared" si="25"/>
        <v>135.50708207784629</v>
      </c>
      <c r="F69" s="334">
        <f t="shared" si="25"/>
        <v>134.44523918243112</v>
      </c>
      <c r="G69" s="334">
        <f t="shared" si="25"/>
        <v>134.05999299658509</v>
      </c>
      <c r="H69" s="19">
        <f t="shared" si="25"/>
        <v>138.31319626888566</v>
      </c>
      <c r="I69" s="19">
        <f t="shared" si="25"/>
        <v>141.83689768576434</v>
      </c>
      <c r="J69" s="19">
        <f t="shared" si="25"/>
        <v>145.87356930849006</v>
      </c>
      <c r="K69" s="19">
        <f t="shared" si="25"/>
        <v>149.04721855283609</v>
      </c>
      <c r="L69" s="19">
        <f t="shared" si="25"/>
        <v>149.61899719331274</v>
      </c>
      <c r="M69" s="19">
        <f t="shared" si="25"/>
        <v>149.08255694019434</v>
      </c>
      <c r="N69" s="190">
        <f t="shared" si="25"/>
        <v>146.61676121182737</v>
      </c>
      <c r="O69" s="19">
        <f t="shared" si="25"/>
        <v>145.25247740318849</v>
      </c>
      <c r="P69" s="19">
        <f t="shared" si="25"/>
        <v>141.92733279704601</v>
      </c>
      <c r="Q69" s="19">
        <f t="shared" si="25"/>
        <v>139.49371855745812</v>
      </c>
      <c r="R69" s="19">
        <f t="shared" si="25"/>
        <v>138.54293057415362</v>
      </c>
      <c r="S69" s="19">
        <f t="shared" si="25"/>
        <v>138.2194423875504</v>
      </c>
      <c r="T69" s="19">
        <f t="shared" si="25"/>
        <v>134.93406728040446</v>
      </c>
      <c r="U69" s="19">
        <f t="shared" si="25"/>
        <v>130.08223419347692</v>
      </c>
      <c r="V69" s="19">
        <f t="shared" si="25"/>
        <v>130.35973441938947</v>
      </c>
      <c r="W69" s="19">
        <f t="shared" si="25"/>
        <v>126.71599689651917</v>
      </c>
      <c r="X69" s="182">
        <f t="shared" si="25"/>
        <v>128.33453360875203</v>
      </c>
      <c r="Y69" s="19">
        <f t="shared" si="25"/>
        <v>129.88805778340662</v>
      </c>
      <c r="Z69" s="19">
        <f t="shared" si="25"/>
        <v>133.05188373795497</v>
      </c>
      <c r="AA69" s="19">
        <f t="shared" si="25"/>
        <v>136.11533052750542</v>
      </c>
      <c r="AB69" s="19">
        <f t="shared" si="25"/>
        <v>137.93776870674876</v>
      </c>
      <c r="AC69" s="19">
        <f t="shared" si="25"/>
        <v>136.79078891667496</v>
      </c>
      <c r="AD69" s="19">
        <f t="shared" si="25"/>
        <v>135.92672759012837</v>
      </c>
      <c r="AE69" s="19">
        <f t="shared" si="25"/>
        <v>135.36489639221708</v>
      </c>
      <c r="AF69" s="19">
        <f t="shared" si="25"/>
        <v>134.46112304810833</v>
      </c>
      <c r="AG69" s="19">
        <f t="shared" si="25"/>
        <v>133.07167966770226</v>
      </c>
      <c r="AH69" s="19">
        <f t="shared" si="25"/>
        <v>129.73087602187121</v>
      </c>
    </row>
    <row r="70" spans="1:34" s="20" customFormat="1" ht="15">
      <c r="A70" s="27" t="s">
        <v>329</v>
      </c>
      <c r="B70" s="39"/>
      <c r="C70" s="334">
        <f>SUM(C58:C68)</f>
        <v>20.251079999999998</v>
      </c>
      <c r="D70" s="334">
        <f t="shared" ref="D70:AH70" si="26">SUM(D58:D68)</f>
        <v>129.54366000000002</v>
      </c>
      <c r="E70" s="334">
        <f t="shared" si="26"/>
        <v>136.16942586559207</v>
      </c>
      <c r="F70" s="334">
        <f t="shared" si="26"/>
        <v>135.00327271704185</v>
      </c>
      <c r="G70" s="334">
        <f t="shared" si="26"/>
        <v>134.60098804445104</v>
      </c>
      <c r="H70" s="19">
        <f t="shared" si="26"/>
        <v>138.86332176457961</v>
      </c>
      <c r="I70" s="19">
        <f t="shared" si="26"/>
        <v>142.39791545906041</v>
      </c>
      <c r="J70" s="19">
        <f t="shared" si="26"/>
        <v>146.44553098587477</v>
      </c>
      <c r="K70" s="19">
        <f t="shared" si="26"/>
        <v>149.62506542192128</v>
      </c>
      <c r="L70" s="19">
        <f t="shared" si="26"/>
        <v>150.19684429016186</v>
      </c>
      <c r="M70" s="19">
        <f t="shared" si="26"/>
        <v>149.66040411296473</v>
      </c>
      <c r="N70" s="182">
        <f t="shared" si="26"/>
        <v>147.19460808091256</v>
      </c>
      <c r="O70" s="19">
        <f t="shared" si="26"/>
        <v>145.83032427227369</v>
      </c>
      <c r="P70" s="19">
        <f t="shared" si="26"/>
        <v>142.50517981797381</v>
      </c>
      <c r="Q70" s="19">
        <f t="shared" si="26"/>
        <v>140.10024242138451</v>
      </c>
      <c r="R70" s="19">
        <f t="shared" si="26"/>
        <v>139.14945436215871</v>
      </c>
      <c r="S70" s="19">
        <f t="shared" si="26"/>
        <v>138.82596685884721</v>
      </c>
      <c r="T70" s="19">
        <f t="shared" si="26"/>
        <v>135.54059304236344</v>
      </c>
      <c r="U70" s="19">
        <f t="shared" si="26"/>
        <v>130.69300327302213</v>
      </c>
      <c r="V70" s="19">
        <f t="shared" si="26"/>
        <v>130.97473937623315</v>
      </c>
      <c r="W70" s="19">
        <f t="shared" si="26"/>
        <v>127.33100253665457</v>
      </c>
      <c r="X70" s="182">
        <f t="shared" si="26"/>
        <v>128.94953917296613</v>
      </c>
      <c r="Y70" s="19">
        <f t="shared" si="26"/>
        <v>130.50306342354202</v>
      </c>
      <c r="Z70" s="19">
        <f t="shared" si="26"/>
        <v>133.66688952993297</v>
      </c>
      <c r="AA70" s="19">
        <f t="shared" si="26"/>
        <v>136.73033540842778</v>
      </c>
      <c r="AB70" s="19">
        <f t="shared" si="26"/>
        <v>138.55277358767111</v>
      </c>
      <c r="AC70" s="19">
        <f t="shared" si="26"/>
        <v>137.40579379759731</v>
      </c>
      <c r="AD70" s="19">
        <f t="shared" si="26"/>
        <v>136.54480379147142</v>
      </c>
      <c r="AE70" s="19">
        <f t="shared" si="26"/>
        <v>135.98297259356013</v>
      </c>
      <c r="AF70" s="19">
        <f t="shared" si="26"/>
        <v>135.07919924945139</v>
      </c>
      <c r="AG70" s="19">
        <f t="shared" si="26"/>
        <v>133.68975586904531</v>
      </c>
      <c r="AH70" s="19">
        <f t="shared" si="26"/>
        <v>130.34895298242731</v>
      </c>
    </row>
    <row r="71" spans="1:34" s="20" customFormat="1" ht="15">
      <c r="A71" s="27" t="s">
        <v>142</v>
      </c>
      <c r="B71" s="39"/>
      <c r="C71" s="334">
        <f>C53*Inputs!$H$60</f>
        <v>0</v>
      </c>
      <c r="D71" s="334">
        <f>D53*Inputs!$H$60</f>
        <v>0</v>
      </c>
      <c r="E71" s="334">
        <f>E53*Inputs!$H$60</f>
        <v>0</v>
      </c>
      <c r="F71" s="334">
        <f>F53*Inputs!$H$60</f>
        <v>0</v>
      </c>
      <c r="G71" s="334">
        <f>G53*Inputs!$H$60</f>
        <v>0</v>
      </c>
      <c r="H71" s="19">
        <f>H53*Inputs!$H$60</f>
        <v>0</v>
      </c>
      <c r="I71" s="19">
        <f>I53*Inputs!$H$60</f>
        <v>0</v>
      </c>
      <c r="J71" s="19">
        <f>J53*Inputs!$H$60</f>
        <v>0</v>
      </c>
      <c r="K71" s="19">
        <f>K53*Inputs!$H$60</f>
        <v>0</v>
      </c>
      <c r="L71" s="19">
        <f>L53*Inputs!$H$60</f>
        <v>0</v>
      </c>
      <c r="M71" s="19">
        <f>M53*Inputs!$H$60</f>
        <v>0</v>
      </c>
      <c r="N71" s="190">
        <f>N53*Inputs!$H$60</f>
        <v>0</v>
      </c>
      <c r="O71" s="19">
        <f>O53*Inputs!$H$60</f>
        <v>0</v>
      </c>
      <c r="P71" s="19">
        <f>P53*Inputs!$H$60</f>
        <v>0</v>
      </c>
      <c r="Q71" s="19">
        <f>Q53*Inputs!$H$60</f>
        <v>0</v>
      </c>
      <c r="R71" s="19">
        <f>R53*Inputs!$H$60</f>
        <v>0</v>
      </c>
      <c r="S71" s="19">
        <f>S53*Inputs!$H$60</f>
        <v>0</v>
      </c>
      <c r="T71" s="19">
        <f>T53*Inputs!$H$60</f>
        <v>0</v>
      </c>
      <c r="U71" s="19">
        <f>U53*Inputs!$H$60</f>
        <v>0</v>
      </c>
      <c r="V71" s="19">
        <f>V53*Inputs!$H$60</f>
        <v>0</v>
      </c>
      <c r="W71" s="19">
        <f>W53*Inputs!$H$60</f>
        <v>0</v>
      </c>
      <c r="X71" s="182">
        <f>X53*Inputs!$H$60</f>
        <v>0</v>
      </c>
      <c r="Y71" s="19">
        <f>Y53*Inputs!$H$60</f>
        <v>0</v>
      </c>
      <c r="Z71" s="19">
        <f>Z53*Inputs!$H$60</f>
        <v>0</v>
      </c>
      <c r="AA71" s="19">
        <f>AA53*Inputs!$H$60</f>
        <v>0</v>
      </c>
      <c r="AB71" s="19">
        <f>AB53*Inputs!$H$60</f>
        <v>0</v>
      </c>
      <c r="AC71" s="19">
        <f>AC53*Inputs!$H$60</f>
        <v>0</v>
      </c>
      <c r="AD71" s="19">
        <f>AD53*Inputs!$H$60</f>
        <v>0</v>
      </c>
      <c r="AE71" s="19">
        <f>AE53*Inputs!$H$60</f>
        <v>0</v>
      </c>
      <c r="AF71" s="19">
        <f>AF53*Inputs!$H$60</f>
        <v>0</v>
      </c>
      <c r="AG71" s="19">
        <f>AG53*Inputs!$H$60</f>
        <v>0</v>
      </c>
      <c r="AH71" s="19">
        <f>AH53*Inputs!$H$60</f>
        <v>0</v>
      </c>
    </row>
    <row r="72" spans="1:34" s="20" customFormat="1" ht="15">
      <c r="A72" s="27" t="s">
        <v>222</v>
      </c>
      <c r="B72" s="39"/>
      <c r="C72" s="334">
        <f>C54*Inputs!$H$61</f>
        <v>745.47</v>
      </c>
      <c r="D72" s="334">
        <f>D54*Inputs!$H$61</f>
        <v>750.71699999999998</v>
      </c>
      <c r="E72" s="334">
        <f>E54*Inputs!$H$61</f>
        <v>777.74034822590079</v>
      </c>
      <c r="F72" s="334">
        <f>F54*Inputs!$H$61</f>
        <v>765.01494897207203</v>
      </c>
      <c r="G72" s="334">
        <f>G54*Inputs!$H$61</f>
        <v>744.5763064692394</v>
      </c>
      <c r="H72" s="19">
        <f>H54*Inputs!$H$61</f>
        <v>773.65919657355573</v>
      </c>
      <c r="I72" s="19">
        <f>I54*Inputs!$H$61</f>
        <v>790.94152113017833</v>
      </c>
      <c r="J72" s="19">
        <f>J54*Inputs!$H$61</f>
        <v>811.62231945885117</v>
      </c>
      <c r="K72" s="19">
        <f>K54*Inputs!$H$61</f>
        <v>833.48785601296868</v>
      </c>
      <c r="L72" s="19">
        <f>L54*Inputs!$H$61</f>
        <v>837.2020159123748</v>
      </c>
      <c r="M72" s="19">
        <f>M54*Inputs!$H$61</f>
        <v>833.07393112598709</v>
      </c>
      <c r="N72" s="190">
        <f>N54*Inputs!$H$61</f>
        <v>815.53252997744687</v>
      </c>
      <c r="O72" s="19">
        <f>O54*Inputs!$H$61</f>
        <v>804.92095871944821</v>
      </c>
      <c r="P72" s="19">
        <f>P54*Inputs!$H$61</f>
        <v>781.71560279024277</v>
      </c>
      <c r="Q72" s="19">
        <f>Q54*Inputs!$H$61</f>
        <v>764.3728265976273</v>
      </c>
      <c r="R72" s="19">
        <f>R54*Inputs!$H$61</f>
        <v>757.56947555260319</v>
      </c>
      <c r="S72" s="19">
        <f>S54*Inputs!$H$61</f>
        <v>754.75242672806041</v>
      </c>
      <c r="T72" s="19">
        <f>T54*Inputs!$H$61</f>
        <v>731.62602143751633</v>
      </c>
      <c r="U72" s="19">
        <f>U54*Inputs!$H$61</f>
        <v>697.57385938001585</v>
      </c>
      <c r="V72" s="19">
        <f>V54*Inputs!$H$61</f>
        <v>697.76489068939043</v>
      </c>
      <c r="W72" s="19">
        <f>W54*Inputs!$H$61</f>
        <v>672.71667187616902</v>
      </c>
      <c r="X72" s="182">
        <f>X54*Inputs!$H$61</f>
        <v>683.83824640773582</v>
      </c>
      <c r="Y72" s="19">
        <f>Y54*Inputs!$H$61</f>
        <v>693.90047490467327</v>
      </c>
      <c r="Z72" s="19">
        <f>Z54*Inputs!$H$61</f>
        <v>715.87463811991472</v>
      </c>
      <c r="AA72" s="19">
        <f>AA54*Inputs!$H$61</f>
        <v>736.73919752054985</v>
      </c>
      <c r="AB72" s="19">
        <f>AB54*Inputs!$H$61</f>
        <v>749.41397677616749</v>
      </c>
      <c r="AC72" s="19">
        <f>AC54*Inputs!$H$61</f>
        <v>741.18005775205575</v>
      </c>
      <c r="AD72" s="19">
        <f>AD54*Inputs!$H$61</f>
        <v>733.95561507356172</v>
      </c>
      <c r="AE72" s="19">
        <f>AE54*Inputs!$H$61</f>
        <v>728.85748398360761</v>
      </c>
      <c r="AF72" s="19">
        <f>AF54*Inputs!$H$61</f>
        <v>722.16812819139113</v>
      </c>
      <c r="AG72" s="19">
        <f>AG54*Inputs!$H$61</f>
        <v>712.59070292802323</v>
      </c>
      <c r="AH72" s="19">
        <f>AH54*Inputs!$H$61</f>
        <v>688.85430919494252</v>
      </c>
    </row>
    <row r="73" spans="1:34" ht="15">
      <c r="A73" s="27" t="s">
        <v>58</v>
      </c>
      <c r="C73" s="331">
        <f>SUM(C70:C72)</f>
        <v>765.72108000000003</v>
      </c>
      <c r="D73" s="331">
        <f t="shared" ref="D73:AH73" si="27">SUM(D70:D72)</f>
        <v>880.26066000000003</v>
      </c>
      <c r="E73" s="331">
        <f t="shared" si="27"/>
        <v>913.90977409149286</v>
      </c>
      <c r="F73" s="331">
        <f t="shared" si="27"/>
        <v>900.01822168911394</v>
      </c>
      <c r="G73" s="331">
        <f t="shared" si="27"/>
        <v>879.17729451369041</v>
      </c>
      <c r="H73" s="14">
        <f t="shared" si="27"/>
        <v>912.52251833813534</v>
      </c>
      <c r="I73" s="14">
        <f t="shared" si="27"/>
        <v>933.33943658923874</v>
      </c>
      <c r="J73" s="14">
        <f t="shared" si="27"/>
        <v>958.06785044472599</v>
      </c>
      <c r="K73" s="14">
        <f t="shared" si="27"/>
        <v>983.11292143488993</v>
      </c>
      <c r="L73" s="14">
        <f t="shared" si="27"/>
        <v>987.39886020253664</v>
      </c>
      <c r="M73" s="14">
        <f t="shared" si="27"/>
        <v>982.73433523895187</v>
      </c>
      <c r="N73" s="190">
        <f t="shared" si="27"/>
        <v>962.7271380583594</v>
      </c>
      <c r="O73" s="14">
        <f t="shared" si="27"/>
        <v>950.75128299172184</v>
      </c>
      <c r="P73" s="14">
        <f t="shared" si="27"/>
        <v>924.22078260821661</v>
      </c>
      <c r="Q73" s="14">
        <f t="shared" si="27"/>
        <v>904.47306901901175</v>
      </c>
      <c r="R73" s="14">
        <f t="shared" si="27"/>
        <v>896.71892991476193</v>
      </c>
      <c r="S73" s="14">
        <f t="shared" si="27"/>
        <v>893.57839358690762</v>
      </c>
      <c r="T73" s="14">
        <f t="shared" si="27"/>
        <v>867.16661447987974</v>
      </c>
      <c r="U73" s="14">
        <f t="shared" si="27"/>
        <v>828.26686265303795</v>
      </c>
      <c r="V73" s="14">
        <f t="shared" si="27"/>
        <v>828.7396300656236</v>
      </c>
      <c r="W73" s="14">
        <f t="shared" si="27"/>
        <v>800.04767441282354</v>
      </c>
      <c r="X73" s="187">
        <f t="shared" si="27"/>
        <v>812.78778558070189</v>
      </c>
      <c r="Y73" s="14">
        <f t="shared" si="27"/>
        <v>824.40353832821529</v>
      </c>
      <c r="Z73" s="14">
        <f t="shared" si="27"/>
        <v>849.54152764984769</v>
      </c>
      <c r="AA73" s="14">
        <f t="shared" si="27"/>
        <v>873.46953292897763</v>
      </c>
      <c r="AB73" s="14">
        <f t="shared" si="27"/>
        <v>887.96675036383863</v>
      </c>
      <c r="AC73" s="14">
        <f t="shared" si="27"/>
        <v>878.58585154965306</v>
      </c>
      <c r="AD73" s="14">
        <f t="shared" si="27"/>
        <v>870.50041886503311</v>
      </c>
      <c r="AE73" s="14">
        <f t="shared" si="27"/>
        <v>864.84045657716774</v>
      </c>
      <c r="AF73" s="14">
        <f t="shared" si="27"/>
        <v>857.24732744084258</v>
      </c>
      <c r="AG73" s="14">
        <f t="shared" si="27"/>
        <v>846.2804587970686</v>
      </c>
      <c r="AH73" s="14">
        <f t="shared" si="27"/>
        <v>819.20326217736988</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5">
        <f>'backup - EIA liq_fuelS_aeo2014'!E46</f>
        <v>273.77869168296451</v>
      </c>
      <c r="D78" s="335">
        <f>'backup - EIA liq_fuelS_aeo2014'!F46</f>
        <v>330.59007454663532</v>
      </c>
      <c r="E78" s="335">
        <f>'backup - EIA liq_fuelS_aeo2014'!G46</f>
        <v>346.41273999999999</v>
      </c>
      <c r="F78" s="335">
        <f>'backup - EIA liq_fuelS_aeo2014'!H46</f>
        <v>332.23648773503913</v>
      </c>
      <c r="G78" s="335">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0">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1">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0" t="e">
        <f>C78*Inputs!$C58</f>
        <v>#REF!</v>
      </c>
      <c r="D83" s="330" t="e">
        <f>D78*Inputs!$C58</f>
        <v>#REF!</v>
      </c>
      <c r="E83" s="330" t="e">
        <f>E78*Inputs!$C58</f>
        <v>#REF!</v>
      </c>
      <c r="F83" s="330" t="e">
        <f>F78*Inputs!$C58</f>
        <v>#REF!</v>
      </c>
      <c r="G83" s="330" t="e">
        <f>G78*Inputs!$C58</f>
        <v>#REF!</v>
      </c>
      <c r="H83" s="50" t="e">
        <f>H78*Inputs!$C58</f>
        <v>#REF!</v>
      </c>
      <c r="I83" s="50" t="e">
        <f>I78*Inputs!$C58</f>
        <v>#REF!</v>
      </c>
      <c r="J83" s="50" t="e">
        <f>J78*Inputs!$C58</f>
        <v>#REF!</v>
      </c>
      <c r="K83" s="50" t="e">
        <f>K78*Inputs!$C58</f>
        <v>#REF!</v>
      </c>
      <c r="L83" s="50" t="e">
        <f>L78*Inputs!$C58</f>
        <v>#REF!</v>
      </c>
      <c r="M83" s="50" t="e">
        <f>M78*Inputs!$C58</f>
        <v>#REF!</v>
      </c>
      <c r="N83" s="388"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abSelected="1"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7" customWidth="1"/>
    <col min="6" max="6" width="9" style="417" customWidth="1"/>
    <col min="7" max="7" width="9.6640625" style="81" customWidth="1"/>
    <col min="8" max="8" width="10.83203125" style="417" customWidth="1"/>
    <col min="9" max="9" width="5.6640625" style="417" bestFit="1" customWidth="1"/>
    <col min="10" max="10" width="9.33203125" style="417" customWidth="1"/>
    <col min="11" max="11" width="6.5" style="417" customWidth="1"/>
    <col min="12" max="12" width="9.6640625" style="417" customWidth="1"/>
    <col min="13" max="13" width="5.6640625" style="417"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50"/>
      <c r="B1" s="550"/>
      <c r="C1" s="550"/>
      <c r="D1" s="550"/>
      <c r="E1" s="550"/>
      <c r="F1" s="550"/>
      <c r="G1" s="550"/>
      <c r="H1" s="550"/>
      <c r="I1" s="550"/>
      <c r="J1" s="550"/>
      <c r="K1" s="550"/>
      <c r="L1" s="550"/>
      <c r="M1" s="550"/>
      <c r="N1" s="550"/>
      <c r="O1" s="550"/>
      <c r="P1" s="550"/>
    </row>
    <row r="2" spans="1:16">
      <c r="A2" s="550"/>
      <c r="B2" s="550"/>
      <c r="C2" s="550"/>
      <c r="D2" s="550"/>
      <c r="E2" s="550"/>
      <c r="F2" s="550"/>
      <c r="G2" s="550"/>
      <c r="H2" s="550"/>
      <c r="I2" s="550"/>
      <c r="J2" s="550"/>
      <c r="K2" s="550"/>
      <c r="L2" s="550"/>
      <c r="M2" s="550"/>
      <c r="N2" s="550"/>
      <c r="O2" s="550"/>
      <c r="P2" s="550"/>
    </row>
    <row r="3" spans="1:16">
      <c r="A3" s="550"/>
      <c r="B3" s="550"/>
      <c r="C3" s="550"/>
      <c r="D3" s="550"/>
      <c r="E3" s="550"/>
      <c r="F3" s="550"/>
      <c r="G3" s="550"/>
      <c r="H3" s="550"/>
      <c r="I3" s="550"/>
      <c r="J3" s="550"/>
      <c r="K3" s="550"/>
      <c r="L3" s="550"/>
      <c r="M3" s="550"/>
      <c r="N3" s="550"/>
      <c r="O3" s="550"/>
      <c r="P3" s="550"/>
    </row>
    <row r="4" spans="1:16">
      <c r="A4" s="550"/>
      <c r="B4" s="550"/>
      <c r="C4" s="550"/>
      <c r="D4" s="550"/>
      <c r="E4" s="550"/>
      <c r="F4" s="550"/>
      <c r="G4" s="550"/>
      <c r="H4" s="550"/>
      <c r="I4" s="550"/>
      <c r="J4" s="550"/>
      <c r="K4" s="550"/>
      <c r="L4" s="550"/>
      <c r="M4" s="550"/>
      <c r="N4" s="550"/>
      <c r="O4" s="550"/>
      <c r="P4" s="550"/>
    </row>
    <row r="5" spans="1:16">
      <c r="A5" s="550"/>
      <c r="B5" s="550"/>
      <c r="C5" s="550"/>
      <c r="D5" s="550"/>
      <c r="E5" s="550"/>
      <c r="F5" s="550"/>
      <c r="G5" s="550"/>
      <c r="H5" s="550"/>
      <c r="I5" s="550"/>
      <c r="J5" s="550"/>
      <c r="K5" s="550"/>
      <c r="L5" s="550"/>
      <c r="M5" s="550"/>
      <c r="N5" s="550"/>
      <c r="O5" s="550"/>
      <c r="P5" s="550"/>
    </row>
    <row r="6" spans="1:16">
      <c r="A6" s="550"/>
      <c r="B6" s="550"/>
      <c r="C6" s="550"/>
      <c r="D6" s="550"/>
      <c r="E6" s="550"/>
      <c r="F6" s="550"/>
      <c r="G6" s="550"/>
      <c r="H6" s="550"/>
      <c r="I6" s="550"/>
      <c r="J6" s="550"/>
      <c r="K6" s="550"/>
      <c r="L6" s="550"/>
      <c r="M6" s="550"/>
      <c r="N6" s="550"/>
      <c r="O6" s="550"/>
      <c r="P6" s="550"/>
    </row>
    <row r="7" spans="1:16">
      <c r="A7" s="550"/>
      <c r="B7" s="550"/>
      <c r="C7" s="550"/>
      <c r="D7" s="550"/>
      <c r="E7" s="550"/>
      <c r="F7" s="550"/>
      <c r="G7" s="550"/>
      <c r="H7" s="550"/>
      <c r="I7" s="550"/>
      <c r="J7" s="550"/>
      <c r="K7" s="550"/>
      <c r="L7" s="550"/>
      <c r="M7" s="550"/>
      <c r="N7" s="550"/>
      <c r="O7" s="550"/>
      <c r="P7" s="550"/>
    </row>
    <row r="8" spans="1:16">
      <c r="A8" s="550"/>
      <c r="B8" s="550"/>
      <c r="C8" s="550"/>
      <c r="D8" s="550"/>
      <c r="E8" s="550"/>
      <c r="F8" s="550"/>
      <c r="G8" s="550"/>
      <c r="H8" s="550"/>
      <c r="I8" s="550"/>
      <c r="J8" s="550"/>
      <c r="K8" s="550"/>
      <c r="L8" s="550"/>
      <c r="M8" s="550"/>
      <c r="N8" s="550"/>
      <c r="O8" s="550"/>
      <c r="P8" s="550"/>
    </row>
    <row r="9" spans="1:16" ht="2.25" customHeight="1">
      <c r="A9" s="550"/>
      <c r="B9" s="550"/>
      <c r="C9" s="550"/>
      <c r="D9" s="550"/>
      <c r="E9" s="550"/>
      <c r="F9" s="550"/>
      <c r="G9" s="550"/>
      <c r="H9" s="550"/>
      <c r="I9" s="550"/>
      <c r="J9" s="550"/>
      <c r="K9" s="550"/>
      <c r="L9" s="550"/>
      <c r="M9" s="550"/>
      <c r="N9" s="550"/>
      <c r="O9" s="550"/>
      <c r="P9" s="550"/>
    </row>
    <row r="10" spans="1:16" hidden="1">
      <c r="A10" s="550"/>
      <c r="B10" s="550"/>
      <c r="C10" s="550"/>
      <c r="D10" s="550"/>
      <c r="E10" s="550"/>
      <c r="F10" s="550"/>
      <c r="G10" s="550"/>
      <c r="H10" s="550"/>
      <c r="I10" s="550"/>
      <c r="J10" s="550"/>
      <c r="K10" s="550"/>
      <c r="L10" s="550"/>
      <c r="M10" s="550"/>
      <c r="N10" s="550"/>
      <c r="O10" s="550"/>
      <c r="P10" s="550"/>
    </row>
    <row r="11" spans="1:16">
      <c r="A11" s="551" t="s">
        <v>212</v>
      </c>
      <c r="B11" s="553">
        <v>2000</v>
      </c>
      <c r="C11" s="555" t="s">
        <v>219</v>
      </c>
      <c r="D11" s="555" t="s">
        <v>555</v>
      </c>
      <c r="E11" s="558" t="s">
        <v>213</v>
      </c>
      <c r="F11" s="559"/>
      <c r="G11" s="553"/>
      <c r="H11" s="562" t="s">
        <v>556</v>
      </c>
      <c r="I11" s="563"/>
      <c r="J11" s="563"/>
      <c r="K11" s="563"/>
      <c r="L11" s="563"/>
      <c r="M11" s="563"/>
      <c r="N11" s="563"/>
      <c r="O11" s="564"/>
    </row>
    <row r="12" spans="1:16">
      <c r="A12" s="552"/>
      <c r="B12" s="554"/>
      <c r="C12" s="556"/>
      <c r="D12" s="556"/>
      <c r="E12" s="560"/>
      <c r="F12" s="561"/>
      <c r="G12" s="554"/>
      <c r="H12" s="561" t="s">
        <v>214</v>
      </c>
      <c r="I12" s="554"/>
      <c r="J12" s="560" t="s">
        <v>215</v>
      </c>
      <c r="K12" s="554"/>
      <c r="L12" s="560" t="s">
        <v>216</v>
      </c>
      <c r="M12" s="561"/>
      <c r="N12" s="561"/>
      <c r="O12" s="554"/>
    </row>
    <row r="13" spans="1:16" ht="67" thickBot="1">
      <c r="A13" s="211" t="s">
        <v>217</v>
      </c>
      <c r="B13" s="211" t="s">
        <v>218</v>
      </c>
      <c r="C13" s="557"/>
      <c r="D13" s="557"/>
      <c r="E13" s="411" t="s">
        <v>557</v>
      </c>
      <c r="F13" s="435" t="s">
        <v>558</v>
      </c>
      <c r="G13" s="212" t="s">
        <v>308</v>
      </c>
      <c r="H13" s="423" t="s">
        <v>359</v>
      </c>
      <c r="I13" s="435" t="s">
        <v>559</v>
      </c>
      <c r="J13" s="411" t="s">
        <v>359</v>
      </c>
      <c r="K13" s="435" t="s">
        <v>559</v>
      </c>
      <c r="L13" s="411" t="s">
        <v>359</v>
      </c>
      <c r="M13" s="435" t="s">
        <v>559</v>
      </c>
      <c r="N13" s="212" t="s">
        <v>58</v>
      </c>
      <c r="O13" s="212" t="s">
        <v>560</v>
      </c>
    </row>
    <row r="14" spans="1:16" ht="13" thickTop="1">
      <c r="A14" s="443" t="s">
        <v>561</v>
      </c>
      <c r="B14" s="443" t="s">
        <v>562</v>
      </c>
      <c r="C14" s="444">
        <v>0.85</v>
      </c>
      <c r="D14" s="445">
        <v>40</v>
      </c>
      <c r="E14" s="433">
        <v>4.29</v>
      </c>
      <c r="F14" s="446">
        <v>1.53</v>
      </c>
      <c r="G14" s="434">
        <v>0</v>
      </c>
      <c r="H14" s="447">
        <f t="shared" ref="H14:H32" si="0">E14/D14</f>
        <v>0.10725</v>
      </c>
      <c r="I14" s="434">
        <f t="shared" ref="I14:I32" si="1">F14+G14*8760/1000*C14</f>
        <v>1.53</v>
      </c>
      <c r="J14" s="448">
        <f t="shared" ref="J14:J32" si="2">H14/C14</f>
        <v>0.12617647058823531</v>
      </c>
      <c r="K14" s="434">
        <f t="shared" ref="K14:K32" si="3">I14/C14</f>
        <v>1.8</v>
      </c>
      <c r="L14" s="448">
        <f t="shared" ref="L14:M31" si="4">J14/8760*1000</f>
        <v>1.4403706688154716E-2</v>
      </c>
      <c r="M14" s="434">
        <f t="shared" si="4"/>
        <v>0.20547945205479454</v>
      </c>
      <c r="N14" s="449">
        <f t="shared" ref="N14:N32" si="5">SUM(L14:M14)</f>
        <v>0.21988315874294925</v>
      </c>
      <c r="O14" s="546">
        <f>AVERAGE(N14:N15)</f>
        <v>0.20532702121944668</v>
      </c>
    </row>
    <row r="15" spans="1:16" ht="13" thickBot="1">
      <c r="A15" s="223" t="s">
        <v>563</v>
      </c>
      <c r="B15" s="223" t="s">
        <v>564</v>
      </c>
      <c r="C15" s="224">
        <v>0.85</v>
      </c>
      <c r="D15" s="225">
        <v>40</v>
      </c>
      <c r="E15" s="226">
        <v>8.5</v>
      </c>
      <c r="F15" s="432">
        <v>0.24</v>
      </c>
      <c r="G15" s="532">
        <v>0.13</v>
      </c>
      <c r="H15" s="414">
        <f t="shared" si="0"/>
        <v>0.21249999999999999</v>
      </c>
      <c r="I15" s="532">
        <f t="shared" si="1"/>
        <v>1.2079800000000001</v>
      </c>
      <c r="J15" s="427">
        <f t="shared" si="2"/>
        <v>0.25</v>
      </c>
      <c r="K15" s="532">
        <f t="shared" si="3"/>
        <v>1.4211529411764707</v>
      </c>
      <c r="L15" s="427">
        <f t="shared" si="4"/>
        <v>2.8538812785388126E-2</v>
      </c>
      <c r="M15" s="532">
        <f t="shared" si="4"/>
        <v>0.16223207091055603</v>
      </c>
      <c r="N15" s="419">
        <f t="shared" si="5"/>
        <v>0.19077088369594414</v>
      </c>
      <c r="O15" s="547"/>
    </row>
    <row r="16" spans="1:16">
      <c r="A16" s="227" t="s">
        <v>565</v>
      </c>
      <c r="B16" s="227" t="s">
        <v>566</v>
      </c>
      <c r="C16" s="228">
        <v>0.9</v>
      </c>
      <c r="D16" s="229">
        <v>40</v>
      </c>
      <c r="E16" s="230">
        <f>36000/5600</f>
        <v>6.4285714285714288</v>
      </c>
      <c r="F16" s="464">
        <f>10000/5600</f>
        <v>1.7857142857142858</v>
      </c>
      <c r="G16" s="230">
        <v>0</v>
      </c>
      <c r="H16" s="412">
        <f t="shared" si="0"/>
        <v>0.16071428571428573</v>
      </c>
      <c r="I16" s="533">
        <f t="shared" si="1"/>
        <v>1.7857142857142858</v>
      </c>
      <c r="J16" s="428">
        <f t="shared" si="2"/>
        <v>0.17857142857142858</v>
      </c>
      <c r="K16" s="533">
        <f t="shared" si="3"/>
        <v>1.9841269841269842</v>
      </c>
      <c r="L16" s="428">
        <f t="shared" si="4"/>
        <v>2.0384866275277233E-2</v>
      </c>
      <c r="M16" s="533">
        <f t="shared" si="4"/>
        <v>0.22649851416974706</v>
      </c>
      <c r="N16" s="421">
        <f t="shared" si="5"/>
        <v>0.24688338044502428</v>
      </c>
      <c r="O16" s="548">
        <f>AVERAGE(N16:N18)</f>
        <v>0.24750247638375492</v>
      </c>
    </row>
    <row r="17" spans="1:15">
      <c r="A17" s="217" t="s">
        <v>567</v>
      </c>
      <c r="B17" s="217" t="s">
        <v>312</v>
      </c>
      <c r="C17" s="218">
        <v>0.9</v>
      </c>
      <c r="D17" s="219">
        <v>40</v>
      </c>
      <c r="E17" s="216">
        <v>17.5</v>
      </c>
      <c r="F17" s="531">
        <v>1.7</v>
      </c>
      <c r="G17" s="216">
        <v>0</v>
      </c>
      <c r="H17" s="530">
        <f>E17/D17</f>
        <v>0.4375</v>
      </c>
      <c r="I17" s="534">
        <f>F17+G17*8760/1000*C17</f>
        <v>1.7</v>
      </c>
      <c r="J17" s="429">
        <f>H17/C17</f>
        <v>0.4861111111111111</v>
      </c>
      <c r="K17" s="534">
        <f>I17/C17</f>
        <v>1.8888888888888888</v>
      </c>
      <c r="L17" s="429">
        <f t="shared" si="4"/>
        <v>5.5492135971588023E-2</v>
      </c>
      <c r="M17" s="534">
        <f t="shared" si="4"/>
        <v>0.21562658548959918</v>
      </c>
      <c r="N17" s="420">
        <f>SUM(L17:M17)</f>
        <v>0.27111872146118721</v>
      </c>
      <c r="O17" s="549"/>
    </row>
    <row r="18" spans="1:15" ht="13" thickBot="1">
      <c r="A18" s="451" t="s">
        <v>568</v>
      </c>
      <c r="B18" s="451" t="s">
        <v>562</v>
      </c>
      <c r="C18" s="452">
        <v>0.9</v>
      </c>
      <c r="D18" s="453">
        <v>40</v>
      </c>
      <c r="E18" s="438">
        <v>4</v>
      </c>
      <c r="F18" s="450">
        <v>1.67</v>
      </c>
      <c r="G18" s="438">
        <v>0</v>
      </c>
      <c r="H18" s="454">
        <f>E18/D18</f>
        <v>0.1</v>
      </c>
      <c r="I18" s="439">
        <f>F18+G18*8760/1000*C18</f>
        <v>1.67</v>
      </c>
      <c r="J18" s="441">
        <f>H18/C18</f>
        <v>0.11111111111111112</v>
      </c>
      <c r="K18" s="439">
        <f>I18/C18</f>
        <v>1.8555555555555554</v>
      </c>
      <c r="L18" s="441">
        <f t="shared" si="4"/>
        <v>1.2683916793505836E-2</v>
      </c>
      <c r="M18" s="439">
        <f t="shared" si="4"/>
        <v>0.21182141045154743</v>
      </c>
      <c r="N18" s="442">
        <f>SUM(L18:M18)</f>
        <v>0.22450532724505326</v>
      </c>
      <c r="O18" s="547"/>
    </row>
    <row r="19" spans="1:15">
      <c r="A19" s="227" t="s">
        <v>569</v>
      </c>
      <c r="B19" s="227" t="s">
        <v>312</v>
      </c>
      <c r="C19" s="228">
        <v>0.85</v>
      </c>
      <c r="D19" s="229">
        <v>40</v>
      </c>
      <c r="E19" s="230">
        <v>21.3</v>
      </c>
      <c r="F19" s="464">
        <v>7.8</v>
      </c>
      <c r="G19" s="230">
        <v>0</v>
      </c>
      <c r="H19" s="412">
        <f>E19/D19</f>
        <v>0.53249999999999997</v>
      </c>
      <c r="I19" s="533">
        <f>F19+G19*8760/1000*C19</f>
        <v>7.8</v>
      </c>
      <c r="J19" s="428">
        <f>H19/C19</f>
        <v>0.62647058823529411</v>
      </c>
      <c r="K19" s="533">
        <f>I19/C19</f>
        <v>9.1764705882352935</v>
      </c>
      <c r="L19" s="428">
        <f t="shared" si="4"/>
        <v>7.1514907332796127E-2</v>
      </c>
      <c r="M19" s="533">
        <f t="shared" si="4"/>
        <v>1.0475423045930701</v>
      </c>
      <c r="N19" s="421">
        <f>SUM(L19:M19)</f>
        <v>1.1190572119258662</v>
      </c>
      <c r="O19" s="548">
        <f>AVERAGE(N19:N20)</f>
        <v>0.71885911899006172</v>
      </c>
    </row>
    <row r="20" spans="1:15" ht="13" thickBot="1">
      <c r="A20" s="451" t="s">
        <v>570</v>
      </c>
      <c r="B20" s="451" t="s">
        <v>562</v>
      </c>
      <c r="C20" s="452">
        <v>0.85</v>
      </c>
      <c r="D20" s="453">
        <v>40</v>
      </c>
      <c r="E20" s="438">
        <v>3.71</v>
      </c>
      <c r="F20" s="450">
        <v>2.2799999999999998</v>
      </c>
      <c r="G20" s="438">
        <v>0</v>
      </c>
      <c r="H20" s="454">
        <f t="shared" si="0"/>
        <v>9.2749999999999999E-2</v>
      </c>
      <c r="I20" s="439">
        <f t="shared" si="1"/>
        <v>2.2799999999999998</v>
      </c>
      <c r="J20" s="441">
        <f t="shared" si="2"/>
        <v>0.10911764705882353</v>
      </c>
      <c r="K20" s="439">
        <f t="shared" si="3"/>
        <v>2.6823529411764704</v>
      </c>
      <c r="L20" s="441">
        <f t="shared" si="4"/>
        <v>1.2456352403975288E-2</v>
      </c>
      <c r="M20" s="439">
        <f t="shared" si="4"/>
        <v>0.30620467365028203</v>
      </c>
      <c r="N20" s="442">
        <f t="shared" si="5"/>
        <v>0.31866102605425733</v>
      </c>
      <c r="O20" s="547"/>
    </row>
    <row r="21" spans="1:15" ht="13" thickBot="1">
      <c r="A21" s="231" t="s">
        <v>571</v>
      </c>
      <c r="B21" s="231" t="s">
        <v>562</v>
      </c>
      <c r="C21" s="232">
        <v>0.55000000000000004</v>
      </c>
      <c r="D21" s="233">
        <v>40</v>
      </c>
      <c r="E21" s="234">
        <v>5.71</v>
      </c>
      <c r="F21" s="462">
        <v>1.1399999999999999</v>
      </c>
      <c r="G21" s="234">
        <v>0</v>
      </c>
      <c r="H21" s="413">
        <f t="shared" si="0"/>
        <v>0.14274999999999999</v>
      </c>
      <c r="I21" s="235">
        <f t="shared" si="1"/>
        <v>1.1399999999999999</v>
      </c>
      <c r="J21" s="430">
        <f t="shared" si="2"/>
        <v>0.25954545454545452</v>
      </c>
      <c r="K21" s="235">
        <f t="shared" si="3"/>
        <v>2.0727272727272723</v>
      </c>
      <c r="L21" s="430">
        <f t="shared" si="4"/>
        <v>2.9628476546284761E-2</v>
      </c>
      <c r="M21" s="235">
        <f t="shared" si="4"/>
        <v>0.236612702366127</v>
      </c>
      <c r="N21" s="422">
        <f t="shared" si="5"/>
        <v>0.26624117891241178</v>
      </c>
      <c r="O21" s="235">
        <f>N21</f>
        <v>0.26624117891241178</v>
      </c>
    </row>
    <row r="22" spans="1:15">
      <c r="A22" s="236" t="s">
        <v>309</v>
      </c>
      <c r="B22" s="236" t="s">
        <v>572</v>
      </c>
      <c r="C22" s="237">
        <v>0.2</v>
      </c>
      <c r="D22" s="238">
        <v>25</v>
      </c>
      <c r="E22" s="239">
        <v>37</v>
      </c>
      <c r="F22" s="468">
        <v>1</v>
      </c>
      <c r="G22" s="239">
        <v>0</v>
      </c>
      <c r="H22" s="424">
        <f>E22/D22</f>
        <v>1.48</v>
      </c>
      <c r="I22" s="535">
        <f>F22+G22*8760/1000*C22</f>
        <v>1</v>
      </c>
      <c r="J22" s="431">
        <f>H22/C22</f>
        <v>7.3999999999999995</v>
      </c>
      <c r="K22" s="535">
        <f>I22/C22</f>
        <v>5</v>
      </c>
      <c r="L22" s="431">
        <f>J22/8760*1000</f>
        <v>0.84474885844748848</v>
      </c>
      <c r="M22" s="535">
        <f>K22/8760*1000</f>
        <v>0.57077625570776247</v>
      </c>
      <c r="N22" s="426">
        <f>SUM(L22:M22)</f>
        <v>1.415525114155251</v>
      </c>
      <c r="O22" s="568">
        <f>N39</f>
        <v>0.79313246811604099</v>
      </c>
    </row>
    <row r="23" spans="1:15">
      <c r="A23" s="455" t="s">
        <v>310</v>
      </c>
      <c r="B23" s="455" t="s">
        <v>221</v>
      </c>
      <c r="C23" s="456">
        <v>0.2</v>
      </c>
      <c r="D23" s="457">
        <v>25</v>
      </c>
      <c r="E23" s="458">
        <v>32.340000000000003</v>
      </c>
      <c r="F23" s="467">
        <v>0.37</v>
      </c>
      <c r="G23" s="458">
        <v>0</v>
      </c>
      <c r="H23" s="459">
        <f t="shared" si="0"/>
        <v>1.2936000000000001</v>
      </c>
      <c r="I23" s="529">
        <f t="shared" si="1"/>
        <v>0.37</v>
      </c>
      <c r="J23" s="460">
        <f t="shared" si="2"/>
        <v>6.468</v>
      </c>
      <c r="K23" s="529">
        <f t="shared" si="3"/>
        <v>1.8499999999999999</v>
      </c>
      <c r="L23" s="460">
        <f t="shared" si="4"/>
        <v>0.73835616438356166</v>
      </c>
      <c r="M23" s="529">
        <f t="shared" si="4"/>
        <v>0.21118721461187212</v>
      </c>
      <c r="N23" s="461">
        <f t="shared" si="5"/>
        <v>0.94954337899543373</v>
      </c>
      <c r="O23" s="569"/>
    </row>
    <row r="24" spans="1:15" ht="13" thickBot="1">
      <c r="A24" s="451" t="s">
        <v>311</v>
      </c>
      <c r="B24" s="451" t="s">
        <v>562</v>
      </c>
      <c r="C24" s="452">
        <v>0.2</v>
      </c>
      <c r="D24" s="451">
        <v>25</v>
      </c>
      <c r="E24" s="438">
        <v>7.14</v>
      </c>
      <c r="F24" s="450">
        <v>0.12</v>
      </c>
      <c r="G24" s="465">
        <v>0</v>
      </c>
      <c r="H24" s="454">
        <f t="shared" si="0"/>
        <v>0.28559999999999997</v>
      </c>
      <c r="I24" s="438">
        <f t="shared" si="1"/>
        <v>0.12</v>
      </c>
      <c r="J24" s="450">
        <f t="shared" si="2"/>
        <v>1.4279999999999997</v>
      </c>
      <c r="K24" s="438">
        <f t="shared" si="3"/>
        <v>0.6</v>
      </c>
      <c r="L24" s="450">
        <f t="shared" si="4"/>
        <v>0.16301369863013696</v>
      </c>
      <c r="M24" s="438">
        <f t="shared" si="4"/>
        <v>6.8493150684931503E-2</v>
      </c>
      <c r="N24" s="466">
        <f t="shared" si="5"/>
        <v>0.23150684931506846</v>
      </c>
      <c r="O24" s="570"/>
    </row>
    <row r="25" spans="1:15">
      <c r="A25" s="227" t="s">
        <v>433</v>
      </c>
      <c r="B25" s="227" t="s">
        <v>437</v>
      </c>
      <c r="C25" s="240">
        <v>0.4</v>
      </c>
      <c r="D25" s="229">
        <v>25</v>
      </c>
      <c r="E25" s="230">
        <f>10310/1000</f>
        <v>10.31</v>
      </c>
      <c r="F25" s="464">
        <v>1</v>
      </c>
      <c r="G25" s="230">
        <v>0</v>
      </c>
      <c r="H25" s="424">
        <f t="shared" si="0"/>
        <v>0.41240000000000004</v>
      </c>
      <c r="I25" s="535">
        <f t="shared" si="1"/>
        <v>1</v>
      </c>
      <c r="J25" s="431">
        <f t="shared" si="2"/>
        <v>1.0310000000000001</v>
      </c>
      <c r="K25" s="535">
        <f t="shared" si="3"/>
        <v>2.5</v>
      </c>
      <c r="L25" s="431">
        <f t="shared" si="4"/>
        <v>0.11769406392694066</v>
      </c>
      <c r="M25" s="535">
        <f t="shared" si="4"/>
        <v>0.28538812785388123</v>
      </c>
      <c r="N25" s="426">
        <f t="shared" si="5"/>
        <v>0.40308219178082189</v>
      </c>
      <c r="O25" s="548">
        <f>AVERAGE(N25:N26,N27)</f>
        <v>0.23028919330289191</v>
      </c>
    </row>
    <row r="26" spans="1:15">
      <c r="A26" s="214" t="s">
        <v>434</v>
      </c>
      <c r="B26" s="214" t="s">
        <v>436</v>
      </c>
      <c r="C26" s="220">
        <v>0.4</v>
      </c>
      <c r="D26" s="215">
        <v>25</v>
      </c>
      <c r="E26" s="216">
        <v>4.5</v>
      </c>
      <c r="F26" s="531">
        <v>0.38</v>
      </c>
      <c r="G26" s="534">
        <v>0</v>
      </c>
      <c r="H26" s="415">
        <f t="shared" si="0"/>
        <v>0.18</v>
      </c>
      <c r="I26" s="534">
        <f t="shared" si="1"/>
        <v>0.38</v>
      </c>
      <c r="J26" s="429">
        <f t="shared" si="2"/>
        <v>0.44999999999999996</v>
      </c>
      <c r="K26" s="534">
        <f t="shared" si="3"/>
        <v>0.95</v>
      </c>
      <c r="L26" s="429">
        <f t="shared" si="4"/>
        <v>5.1369863013698627E-2</v>
      </c>
      <c r="M26" s="534">
        <f t="shared" si="4"/>
        <v>0.10844748858447488</v>
      </c>
      <c r="N26" s="420">
        <f t="shared" si="5"/>
        <v>0.15981735159817351</v>
      </c>
      <c r="O26" s="549"/>
    </row>
    <row r="27" spans="1:15" ht="13" thickBot="1">
      <c r="A27" s="436" t="s">
        <v>435</v>
      </c>
      <c r="B27" s="436" t="s">
        <v>562</v>
      </c>
      <c r="C27" s="463">
        <v>0.4</v>
      </c>
      <c r="D27" s="436">
        <v>25</v>
      </c>
      <c r="E27" s="439">
        <v>5.71</v>
      </c>
      <c r="F27" s="441">
        <v>0.22</v>
      </c>
      <c r="G27" s="465">
        <v>0</v>
      </c>
      <c r="H27" s="440">
        <f t="shared" si="0"/>
        <v>0.22839999999999999</v>
      </c>
      <c r="I27" s="439">
        <f t="shared" si="1"/>
        <v>0.22</v>
      </c>
      <c r="J27" s="441">
        <f t="shared" si="2"/>
        <v>0.57099999999999995</v>
      </c>
      <c r="K27" s="439">
        <f t="shared" si="3"/>
        <v>0.54999999999999993</v>
      </c>
      <c r="L27" s="441">
        <f t="shared" si="4"/>
        <v>6.5182648401826485E-2</v>
      </c>
      <c r="M27" s="439">
        <f t="shared" si="4"/>
        <v>6.2785388127853878E-2</v>
      </c>
      <c r="N27" s="442">
        <f t="shared" si="5"/>
        <v>0.12796803652968036</v>
      </c>
      <c r="O27" s="547"/>
    </row>
    <row r="28" spans="1:15">
      <c r="A28" s="241" t="s">
        <v>573</v>
      </c>
      <c r="B28" s="241" t="s">
        <v>361</v>
      </c>
      <c r="C28" s="240">
        <v>0.35</v>
      </c>
      <c r="D28" s="229">
        <v>25</v>
      </c>
      <c r="E28" s="230">
        <v>10.1</v>
      </c>
      <c r="F28" s="464">
        <v>0.4</v>
      </c>
      <c r="G28" s="533">
        <v>0</v>
      </c>
      <c r="H28" s="425">
        <f t="shared" si="0"/>
        <v>0.40399999999999997</v>
      </c>
      <c r="I28" s="533">
        <f t="shared" si="1"/>
        <v>0.4</v>
      </c>
      <c r="J28" s="428">
        <f t="shared" si="2"/>
        <v>1.1542857142857144</v>
      </c>
      <c r="K28" s="533">
        <f t="shared" si="3"/>
        <v>1.142857142857143</v>
      </c>
      <c r="L28" s="428">
        <f t="shared" si="4"/>
        <v>0.13176777560339206</v>
      </c>
      <c r="M28" s="533">
        <f t="shared" si="4"/>
        <v>0.13046314416177432</v>
      </c>
      <c r="N28" s="421">
        <f t="shared" si="5"/>
        <v>0.26223091976516638</v>
      </c>
      <c r="O28" s="548">
        <f>AVERAGE(N28,N29,N30:N32)</f>
        <v>0.16974559686888452</v>
      </c>
    </row>
    <row r="29" spans="1:15">
      <c r="A29" s="214" t="s">
        <v>220</v>
      </c>
      <c r="B29" s="214" t="s">
        <v>221</v>
      </c>
      <c r="C29" s="220">
        <v>0.35</v>
      </c>
      <c r="D29" s="219">
        <v>25</v>
      </c>
      <c r="E29" s="216">
        <v>3.8</v>
      </c>
      <c r="F29" s="531">
        <v>0.14399999999999999</v>
      </c>
      <c r="G29" s="534">
        <v>0</v>
      </c>
      <c r="H29" s="415">
        <f t="shared" si="0"/>
        <v>0.152</v>
      </c>
      <c r="I29" s="534">
        <f t="shared" si="1"/>
        <v>0.14399999999999999</v>
      </c>
      <c r="J29" s="429">
        <f t="shared" si="2"/>
        <v>0.43428571428571427</v>
      </c>
      <c r="K29" s="534">
        <f t="shared" si="3"/>
        <v>0.41142857142857142</v>
      </c>
      <c r="L29" s="429">
        <f t="shared" si="4"/>
        <v>4.9575994781474238E-2</v>
      </c>
      <c r="M29" s="534">
        <f t="shared" si="4"/>
        <v>4.6966731898238752E-2</v>
      </c>
      <c r="N29" s="420">
        <f t="shared" si="5"/>
        <v>9.654272667971299E-2</v>
      </c>
      <c r="O29" s="549"/>
    </row>
    <row r="30" spans="1:15">
      <c r="A30" s="214" t="s">
        <v>360</v>
      </c>
      <c r="B30" s="214" t="s">
        <v>574</v>
      </c>
      <c r="C30" s="220">
        <v>0.35</v>
      </c>
      <c r="D30" s="215">
        <v>25</v>
      </c>
      <c r="E30" s="534">
        <v>10.96</v>
      </c>
      <c r="F30" s="429">
        <v>0.17499999999999999</v>
      </c>
      <c r="G30" s="534">
        <v>0</v>
      </c>
      <c r="H30" s="415">
        <f t="shared" si="0"/>
        <v>0.43840000000000001</v>
      </c>
      <c r="I30" s="534">
        <f t="shared" si="1"/>
        <v>0.17499999999999999</v>
      </c>
      <c r="J30" s="429">
        <f t="shared" si="2"/>
        <v>1.2525714285714287</v>
      </c>
      <c r="K30" s="534">
        <f t="shared" si="3"/>
        <v>0.5</v>
      </c>
      <c r="L30" s="429">
        <f t="shared" si="4"/>
        <v>0.14298760600130464</v>
      </c>
      <c r="M30" s="534">
        <f t="shared" si="4"/>
        <v>5.7077625570776253E-2</v>
      </c>
      <c r="N30" s="420">
        <f t="shared" si="5"/>
        <v>0.20006523157208089</v>
      </c>
      <c r="O30" s="549"/>
    </row>
    <row r="31" spans="1:15">
      <c r="A31" s="214" t="s">
        <v>575</v>
      </c>
      <c r="B31" s="214" t="s">
        <v>312</v>
      </c>
      <c r="C31" s="220">
        <v>0.35</v>
      </c>
      <c r="D31" s="215">
        <v>25</v>
      </c>
      <c r="E31" s="534">
        <v>7.4</v>
      </c>
      <c r="F31" s="429">
        <v>0.2</v>
      </c>
      <c r="G31" s="534">
        <v>0</v>
      </c>
      <c r="H31" s="415">
        <f t="shared" si="0"/>
        <v>0.29600000000000004</v>
      </c>
      <c r="I31" s="534">
        <f t="shared" si="1"/>
        <v>0.2</v>
      </c>
      <c r="J31" s="429">
        <f t="shared" si="2"/>
        <v>0.84571428571428586</v>
      </c>
      <c r="K31" s="534">
        <f t="shared" si="3"/>
        <v>0.57142857142857151</v>
      </c>
      <c r="L31" s="429">
        <f t="shared" si="4"/>
        <v>9.6542726679713003E-2</v>
      </c>
      <c r="M31" s="534">
        <f t="shared" si="4"/>
        <v>6.523157208088716E-2</v>
      </c>
      <c r="N31" s="420">
        <f t="shared" si="5"/>
        <v>0.16177429876060018</v>
      </c>
      <c r="O31" s="549"/>
    </row>
    <row r="32" spans="1:15" ht="13" thickBot="1">
      <c r="A32" s="436" t="s">
        <v>576</v>
      </c>
      <c r="B32" s="436" t="s">
        <v>562</v>
      </c>
      <c r="C32" s="463">
        <v>0.35</v>
      </c>
      <c r="D32" s="437">
        <v>25</v>
      </c>
      <c r="E32" s="439">
        <v>2.57</v>
      </c>
      <c r="F32" s="441">
        <v>0.28999999999999998</v>
      </c>
      <c r="G32" s="439">
        <v>0</v>
      </c>
      <c r="H32" s="440">
        <f t="shared" si="0"/>
        <v>0.10279999999999999</v>
      </c>
      <c r="I32" s="439">
        <f t="shared" si="1"/>
        <v>0.28999999999999998</v>
      </c>
      <c r="J32" s="441">
        <f t="shared" si="2"/>
        <v>0.29371428571428571</v>
      </c>
      <c r="K32" s="439">
        <f t="shared" si="3"/>
        <v>0.82857142857142851</v>
      </c>
      <c r="L32" s="441">
        <f>J32/8760*1000</f>
        <v>3.3529028049575992E-2</v>
      </c>
      <c r="M32" s="439">
        <f>K32/8760*1000</f>
        <v>9.4585779517286361E-2</v>
      </c>
      <c r="N32" s="442">
        <f t="shared" si="5"/>
        <v>0.12811480756686236</v>
      </c>
      <c r="O32" s="547"/>
    </row>
    <row r="33" spans="1:15" ht="23" thickBot="1">
      <c r="A33" s="231" t="s">
        <v>430</v>
      </c>
      <c r="B33" s="231" t="s">
        <v>431</v>
      </c>
      <c r="C33" s="232">
        <v>0.8</v>
      </c>
      <c r="D33" s="233">
        <v>40</v>
      </c>
      <c r="E33" s="234">
        <v>20.48</v>
      </c>
      <c r="F33" s="462">
        <v>0.31</v>
      </c>
      <c r="G33" s="234">
        <v>0.06</v>
      </c>
      <c r="H33" s="413">
        <v>0.51200000000000001</v>
      </c>
      <c r="I33" s="235">
        <v>0.73048000000000002</v>
      </c>
      <c r="J33" s="430">
        <v>0.64</v>
      </c>
      <c r="K33" s="235">
        <v>0.91310000000000002</v>
      </c>
      <c r="L33" s="430">
        <v>7.3059360730593603E-2</v>
      </c>
      <c r="M33" s="235">
        <v>0.10423515981735161</v>
      </c>
      <c r="N33" s="422">
        <v>0.1772945205479452</v>
      </c>
      <c r="O33" s="235">
        <f>N33</f>
        <v>0.1772945205479452</v>
      </c>
    </row>
    <row r="34" spans="1:15" ht="13" thickBot="1">
      <c r="A34" s="231" t="s">
        <v>225</v>
      </c>
      <c r="B34" s="231" t="s">
        <v>432</v>
      </c>
      <c r="C34" s="232">
        <v>0.9</v>
      </c>
      <c r="D34" s="233">
        <v>40</v>
      </c>
      <c r="E34" s="234">
        <v>15.2</v>
      </c>
      <c r="F34" s="462">
        <v>0.7</v>
      </c>
      <c r="G34" s="234">
        <v>0</v>
      </c>
      <c r="H34" s="416">
        <f>E34/D34</f>
        <v>0.38</v>
      </c>
      <c r="I34" s="235">
        <f>F34+G34*8760/1000*C34</f>
        <v>0.7</v>
      </c>
      <c r="J34" s="430">
        <f>H34/C34</f>
        <v>0.42222222222222222</v>
      </c>
      <c r="K34" s="235">
        <f>I34/C34</f>
        <v>0.77777777777777768</v>
      </c>
      <c r="L34" s="430">
        <f t="shared" ref="L34:M36" si="6">J34/8760*1000</f>
        <v>4.8198883815322169E-2</v>
      </c>
      <c r="M34" s="235">
        <f t="shared" si="6"/>
        <v>8.8787417554540837E-2</v>
      </c>
      <c r="N34" s="422">
        <f>SUM(L34:M34)</f>
        <v>0.13698630136986301</v>
      </c>
      <c r="O34" s="235">
        <f>N34</f>
        <v>0.13698630136986301</v>
      </c>
    </row>
    <row r="35" spans="1:15" ht="13" thickBot="1">
      <c r="A35" s="242" t="s">
        <v>142</v>
      </c>
      <c r="B35" s="242" t="s">
        <v>223</v>
      </c>
      <c r="C35" s="243">
        <v>0.8</v>
      </c>
      <c r="D35" s="244">
        <v>40</v>
      </c>
      <c r="E35" s="235">
        <v>8.5</v>
      </c>
      <c r="F35" s="430">
        <v>0.18</v>
      </c>
      <c r="G35" s="235">
        <v>5.8999999999999997E-2</v>
      </c>
      <c r="H35" s="416">
        <f>E35/D35</f>
        <v>0.21249999999999999</v>
      </c>
      <c r="I35" s="235">
        <v>0.59</v>
      </c>
      <c r="J35" s="430">
        <f>H35/C35</f>
        <v>0.265625</v>
      </c>
      <c r="K35" s="235">
        <f>I35/C35</f>
        <v>0.73749999999999993</v>
      </c>
      <c r="L35" s="430">
        <f t="shared" si="6"/>
        <v>3.0322488584474887E-2</v>
      </c>
      <c r="M35" s="235">
        <f t="shared" si="6"/>
        <v>8.4189497716894962E-2</v>
      </c>
      <c r="N35" s="422">
        <f>SUM(L35:M35)</f>
        <v>0.11451198630136986</v>
      </c>
      <c r="O35" s="235">
        <f>N35</f>
        <v>0.11451198630136986</v>
      </c>
    </row>
    <row r="36" spans="1:15" ht="13" thickBot="1">
      <c r="A36" s="242" t="s">
        <v>222</v>
      </c>
      <c r="B36" s="242" t="s">
        <v>312</v>
      </c>
      <c r="C36" s="243">
        <v>0.85</v>
      </c>
      <c r="D36" s="244">
        <v>40</v>
      </c>
      <c r="E36" s="235">
        <v>1.02</v>
      </c>
      <c r="F36" s="430">
        <v>0.1</v>
      </c>
      <c r="G36" s="235">
        <v>0.09</v>
      </c>
      <c r="H36" s="416">
        <f>E36/D36</f>
        <v>2.5500000000000002E-2</v>
      </c>
      <c r="I36" s="235">
        <f>F36+G36*8760/1000*C36</f>
        <v>0.77013999999999994</v>
      </c>
      <c r="J36" s="430">
        <f>H36/C36</f>
        <v>3.0000000000000002E-2</v>
      </c>
      <c r="K36" s="235">
        <f>I36/C36</f>
        <v>0.90604705882352932</v>
      </c>
      <c r="L36" s="430">
        <f t="shared" si="6"/>
        <v>3.4246575342465756E-3</v>
      </c>
      <c r="M36" s="235">
        <f t="shared" si="6"/>
        <v>0.10343002954606499</v>
      </c>
      <c r="N36" s="422">
        <f>SUM(L36:M36)</f>
        <v>0.10685468708031157</v>
      </c>
      <c r="O36" s="235">
        <f>N36</f>
        <v>0.10685468708031157</v>
      </c>
    </row>
    <row r="37" spans="1:15">
      <c r="A37" s="213" t="s">
        <v>426</v>
      </c>
      <c r="B37" s="213" t="s">
        <v>428</v>
      </c>
      <c r="C37" s="245">
        <v>1</v>
      </c>
      <c r="D37" s="222">
        <v>20</v>
      </c>
      <c r="E37" s="538" t="s">
        <v>0</v>
      </c>
      <c r="F37" s="539"/>
      <c r="G37" s="539"/>
      <c r="H37" s="539"/>
      <c r="I37" s="539"/>
      <c r="J37" s="539"/>
      <c r="K37" s="539"/>
      <c r="L37" s="539"/>
      <c r="M37" s="540"/>
      <c r="N37" s="418">
        <v>0.17</v>
      </c>
      <c r="O37" s="541">
        <f>AVERAGE(N37,N38)</f>
        <v>0.38</v>
      </c>
    </row>
    <row r="38" spans="1:15">
      <c r="A38" s="214" t="s">
        <v>427</v>
      </c>
      <c r="B38" s="214" t="s">
        <v>429</v>
      </c>
      <c r="C38" s="221">
        <v>1</v>
      </c>
      <c r="D38" s="215">
        <v>20</v>
      </c>
      <c r="E38" s="543" t="s">
        <v>0</v>
      </c>
      <c r="F38" s="544"/>
      <c r="G38" s="544"/>
      <c r="H38" s="544"/>
      <c r="I38" s="544"/>
      <c r="J38" s="544"/>
      <c r="K38" s="544"/>
      <c r="L38" s="544"/>
      <c r="M38" s="545"/>
      <c r="N38" s="420">
        <v>0.59</v>
      </c>
      <c r="O38" s="542"/>
    </row>
    <row r="39" spans="1:15">
      <c r="A39" s="81" t="s">
        <v>752</v>
      </c>
      <c r="B39" s="81" t="s">
        <v>753</v>
      </c>
      <c r="C39" s="571">
        <v>0.2</v>
      </c>
      <c r="D39" s="81">
        <v>25</v>
      </c>
      <c r="E39" s="417">
        <f>(97031+32490+15112+20185)/B40</f>
        <v>14.698366579021558</v>
      </c>
      <c r="F39" s="417">
        <f>(8989)/B40</f>
        <v>0.80163342097844159</v>
      </c>
      <c r="G39" s="81">
        <v>0</v>
      </c>
      <c r="H39" s="417">
        <f>E39/D39</f>
        <v>0.58793466316086229</v>
      </c>
      <c r="I39" s="417">
        <f>F39</f>
        <v>0.80163342097844159</v>
      </c>
      <c r="J39" s="417">
        <f>H39/C39</f>
        <v>2.9396733158043111</v>
      </c>
      <c r="K39" s="417">
        <f>I39/C39</f>
        <v>4.0081671048922081</v>
      </c>
      <c r="L39" s="417">
        <f>J39/8760*1000</f>
        <v>0.33557914563976154</v>
      </c>
      <c r="M39" s="417">
        <f>K39/8760*1000</f>
        <v>0.4575533224762795</v>
      </c>
      <c r="N39" s="81">
        <f>L39+M39</f>
        <v>0.79313246811604099</v>
      </c>
    </row>
    <row r="40" spans="1:15">
      <c r="B40" s="81">
        <f>173807/15.5</f>
        <v>11213.354838709678</v>
      </c>
    </row>
    <row r="41" spans="1:15">
      <c r="N41" s="572"/>
    </row>
  </sheetData>
  <mergeCells count="19">
    <mergeCell ref="A1:P10"/>
    <mergeCell ref="A11:A12"/>
    <mergeCell ref="B11:B12"/>
    <mergeCell ref="C11:C13"/>
    <mergeCell ref="D11:D13"/>
    <mergeCell ref="E11:G12"/>
    <mergeCell ref="H11:O11"/>
    <mergeCell ref="H12:I12"/>
    <mergeCell ref="J12:K12"/>
    <mergeCell ref="L12:O12"/>
    <mergeCell ref="E37:M37"/>
    <mergeCell ref="O37:O38"/>
    <mergeCell ref="E38:M38"/>
    <mergeCell ref="O14:O15"/>
    <mergeCell ref="O16:O18"/>
    <mergeCell ref="O19:O20"/>
    <mergeCell ref="O22:O24"/>
    <mergeCell ref="O25:O27"/>
    <mergeCell ref="O28:O3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65"/>
      <c r="C1" s="565"/>
      <c r="D1" s="565"/>
      <c r="E1" s="565"/>
      <c r="F1" s="565"/>
      <c r="G1" s="565"/>
      <c r="H1" s="565"/>
      <c r="I1" s="565"/>
      <c r="J1" s="565"/>
      <c r="K1" s="565"/>
      <c r="L1" s="565"/>
    </row>
    <row r="2" spans="1:12">
      <c r="B2" s="565"/>
      <c r="C2" s="565"/>
      <c r="D2" s="565"/>
      <c r="E2" s="565"/>
      <c r="F2" s="565"/>
      <c r="G2" s="565"/>
      <c r="H2" s="565"/>
      <c r="I2" s="565"/>
      <c r="J2" s="565"/>
      <c r="K2" s="565"/>
      <c r="L2" s="565"/>
    </row>
    <row r="3" spans="1:12">
      <c r="B3" s="565"/>
      <c r="C3" s="565"/>
      <c r="D3" s="565"/>
      <c r="E3" s="565"/>
      <c r="F3" s="565"/>
      <c r="G3" s="565"/>
      <c r="H3" s="565"/>
      <c r="I3" s="565"/>
      <c r="J3" s="565"/>
      <c r="K3" s="565"/>
      <c r="L3" s="565"/>
    </row>
    <row r="4" spans="1:12">
      <c r="B4" s="565"/>
      <c r="C4" s="565"/>
      <c r="D4" s="565"/>
      <c r="E4" s="565"/>
      <c r="F4" s="565"/>
      <c r="G4" s="565"/>
      <c r="H4" s="565"/>
      <c r="I4" s="565"/>
      <c r="J4" s="565"/>
      <c r="K4" s="565"/>
      <c r="L4" s="565"/>
    </row>
    <row r="5" spans="1:12">
      <c r="B5" s="565"/>
      <c r="C5" s="565"/>
      <c r="D5" s="565"/>
      <c r="E5" s="565"/>
      <c r="F5" s="565"/>
      <c r="G5" s="565"/>
      <c r="H5" s="565"/>
      <c r="I5" s="565"/>
      <c r="J5" s="565"/>
      <c r="K5" s="565"/>
      <c r="L5" s="565"/>
    </row>
    <row r="6" spans="1:12">
      <c r="B6" s="565"/>
      <c r="C6" s="565"/>
      <c r="D6" s="565"/>
      <c r="E6" s="565"/>
      <c r="F6" s="565"/>
      <c r="G6" s="565"/>
      <c r="H6" s="565"/>
      <c r="I6" s="565"/>
      <c r="J6" s="565"/>
      <c r="K6" s="565"/>
      <c r="L6" s="565"/>
    </row>
    <row r="7" spans="1:12">
      <c r="B7" s="565"/>
      <c r="C7" s="565"/>
      <c r="D7" s="565"/>
      <c r="E7" s="565"/>
      <c r="F7" s="565"/>
      <c r="G7" s="565"/>
      <c r="H7" s="565"/>
      <c r="I7" s="565"/>
      <c r="J7" s="565"/>
      <c r="K7" s="565"/>
      <c r="L7" s="565"/>
    </row>
    <row r="8" spans="1:12">
      <c r="B8" s="565"/>
      <c r="C8" s="565"/>
      <c r="D8" s="565"/>
      <c r="E8" s="565"/>
      <c r="F8" s="565"/>
      <c r="G8" s="565"/>
      <c r="H8" s="565"/>
      <c r="I8" s="565"/>
      <c r="J8" s="565"/>
      <c r="K8" s="565"/>
      <c r="L8" s="565"/>
    </row>
    <row r="9" spans="1:12" ht="48" customHeight="1">
      <c r="B9" s="565"/>
      <c r="C9" s="565"/>
      <c r="D9" s="565"/>
      <c r="E9" s="565"/>
      <c r="F9" s="565"/>
      <c r="G9" s="565"/>
      <c r="H9" s="565"/>
      <c r="I9" s="565"/>
      <c r="J9" s="565"/>
      <c r="K9" s="565"/>
      <c r="L9" s="565"/>
    </row>
    <row r="10" spans="1:12" s="144" customFormat="1" ht="15" thickBot="1">
      <c r="A10" s="139" t="s">
        <v>149</v>
      </c>
      <c r="B10" s="140" t="s">
        <v>459</v>
      </c>
      <c r="C10" s="141" t="s">
        <v>144</v>
      </c>
      <c r="D10" s="141" t="s">
        <v>460</v>
      </c>
      <c r="E10" s="141" t="s">
        <v>265</v>
      </c>
      <c r="F10" s="141" t="s">
        <v>460</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552</v>
      </c>
      <c r="I11" s="147" t="s">
        <v>461</v>
      </c>
      <c r="J11" s="145" t="s">
        <v>462</v>
      </c>
    </row>
    <row r="12" spans="1:12" s="145" customFormat="1" ht="28">
      <c r="B12" s="148">
        <f>B11+1</f>
        <v>2</v>
      </c>
      <c r="C12" s="149">
        <v>2009</v>
      </c>
      <c r="D12" s="149" t="s">
        <v>463</v>
      </c>
      <c r="E12" s="149" t="s">
        <v>464</v>
      </c>
      <c r="F12" s="147" t="str">
        <f t="shared" ref="F12:F26" si="0">D12 &amp; " - " &amp; E12</f>
        <v>Julio Friedmann - Lawrence Livermore National Laboratory</v>
      </c>
      <c r="G12" s="149" t="s">
        <v>465</v>
      </c>
      <c r="H12" s="149" t="s">
        <v>466</v>
      </c>
      <c r="I12" s="149" t="s">
        <v>467</v>
      </c>
    </row>
    <row r="13" spans="1:12" s="145" customFormat="1" ht="28">
      <c r="B13" s="148">
        <f>B12+1</f>
        <v>3</v>
      </c>
      <c r="C13" s="149">
        <v>2009</v>
      </c>
      <c r="D13" s="149" t="s">
        <v>468</v>
      </c>
      <c r="E13" s="149" t="s">
        <v>469</v>
      </c>
      <c r="F13" s="147" t="str">
        <f t="shared" si="0"/>
        <v>José Goldemberg  - State of São Paulo, Brazil</v>
      </c>
      <c r="G13" s="149" t="s">
        <v>470</v>
      </c>
      <c r="H13" s="149"/>
      <c r="I13" s="149"/>
    </row>
    <row r="14" spans="1:12" s="145" customFormat="1" ht="42">
      <c r="B14" s="150">
        <f>B13+1</f>
        <v>4</v>
      </c>
      <c r="C14" s="151">
        <v>2009</v>
      </c>
      <c r="D14" s="151" t="s">
        <v>471</v>
      </c>
      <c r="E14" s="151" t="s">
        <v>472</v>
      </c>
      <c r="F14" s="147" t="str">
        <f t="shared" si="0"/>
        <v xml:space="preserve">SkyFuels - National Renewable Energy Laboratory </v>
      </c>
      <c r="G14" s="151" t="s">
        <v>473</v>
      </c>
      <c r="H14" s="151" t="s">
        <v>474</v>
      </c>
      <c r="I14" s="151" t="s">
        <v>475</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476</v>
      </c>
      <c r="J15" s="145" t="s">
        <v>477</v>
      </c>
    </row>
    <row r="16" spans="1:12" s="152" customFormat="1" ht="42">
      <c r="A16" s="149"/>
      <c r="B16" s="148">
        <f>B15+1</f>
        <v>6</v>
      </c>
      <c r="C16" s="149">
        <v>2008</v>
      </c>
      <c r="D16" s="149" t="s">
        <v>478</v>
      </c>
      <c r="E16" s="149" t="s">
        <v>479</v>
      </c>
      <c r="F16" s="147" t="str">
        <f t="shared" si="0"/>
        <v>David Roland-Holst - University of California, Berkeley</v>
      </c>
      <c r="G16" s="149" t="s">
        <v>480</v>
      </c>
      <c r="H16" s="149" t="s">
        <v>481</v>
      </c>
      <c r="I16" s="149" t="s">
        <v>482</v>
      </c>
      <c r="J16" s="145"/>
    </row>
    <row r="17" spans="1:10" s="152" customFormat="1" ht="28">
      <c r="A17" s="149"/>
      <c r="B17" s="148">
        <v>7</v>
      </c>
      <c r="C17" s="149">
        <v>2007</v>
      </c>
      <c r="D17" s="149" t="s">
        <v>496</v>
      </c>
      <c r="E17" s="149" t="s">
        <v>0</v>
      </c>
      <c r="F17" s="147" t="str">
        <f>D17</f>
        <v>Vestas</v>
      </c>
      <c r="G17" s="149" t="s">
        <v>497</v>
      </c>
      <c r="H17" s="149" t="s">
        <v>498</v>
      </c>
      <c r="I17" s="149" t="s">
        <v>499</v>
      </c>
      <c r="J17" s="145"/>
    </row>
    <row r="18" spans="1:10" s="152" customFormat="1" ht="42">
      <c r="A18" s="149"/>
      <c r="B18" s="148">
        <v>8</v>
      </c>
      <c r="C18" s="149">
        <v>2006</v>
      </c>
      <c r="D18" s="149" t="s">
        <v>483</v>
      </c>
      <c r="E18" s="149" t="s">
        <v>484</v>
      </c>
      <c r="F18" s="147" t="str">
        <f t="shared" si="0"/>
        <v>Winfried Hoffman, Sven Teske - European Photovoltaic Industry Association (EPIA) and Greenpeace</v>
      </c>
      <c r="G18" s="149" t="s">
        <v>485</v>
      </c>
      <c r="H18" s="149" t="s">
        <v>486</v>
      </c>
      <c r="I18" s="149" t="s">
        <v>487</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532</v>
      </c>
      <c r="H19" s="149" t="s">
        <v>533</v>
      </c>
      <c r="I19" s="149"/>
      <c r="J19" s="145" t="s">
        <v>488</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489</v>
      </c>
      <c r="I20" s="149" t="s">
        <v>0</v>
      </c>
      <c r="J20" s="145" t="s">
        <v>325</v>
      </c>
    </row>
    <row r="21" spans="1:10" s="152" customFormat="1" ht="70">
      <c r="A21" s="149" t="s">
        <v>490</v>
      </c>
      <c r="B21" s="148">
        <v>11</v>
      </c>
      <c r="C21" s="149">
        <v>2006</v>
      </c>
      <c r="D21" s="149" t="s">
        <v>491</v>
      </c>
      <c r="E21" s="149" t="s">
        <v>492</v>
      </c>
      <c r="F21" s="147" t="str">
        <f t="shared" si="0"/>
        <v>L. Stoddard, J. Abiecunas, R. O'Connell - National Renewable Energy Laboratory</v>
      </c>
      <c r="G21" s="149" t="s">
        <v>493</v>
      </c>
      <c r="H21" s="149" t="s">
        <v>553</v>
      </c>
      <c r="I21" s="149" t="s">
        <v>494</v>
      </c>
      <c r="J21" s="145" t="s">
        <v>495</v>
      </c>
    </row>
    <row r="22" spans="1:10" s="152" customFormat="1" ht="42">
      <c r="A22" s="149" t="s">
        <v>500</v>
      </c>
      <c r="B22" s="148">
        <v>12</v>
      </c>
      <c r="C22" s="149">
        <v>2005</v>
      </c>
      <c r="D22" s="149" t="s">
        <v>501</v>
      </c>
      <c r="E22" s="149" t="s">
        <v>502</v>
      </c>
      <c r="F22" s="147" t="str">
        <f t="shared" si="0"/>
        <v>Doug Arent, John Tschirhart, Dick Watsson - Western Governors' Association: Geothermal Task Force</v>
      </c>
      <c r="G22" s="149" t="s">
        <v>503</v>
      </c>
      <c r="H22" s="149" t="s">
        <v>504</v>
      </c>
      <c r="I22" s="149"/>
      <c r="J22" s="145" t="s">
        <v>505</v>
      </c>
    </row>
    <row r="23" spans="1:10" s="152" customFormat="1" ht="70">
      <c r="A23" s="153"/>
      <c r="B23" s="148">
        <v>13</v>
      </c>
      <c r="C23" s="149">
        <v>2005</v>
      </c>
      <c r="D23" s="149" t="s">
        <v>506</v>
      </c>
      <c r="E23" s="149" t="s">
        <v>507</v>
      </c>
      <c r="F23" s="147" t="str">
        <f t="shared" si="0"/>
        <v>Jose Gil and Hugo Lucas - Institute for Diversification and Saving of Energy (Instituto para la Diversificacion y Ahorro de la Energia, IDAE)</v>
      </c>
      <c r="G23" s="149" t="s">
        <v>508</v>
      </c>
      <c r="H23" s="149" t="s">
        <v>531</v>
      </c>
      <c r="I23" s="149" t="s">
        <v>529</v>
      </c>
      <c r="J23" s="145" t="s">
        <v>530</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509</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510</v>
      </c>
      <c r="H25" s="149" t="s">
        <v>511</v>
      </c>
      <c r="I25" s="149" t="s">
        <v>512</v>
      </c>
      <c r="J25" s="145" t="s">
        <v>513</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514</v>
      </c>
      <c r="I26" s="149" t="s">
        <v>515</v>
      </c>
      <c r="J26" s="145" t="s">
        <v>318</v>
      </c>
    </row>
    <row r="27" spans="1:10" s="152" customFormat="1" ht="112">
      <c r="A27" s="149" t="s">
        <v>314</v>
      </c>
      <c r="B27" s="148">
        <f>B26+1</f>
        <v>17</v>
      </c>
      <c r="C27" s="149">
        <v>2001</v>
      </c>
      <c r="D27" s="149" t="s">
        <v>319</v>
      </c>
      <c r="E27" s="149" t="s">
        <v>320</v>
      </c>
      <c r="F27" s="149" t="s">
        <v>535</v>
      </c>
      <c r="G27" s="149" t="s">
        <v>321</v>
      </c>
      <c r="H27" s="149" t="s">
        <v>516</v>
      </c>
      <c r="I27" s="149" t="s">
        <v>517</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7" zoomScale="125" zoomScaleNormal="125" zoomScalePageLayoutView="125" workbookViewId="0">
      <pane xSplit="1" topLeftCell="AE1" activePane="topRight" state="frozen"/>
      <selection activeCell="A33" sqref="A33"/>
      <selection pane="topRight" activeCell="G56" sqref="G56:AJ56"/>
    </sheetView>
  </sheetViews>
  <sheetFormatPr baseColWidth="10" defaultColWidth="12.5" defaultRowHeight="16" x14ac:dyDescent="0"/>
  <cols>
    <col min="1" max="1" width="47.33203125" style="5" customWidth="1"/>
    <col min="2" max="2" width="13.6640625" style="344" bestFit="1" customWidth="1"/>
    <col min="3" max="6" width="13.1640625" style="344" bestFit="1" customWidth="1"/>
    <col min="7" max="7" width="13.1640625" style="299" bestFit="1" customWidth="1"/>
    <col min="8" max="19" width="14.5" style="299" bestFit="1" customWidth="1"/>
    <col min="20" max="21" width="16.5" style="299" bestFit="1" customWidth="1"/>
    <col min="22" max="37" width="12.5" style="299"/>
    <col min="38" max="16384" width="12.5" style="5"/>
  </cols>
  <sheetData>
    <row r="1" spans="1:37">
      <c r="A1" s="268" t="s">
        <v>63</v>
      </c>
    </row>
    <row r="2" spans="1:37">
      <c r="A2" s="272" t="s">
        <v>704</v>
      </c>
    </row>
    <row r="3" spans="1:37">
      <c r="A3" s="272" t="s">
        <v>656</v>
      </c>
    </row>
    <row r="4" spans="1:37">
      <c r="A4" s="272" t="s">
        <v>591</v>
      </c>
    </row>
    <row r="6" spans="1:37">
      <c r="A6" s="6" t="s">
        <v>64</v>
      </c>
    </row>
    <row r="7" spans="1:37">
      <c r="A7" s="6" t="s">
        <v>65</v>
      </c>
    </row>
    <row r="8" spans="1:37">
      <c r="A8" s="78" t="s">
        <v>280</v>
      </c>
    </row>
    <row r="10" spans="1:37">
      <c r="AK10" s="300"/>
    </row>
    <row r="11" spans="1:37">
      <c r="B11" s="364" t="s">
        <v>7</v>
      </c>
      <c r="C11" s="364" t="s">
        <v>8</v>
      </c>
      <c r="D11" s="364" t="s">
        <v>9</v>
      </c>
      <c r="E11" s="364" t="s">
        <v>10</v>
      </c>
      <c r="F11" s="364" t="s">
        <v>11</v>
      </c>
      <c r="G11" s="319" t="s">
        <v>12</v>
      </c>
      <c r="H11" s="319" t="s">
        <v>13</v>
      </c>
      <c r="I11" s="319" t="s">
        <v>14</v>
      </c>
      <c r="J11" s="319" t="s">
        <v>15</v>
      </c>
      <c r="K11" s="319" t="s">
        <v>16</v>
      </c>
      <c r="L11" s="319" t="s">
        <v>17</v>
      </c>
      <c r="M11" s="319" t="s">
        <v>18</v>
      </c>
      <c r="N11" s="319" t="s">
        <v>19</v>
      </c>
      <c r="O11" s="319" t="s">
        <v>20</v>
      </c>
      <c r="P11" s="319" t="s">
        <v>21</v>
      </c>
      <c r="Q11" s="319" t="s">
        <v>22</v>
      </c>
      <c r="R11" s="319" t="s">
        <v>23</v>
      </c>
      <c r="S11" s="319" t="s">
        <v>24</v>
      </c>
      <c r="T11" s="319" t="s">
        <v>25</v>
      </c>
      <c r="U11" s="319" t="s">
        <v>26</v>
      </c>
      <c r="V11" s="319" t="s">
        <v>27</v>
      </c>
      <c r="W11" s="319" t="s">
        <v>28</v>
      </c>
      <c r="X11" s="319" t="s">
        <v>29</v>
      </c>
      <c r="Y11" s="319" t="s">
        <v>30</v>
      </c>
      <c r="Z11" s="319" t="s">
        <v>31</v>
      </c>
      <c r="AA11" s="319" t="s">
        <v>581</v>
      </c>
      <c r="AB11" s="319" t="s">
        <v>582</v>
      </c>
      <c r="AC11" s="319" t="s">
        <v>583</v>
      </c>
      <c r="AD11" s="319" t="s">
        <v>584</v>
      </c>
      <c r="AE11" s="319" t="s">
        <v>585</v>
      </c>
      <c r="AF11" s="319" t="s">
        <v>586</v>
      </c>
      <c r="AG11" s="319" t="s">
        <v>587</v>
      </c>
      <c r="AH11" s="319" t="s">
        <v>588</v>
      </c>
      <c r="AI11" s="319" t="s">
        <v>589</v>
      </c>
      <c r="AJ11" s="319" t="s">
        <v>590</v>
      </c>
      <c r="AK11" s="319" t="s">
        <v>593</v>
      </c>
    </row>
    <row r="14" spans="1:37">
      <c r="A14" s="6" t="s">
        <v>66</v>
      </c>
    </row>
    <row r="16" spans="1:37">
      <c r="A16" s="6" t="s">
        <v>32</v>
      </c>
    </row>
    <row r="17" spans="1:38" s="251" customFormat="1">
      <c r="A17" s="250" t="s">
        <v>67</v>
      </c>
      <c r="B17" s="344"/>
      <c r="C17" s="344"/>
      <c r="D17" s="344"/>
      <c r="E17" s="344"/>
      <c r="F17" s="344"/>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38" s="251" customFormat="1">
      <c r="A18" s="250"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1" customFormat="1">
      <c r="A19" s="250"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1" customFormat="1">
      <c r="A20" s="250"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1" customFormat="1">
      <c r="A21" s="250"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1" customFormat="1">
      <c r="A22" s="250"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1" customFormat="1">
      <c r="A23" s="250"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1" customFormat="1">
      <c r="A24" s="250"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1" customFormat="1">
      <c r="A25" s="250"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1" customFormat="1">
      <c r="A26" s="250"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1" customFormat="1">
      <c r="A27" s="250"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1" customFormat="1">
      <c r="A28" s="250"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1" customFormat="1">
      <c r="A29" s="250"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1" customFormat="1">
      <c r="A30" s="250"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1" customFormat="1">
      <c r="A31" s="250"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1" customFormat="1">
      <c r="A32" s="250"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1" customFormat="1">
      <c r="A33" s="250"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3" t="s">
        <v>749</v>
      </c>
    </row>
    <row r="35" spans="1:44" s="251" customFormat="1">
      <c r="A35" s="250" t="s">
        <v>741</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5"/>
    </row>
    <row r="36" spans="1:44" s="251" customFormat="1">
      <c r="A36" s="501" t="s">
        <v>719</v>
      </c>
      <c r="G36" s="499">
        <v>6.7525570000000004</v>
      </c>
      <c r="H36" s="499">
        <v>3.5043920000000002</v>
      </c>
      <c r="I36" s="499">
        <v>3.808986</v>
      </c>
      <c r="J36" s="499">
        <v>3.7892760000000001</v>
      </c>
      <c r="K36" s="499">
        <v>3.8264260000000001</v>
      </c>
      <c r="L36" s="499">
        <v>0.51893500000000004</v>
      </c>
      <c r="M36" s="499">
        <v>1.977149</v>
      </c>
      <c r="N36" s="499">
        <v>3.7579729999999998</v>
      </c>
      <c r="O36" s="499">
        <v>4.4962569999999999</v>
      </c>
      <c r="P36" s="499">
        <v>4.6483160000000003</v>
      </c>
      <c r="Q36" s="499">
        <v>4.7586810000000002</v>
      </c>
      <c r="R36" s="499">
        <v>4.8338950000000001</v>
      </c>
      <c r="S36" s="499">
        <v>4.8903150000000002</v>
      </c>
      <c r="T36" s="499">
        <v>4.9169400000000003</v>
      </c>
      <c r="U36" s="499">
        <v>4.9432900000000002</v>
      </c>
      <c r="V36" s="499">
        <v>4.9453170000000002</v>
      </c>
      <c r="W36" s="499">
        <v>7.655583</v>
      </c>
      <c r="X36" s="499">
        <v>8.3737429999999993</v>
      </c>
      <c r="Y36" s="499">
        <v>8.4992839999999994</v>
      </c>
      <c r="Z36" s="499">
        <v>8.5482790000000008</v>
      </c>
      <c r="AA36" s="499">
        <v>8.5025320000000004</v>
      </c>
      <c r="AB36" s="499">
        <v>7.5440420000000001</v>
      </c>
      <c r="AC36" s="499">
        <v>7.4135530000000003</v>
      </c>
      <c r="AD36" s="499">
        <v>7.1312059999999997</v>
      </c>
      <c r="AE36" s="499">
        <v>6.9607929999999998</v>
      </c>
      <c r="AF36" s="499">
        <v>7.9209329999999998</v>
      </c>
      <c r="AG36" s="499">
        <v>7.7948329999999997</v>
      </c>
      <c r="AH36" s="499">
        <v>7.9597049999999996</v>
      </c>
      <c r="AI36" s="499">
        <v>7.962853</v>
      </c>
      <c r="AJ36" s="499">
        <v>7.9601879999999996</v>
      </c>
      <c r="AK36" s="503">
        <v>0.03</v>
      </c>
      <c r="AL36" s="515" t="s">
        <v>68</v>
      </c>
      <c r="AM36" s="518">
        <v>0</v>
      </c>
    </row>
    <row r="37" spans="1:44" s="251" customFormat="1">
      <c r="A37" s="501" t="s">
        <v>720</v>
      </c>
      <c r="G37" s="499">
        <v>0.49390099999999998</v>
      </c>
      <c r="H37" s="499">
        <v>0.31614900000000001</v>
      </c>
      <c r="I37" s="499">
        <v>0.31676500000000002</v>
      </c>
      <c r="J37" s="499">
        <v>0.316133</v>
      </c>
      <c r="K37" s="499">
        <v>0.32009199999999999</v>
      </c>
      <c r="L37" s="499">
        <v>0.30642799999999998</v>
      </c>
      <c r="M37" s="499">
        <v>0.12645100000000001</v>
      </c>
      <c r="N37" s="499">
        <v>0.135523</v>
      </c>
      <c r="O37" s="499">
        <v>0.15127199999999999</v>
      </c>
      <c r="P37" s="499">
        <v>0.15249099999999999</v>
      </c>
      <c r="Q37" s="499">
        <v>0.14000399999999999</v>
      </c>
      <c r="R37" s="499">
        <v>0.126309</v>
      </c>
      <c r="S37" s="499">
        <v>0.12589600000000001</v>
      </c>
      <c r="T37" s="499">
        <v>0.111445</v>
      </c>
      <c r="U37" s="499">
        <v>0.11146300000000001</v>
      </c>
      <c r="V37" s="499">
        <v>0.107456</v>
      </c>
      <c r="W37" s="499">
        <v>0.116605</v>
      </c>
      <c r="X37" s="499">
        <v>0.11634700000000001</v>
      </c>
      <c r="Y37" s="499">
        <v>0.11666799999999999</v>
      </c>
      <c r="Z37" s="499">
        <v>0.116315</v>
      </c>
      <c r="AA37" s="499">
        <v>0.11608499999999999</v>
      </c>
      <c r="AB37" s="499">
        <v>0.111232</v>
      </c>
      <c r="AC37" s="499">
        <v>0.109651</v>
      </c>
      <c r="AD37" s="499">
        <v>0.108601</v>
      </c>
      <c r="AE37" s="499">
        <v>0.10445500000000001</v>
      </c>
      <c r="AF37" s="499">
        <v>0.108044</v>
      </c>
      <c r="AG37" s="499">
        <v>0.106026</v>
      </c>
      <c r="AH37" s="499">
        <v>0.10667500000000001</v>
      </c>
      <c r="AI37" s="499">
        <v>0.106752</v>
      </c>
      <c r="AJ37" s="499">
        <v>0.10688499999999999</v>
      </c>
      <c r="AK37" s="503">
        <v>-3.7999999999999999E-2</v>
      </c>
      <c r="AL37" s="516" t="s">
        <v>69</v>
      </c>
      <c r="AM37" s="518">
        <v>8.2966179909755335E-3</v>
      </c>
    </row>
    <row r="38" spans="1:44" s="251" customFormat="1">
      <c r="A38" s="501" t="s">
        <v>721</v>
      </c>
      <c r="G38" s="499">
        <v>60.120468000000002</v>
      </c>
      <c r="H38" s="499">
        <v>59.136775999999998</v>
      </c>
      <c r="I38" s="499">
        <v>57.556838999999997</v>
      </c>
      <c r="J38" s="499">
        <v>59.804988999999999</v>
      </c>
      <c r="K38" s="499">
        <v>61.140937999999998</v>
      </c>
      <c r="L38" s="499">
        <v>62.739593999999997</v>
      </c>
      <c r="M38" s="499">
        <v>64.429832000000005</v>
      </c>
      <c r="N38" s="499">
        <v>64.716942000000003</v>
      </c>
      <c r="O38" s="499">
        <v>64.397835000000001</v>
      </c>
      <c r="P38" s="499">
        <v>63.041859000000002</v>
      </c>
      <c r="Q38" s="499">
        <v>62.221569000000002</v>
      </c>
      <c r="R38" s="499">
        <v>60.427760999999997</v>
      </c>
      <c r="S38" s="499">
        <v>59.087139000000001</v>
      </c>
      <c r="T38" s="499">
        <v>58.561230000000002</v>
      </c>
      <c r="U38" s="499">
        <v>58.343468000000001</v>
      </c>
      <c r="V38" s="499">
        <v>56.555762999999999</v>
      </c>
      <c r="W38" s="499">
        <v>53.923481000000002</v>
      </c>
      <c r="X38" s="499">
        <v>53.938248000000002</v>
      </c>
      <c r="Y38" s="499">
        <v>52.001984</v>
      </c>
      <c r="Z38" s="499">
        <v>52.861697999999997</v>
      </c>
      <c r="AA38" s="499">
        <v>53.639522999999997</v>
      </c>
      <c r="AB38" s="499">
        <v>55.338158</v>
      </c>
      <c r="AC38" s="499">
        <v>56.951019000000002</v>
      </c>
      <c r="AD38" s="499">
        <v>57.930798000000003</v>
      </c>
      <c r="AE38" s="499">
        <v>57.294303999999997</v>
      </c>
      <c r="AF38" s="499">
        <v>56.735844</v>
      </c>
      <c r="AG38" s="499">
        <v>56.341751000000002</v>
      </c>
      <c r="AH38" s="499">
        <v>55.824654000000002</v>
      </c>
      <c r="AI38" s="499">
        <v>55.084305000000001</v>
      </c>
      <c r="AJ38" s="499">
        <v>53.249447000000004</v>
      </c>
      <c r="AK38" s="503">
        <v>-4.0000000000000001E-3</v>
      </c>
      <c r="AL38" s="516" t="s">
        <v>76</v>
      </c>
      <c r="AM38" s="518">
        <v>0.13067035861053072</v>
      </c>
    </row>
    <row r="39" spans="1:44" s="251" customFormat="1">
      <c r="A39" s="501" t="s">
        <v>722</v>
      </c>
      <c r="G39" s="499">
        <v>34.283000999999999</v>
      </c>
      <c r="H39" s="499">
        <v>36.116000999999997</v>
      </c>
      <c r="I39" s="499">
        <v>34.966087000000002</v>
      </c>
      <c r="J39" s="499">
        <v>35.118301000000002</v>
      </c>
      <c r="K39" s="499">
        <v>31.215707999999999</v>
      </c>
      <c r="L39" s="499">
        <v>31.559362</v>
      </c>
      <c r="M39" s="499">
        <v>31.635732999999998</v>
      </c>
      <c r="N39" s="499">
        <v>31.712149</v>
      </c>
      <c r="O39" s="499">
        <v>31.788599000000001</v>
      </c>
      <c r="P39" s="499">
        <v>31.810466999999999</v>
      </c>
      <c r="Q39" s="499">
        <v>31.810469000000001</v>
      </c>
      <c r="R39" s="499">
        <v>31.810469000000001</v>
      </c>
      <c r="S39" s="499">
        <v>31.810466999999999</v>
      </c>
      <c r="T39" s="499">
        <v>31.810466999999999</v>
      </c>
      <c r="U39" s="499">
        <v>31.810466999999999</v>
      </c>
      <c r="V39" s="499">
        <v>31.810466999999999</v>
      </c>
      <c r="W39" s="499">
        <v>31.810469000000001</v>
      </c>
      <c r="X39" s="499">
        <v>31.810466999999999</v>
      </c>
      <c r="Y39" s="499">
        <v>31.810466999999999</v>
      </c>
      <c r="Z39" s="499">
        <v>31.810466999999999</v>
      </c>
      <c r="AA39" s="499">
        <v>31.810466999999999</v>
      </c>
      <c r="AB39" s="499">
        <v>31.810466999999999</v>
      </c>
      <c r="AC39" s="499">
        <v>31.810466999999999</v>
      </c>
      <c r="AD39" s="499">
        <v>31.810466999999999</v>
      </c>
      <c r="AE39" s="499">
        <v>31.810466999999999</v>
      </c>
      <c r="AF39" s="499">
        <v>31.810466999999999</v>
      </c>
      <c r="AG39" s="499">
        <v>31.810469000000001</v>
      </c>
      <c r="AH39" s="499">
        <v>31.810469000000001</v>
      </c>
      <c r="AI39" s="499">
        <v>31.810466999999999</v>
      </c>
      <c r="AJ39" s="499">
        <v>31.810466999999999</v>
      </c>
      <c r="AK39" s="503">
        <v>-5.0000000000000001E-3</v>
      </c>
      <c r="AL39" s="516" t="s">
        <v>742</v>
      </c>
      <c r="AM39" s="518">
        <v>0</v>
      </c>
    </row>
    <row r="40" spans="1:44" s="251" customFormat="1">
      <c r="A40" s="501" t="s">
        <v>723</v>
      </c>
      <c r="G40" s="499">
        <v>1.3623000000000001</v>
      </c>
      <c r="H40" s="499">
        <v>1.4923</v>
      </c>
      <c r="I40" s="499">
        <v>1.5477749999999999</v>
      </c>
      <c r="J40" s="499">
        <v>1.5477749999999999</v>
      </c>
      <c r="K40" s="499">
        <v>1.5477749999999999</v>
      </c>
      <c r="L40" s="499">
        <v>1.547776</v>
      </c>
      <c r="M40" s="499">
        <v>1.547776</v>
      </c>
      <c r="N40" s="499">
        <v>1.547776</v>
      </c>
      <c r="O40" s="499">
        <v>1.547776</v>
      </c>
      <c r="P40" s="499">
        <v>1.547776</v>
      </c>
      <c r="Q40" s="499">
        <v>1.547776</v>
      </c>
      <c r="R40" s="499">
        <v>1.5477749999999999</v>
      </c>
      <c r="S40" s="499">
        <v>1.547776</v>
      </c>
      <c r="T40" s="499">
        <v>1.547776</v>
      </c>
      <c r="U40" s="499">
        <v>1.5483530000000001</v>
      </c>
      <c r="V40" s="499">
        <v>1.548573</v>
      </c>
      <c r="W40" s="499">
        <v>1.548573</v>
      </c>
      <c r="X40" s="499">
        <v>1.54914</v>
      </c>
      <c r="Y40" s="499">
        <v>1.549266</v>
      </c>
      <c r="Z40" s="499">
        <v>1.549266</v>
      </c>
      <c r="AA40" s="499">
        <v>1.549266</v>
      </c>
      <c r="AB40" s="499">
        <v>1.549266</v>
      </c>
      <c r="AC40" s="499">
        <v>1.5496559999999999</v>
      </c>
      <c r="AD40" s="499">
        <v>1.5499160000000001</v>
      </c>
      <c r="AE40" s="499">
        <v>1.5502659999999999</v>
      </c>
      <c r="AF40" s="499">
        <v>1.550602</v>
      </c>
      <c r="AG40" s="499">
        <v>1.5508949999999999</v>
      </c>
      <c r="AH40" s="499">
        <v>1.551134</v>
      </c>
      <c r="AI40" s="499">
        <v>1.5512170000000001</v>
      </c>
      <c r="AJ40" s="499">
        <v>1.551247</v>
      </c>
      <c r="AK40" s="503">
        <v>1E-3</v>
      </c>
      <c r="AL40" s="517" t="s">
        <v>225</v>
      </c>
      <c r="AM40" s="518">
        <v>0</v>
      </c>
    </row>
    <row r="41" spans="1:44" s="251" customFormat="1">
      <c r="A41" s="501" t="s">
        <v>724</v>
      </c>
      <c r="G41" s="499">
        <v>14.253413</v>
      </c>
      <c r="H41" s="499">
        <v>13.395419</v>
      </c>
      <c r="I41" s="499">
        <v>13.504559</v>
      </c>
      <c r="J41" s="499">
        <v>13.761609999999999</v>
      </c>
      <c r="K41" s="499">
        <v>17.261755000000001</v>
      </c>
      <c r="L41" s="499">
        <v>20.711266999999999</v>
      </c>
      <c r="M41" s="499">
        <v>20.864622000000001</v>
      </c>
      <c r="N41" s="499">
        <v>20.936495000000001</v>
      </c>
      <c r="O41" s="499">
        <v>21.051438999999998</v>
      </c>
      <c r="P41" s="499">
        <v>21.151378999999999</v>
      </c>
      <c r="Q41" s="499">
        <v>21.574871000000002</v>
      </c>
      <c r="R41" s="499">
        <v>21.533821</v>
      </c>
      <c r="S41" s="499">
        <v>21.861111000000001</v>
      </c>
      <c r="T41" s="499">
        <v>21.878026999999999</v>
      </c>
      <c r="U41" s="499">
        <v>21.853370999999999</v>
      </c>
      <c r="V41" s="499">
        <v>21.884357000000001</v>
      </c>
      <c r="W41" s="499">
        <v>22.159044000000002</v>
      </c>
      <c r="X41" s="499">
        <v>22.700935000000001</v>
      </c>
      <c r="Y41" s="499">
        <v>22.697831999999998</v>
      </c>
      <c r="Z41" s="499">
        <v>22.681452</v>
      </c>
      <c r="AA41" s="499">
        <v>22.725404999999999</v>
      </c>
      <c r="AB41" s="499">
        <v>22.671658000000001</v>
      </c>
      <c r="AC41" s="499">
        <v>22.804096000000001</v>
      </c>
      <c r="AD41" s="499">
        <v>22.934550999999999</v>
      </c>
      <c r="AE41" s="499">
        <v>22.962858000000001</v>
      </c>
      <c r="AF41" s="499">
        <v>23.487137000000001</v>
      </c>
      <c r="AG41" s="499">
        <v>23.953323000000001</v>
      </c>
      <c r="AH41" s="499">
        <v>23.816199999999998</v>
      </c>
      <c r="AI41" s="499">
        <v>23.864515000000001</v>
      </c>
      <c r="AJ41" s="499">
        <v>23.964524999999998</v>
      </c>
      <c r="AK41" s="503">
        <v>2.1000000000000001E-2</v>
      </c>
      <c r="AL41" s="517" t="s">
        <v>378</v>
      </c>
      <c r="AM41" s="518">
        <v>9.485374721661919E-3</v>
      </c>
    </row>
    <row r="42" spans="1:44" s="251" customFormat="1">
      <c r="A42" s="501" t="s">
        <v>725</v>
      </c>
      <c r="G42" s="499">
        <v>0</v>
      </c>
      <c r="H42" s="499">
        <v>0</v>
      </c>
      <c r="I42" s="499">
        <v>0</v>
      </c>
      <c r="J42" s="499">
        <v>0</v>
      </c>
      <c r="K42" s="499">
        <v>0</v>
      </c>
      <c r="L42" s="499">
        <v>0</v>
      </c>
      <c r="M42" s="499">
        <v>0</v>
      </c>
      <c r="N42" s="499">
        <v>0</v>
      </c>
      <c r="O42" s="499">
        <v>0</v>
      </c>
      <c r="P42" s="499">
        <v>0</v>
      </c>
      <c r="Q42" s="499">
        <v>0</v>
      </c>
      <c r="R42" s="499">
        <v>0</v>
      </c>
      <c r="S42" s="499">
        <v>0</v>
      </c>
      <c r="T42" s="499">
        <v>0</v>
      </c>
      <c r="U42" s="499">
        <v>0</v>
      </c>
      <c r="V42" s="499">
        <v>0</v>
      </c>
      <c r="W42" s="499">
        <v>0</v>
      </c>
      <c r="X42" s="499">
        <v>0</v>
      </c>
      <c r="Y42" s="499">
        <v>0</v>
      </c>
      <c r="Z42" s="499">
        <v>0</v>
      </c>
      <c r="AA42" s="499">
        <v>0</v>
      </c>
      <c r="AB42" s="499">
        <v>0</v>
      </c>
      <c r="AC42" s="499">
        <v>0</v>
      </c>
      <c r="AD42" s="499">
        <v>0</v>
      </c>
      <c r="AE42" s="499">
        <v>0</v>
      </c>
      <c r="AF42" s="499">
        <v>0</v>
      </c>
      <c r="AG42" s="499">
        <v>0</v>
      </c>
      <c r="AH42" s="499">
        <v>0</v>
      </c>
      <c r="AI42" s="499">
        <v>0</v>
      </c>
      <c r="AJ42" s="499">
        <v>0</v>
      </c>
      <c r="AK42" s="499" t="s">
        <v>41</v>
      </c>
      <c r="AL42" s="517" t="s">
        <v>743</v>
      </c>
      <c r="AM42" s="518">
        <v>0</v>
      </c>
    </row>
    <row r="43" spans="1:44" s="251" customFormat="1">
      <c r="A43" s="502" t="s">
        <v>726</v>
      </c>
      <c r="G43" s="500">
        <v>117.26564</v>
      </c>
      <c r="H43" s="500">
        <v>113.961037</v>
      </c>
      <c r="I43" s="500">
        <v>111.701019</v>
      </c>
      <c r="J43" s="500">
        <v>114.338089</v>
      </c>
      <c r="K43" s="500">
        <v>115.312698</v>
      </c>
      <c r="L43" s="500">
        <v>117.38336200000001</v>
      </c>
      <c r="M43" s="500">
        <v>120.581566</v>
      </c>
      <c r="N43" s="500">
        <v>122.806854</v>
      </c>
      <c r="O43" s="500">
        <v>123.43317399999999</v>
      </c>
      <c r="P43" s="500">
        <v>122.352295</v>
      </c>
      <c r="Q43" s="500">
        <v>122.053375</v>
      </c>
      <c r="R43" s="500">
        <v>120.280029</v>
      </c>
      <c r="S43" s="500">
        <v>119.32270800000001</v>
      </c>
      <c r="T43" s="500">
        <v>118.82589</v>
      </c>
      <c r="U43" s="500">
        <v>118.61041299999999</v>
      </c>
      <c r="V43" s="500">
        <v>116.851944</v>
      </c>
      <c r="W43" s="500">
        <v>117.21375999999999</v>
      </c>
      <c r="X43" s="500">
        <v>118.488876</v>
      </c>
      <c r="Y43" s="500">
        <v>116.675499</v>
      </c>
      <c r="Z43" s="500">
        <v>117.567474</v>
      </c>
      <c r="AA43" s="500">
        <v>118.34326900000001</v>
      </c>
      <c r="AB43" s="500">
        <v>119.024811</v>
      </c>
      <c r="AC43" s="500">
        <v>120.638428</v>
      </c>
      <c r="AD43" s="500">
        <v>121.46553</v>
      </c>
      <c r="AE43" s="500">
        <v>120.683136</v>
      </c>
      <c r="AF43" s="500">
        <v>121.613022</v>
      </c>
      <c r="AG43" s="500">
        <v>121.55729700000001</v>
      </c>
      <c r="AH43" s="500">
        <v>121.068832</v>
      </c>
      <c r="AI43" s="500">
        <v>120.380112</v>
      </c>
      <c r="AJ43" s="500">
        <v>118.642754</v>
      </c>
      <c r="AK43" s="504">
        <v>1E-3</v>
      </c>
      <c r="AL43" s="517" t="s">
        <v>744</v>
      </c>
      <c r="AM43" s="518">
        <v>0</v>
      </c>
    </row>
    <row r="44" spans="1:44" s="251" customFormat="1">
      <c r="A44" s="250"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5.5875522174226276E-2</v>
      </c>
    </row>
    <row r="45" spans="1:44" s="251" customFormat="1">
      <c r="A45" s="250"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1" customFormat="1">
      <c r="A46" s="250"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3" customFormat="1">
      <c r="B47" s="364" t="s">
        <v>7</v>
      </c>
      <c r="C47" s="364" t="s">
        <v>8</v>
      </c>
      <c r="D47" s="364" t="s">
        <v>9</v>
      </c>
      <c r="E47" s="364" t="s">
        <v>10</v>
      </c>
      <c r="F47" s="364" t="s">
        <v>11</v>
      </c>
      <c r="G47" s="323" t="s">
        <v>12</v>
      </c>
      <c r="H47" s="323" t="s">
        <v>13</v>
      </c>
      <c r="I47" s="323" t="s">
        <v>14</v>
      </c>
      <c r="J47" s="323" t="s">
        <v>15</v>
      </c>
      <c r="K47" s="323" t="s">
        <v>16</v>
      </c>
      <c r="L47" s="323" t="s">
        <v>17</v>
      </c>
      <c r="M47" s="323" t="s">
        <v>18</v>
      </c>
      <c r="N47" s="323" t="s">
        <v>19</v>
      </c>
      <c r="O47" s="323" t="s">
        <v>20</v>
      </c>
      <c r="P47" s="323" t="s">
        <v>21</v>
      </c>
      <c r="Q47" s="323" t="s">
        <v>22</v>
      </c>
      <c r="R47" s="323" t="s">
        <v>23</v>
      </c>
      <c r="S47" s="323" t="s">
        <v>24</v>
      </c>
      <c r="T47" s="323" t="s">
        <v>25</v>
      </c>
      <c r="U47" s="323" t="s">
        <v>26</v>
      </c>
      <c r="V47" s="323" t="s">
        <v>27</v>
      </c>
      <c r="W47" s="323" t="s">
        <v>28</v>
      </c>
      <c r="X47" s="323" t="s">
        <v>29</v>
      </c>
      <c r="Y47" s="323" t="s">
        <v>30</v>
      </c>
      <c r="Z47" s="323" t="s">
        <v>31</v>
      </c>
      <c r="AA47" s="323" t="s">
        <v>581</v>
      </c>
      <c r="AB47" s="323" t="s">
        <v>582</v>
      </c>
      <c r="AC47" s="323" t="s">
        <v>583</v>
      </c>
      <c r="AD47" s="323" t="s">
        <v>584</v>
      </c>
      <c r="AE47" s="323" t="s">
        <v>585</v>
      </c>
      <c r="AF47" s="323" t="s">
        <v>586</v>
      </c>
      <c r="AG47" s="323" t="s">
        <v>587</v>
      </c>
      <c r="AH47" s="323" t="s">
        <v>588</v>
      </c>
      <c r="AI47" s="323" t="s">
        <v>589</v>
      </c>
      <c r="AJ47" s="323" t="s">
        <v>590</v>
      </c>
      <c r="AK47" s="323" t="s">
        <v>593</v>
      </c>
    </row>
    <row r="48" spans="1:44" s="255" customFormat="1">
      <c r="A48" s="254" t="s">
        <v>748</v>
      </c>
      <c r="B48" s="365"/>
      <c r="C48" s="365"/>
      <c r="D48" s="365"/>
      <c r="E48" s="365"/>
      <c r="F48" s="365"/>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M48" s="255" t="s">
        <v>746</v>
      </c>
      <c r="AN48" s="255">
        <v>2006</v>
      </c>
      <c r="AO48" s="255">
        <v>2007</v>
      </c>
      <c r="AP48" s="255">
        <v>2008</v>
      </c>
      <c r="AQ48" s="255">
        <v>2009</v>
      </c>
      <c r="AR48" s="255">
        <v>2010</v>
      </c>
    </row>
    <row r="49" spans="1:44" s="255" customFormat="1">
      <c r="A49" s="254" t="s">
        <v>68</v>
      </c>
      <c r="B49" s="505">
        <f>AN51</f>
        <v>0</v>
      </c>
      <c r="C49" s="505">
        <f t="shared" ref="C49:F49" si="0">AO51</f>
        <v>0</v>
      </c>
      <c r="D49" s="505">
        <f t="shared" si="0"/>
        <v>0</v>
      </c>
      <c r="E49" s="505">
        <f t="shared" si="0"/>
        <v>0</v>
      </c>
      <c r="F49" s="505">
        <f t="shared" si="0"/>
        <v>0</v>
      </c>
      <c r="G49" s="484">
        <f t="shared" ref="G49:AJ49" si="1">G36*$AM36</f>
        <v>0</v>
      </c>
      <c r="H49" s="484">
        <f t="shared" si="1"/>
        <v>0</v>
      </c>
      <c r="I49" s="484">
        <f t="shared" si="1"/>
        <v>0</v>
      </c>
      <c r="J49" s="484">
        <f t="shared" si="1"/>
        <v>0</v>
      </c>
      <c r="K49" s="484">
        <f t="shared" si="1"/>
        <v>0</v>
      </c>
      <c r="L49" s="484">
        <f t="shared" si="1"/>
        <v>0</v>
      </c>
      <c r="M49" s="484">
        <f t="shared" si="1"/>
        <v>0</v>
      </c>
      <c r="N49" s="484">
        <f t="shared" si="1"/>
        <v>0</v>
      </c>
      <c r="O49" s="484">
        <f t="shared" si="1"/>
        <v>0</v>
      </c>
      <c r="P49" s="484">
        <f t="shared" si="1"/>
        <v>0</v>
      </c>
      <c r="Q49" s="484">
        <f t="shared" si="1"/>
        <v>0</v>
      </c>
      <c r="R49" s="484">
        <f t="shared" si="1"/>
        <v>0</v>
      </c>
      <c r="S49" s="484">
        <f t="shared" si="1"/>
        <v>0</v>
      </c>
      <c r="T49" s="484">
        <f t="shared" si="1"/>
        <v>0</v>
      </c>
      <c r="U49" s="484">
        <f t="shared" si="1"/>
        <v>0</v>
      </c>
      <c r="V49" s="484">
        <f t="shared" si="1"/>
        <v>0</v>
      </c>
      <c r="W49" s="484">
        <f t="shared" si="1"/>
        <v>0</v>
      </c>
      <c r="X49" s="484">
        <f t="shared" si="1"/>
        <v>0</v>
      </c>
      <c r="Y49" s="484">
        <f t="shared" si="1"/>
        <v>0</v>
      </c>
      <c r="Z49" s="484">
        <f t="shared" si="1"/>
        <v>0</v>
      </c>
      <c r="AA49" s="484">
        <f t="shared" si="1"/>
        <v>0</v>
      </c>
      <c r="AB49" s="484">
        <f t="shared" si="1"/>
        <v>0</v>
      </c>
      <c r="AC49" s="484">
        <f t="shared" si="1"/>
        <v>0</v>
      </c>
      <c r="AD49" s="484">
        <f t="shared" si="1"/>
        <v>0</v>
      </c>
      <c r="AE49" s="484">
        <f t="shared" si="1"/>
        <v>0</v>
      </c>
      <c r="AF49" s="484">
        <f t="shared" si="1"/>
        <v>0</v>
      </c>
      <c r="AG49" s="484">
        <f t="shared" si="1"/>
        <v>0</v>
      </c>
      <c r="AH49" s="484">
        <f t="shared" si="1"/>
        <v>0</v>
      </c>
      <c r="AI49" s="484">
        <f t="shared" si="1"/>
        <v>0</v>
      </c>
      <c r="AJ49" s="484">
        <f t="shared" si="1"/>
        <v>0</v>
      </c>
      <c r="AK49"/>
    </row>
    <row r="50" spans="1:44" s="255" customFormat="1">
      <c r="A50" s="254" t="s">
        <v>69</v>
      </c>
      <c r="B50" s="505">
        <f t="shared" ref="B50:B51" si="2">AN52</f>
        <v>3.3000000000000002E-2</v>
      </c>
      <c r="C50" s="505">
        <f t="shared" ref="C50:C51" si="3">AO52</f>
        <v>3.4000000000000002E-2</v>
      </c>
      <c r="D50" s="505">
        <f t="shared" ref="D50:D51" si="4">AP52</f>
        <v>2.5999999999999999E-2</v>
      </c>
      <c r="E50" s="505">
        <f t="shared" ref="E50:E51" si="5">AQ52</f>
        <v>1.7000000000000001E-2</v>
      </c>
      <c r="F50" s="505">
        <f t="shared" ref="F50:F51" si="6">AR52</f>
        <v>1.2E-2</v>
      </c>
      <c r="G50" s="484">
        <f t="shared" ref="G50:AJ50" si="7">G37*$AM37</f>
        <v>4.0977079223608066E-3</v>
      </c>
      <c r="H50" s="484">
        <f t="shared" si="7"/>
        <v>2.6229674812289243E-3</v>
      </c>
      <c r="I50" s="484">
        <f t="shared" si="7"/>
        <v>2.6280781979113651E-3</v>
      </c>
      <c r="J50" s="484">
        <f t="shared" si="7"/>
        <v>2.6228347353410681E-3</v>
      </c>
      <c r="K50" s="484">
        <f t="shared" si="7"/>
        <v>2.6556810459673402E-3</v>
      </c>
      <c r="L50" s="484">
        <f t="shared" si="7"/>
        <v>2.5423160577386504E-3</v>
      </c>
      <c r="M50" s="484">
        <f t="shared" si="7"/>
        <v>1.0491156415768472E-3</v>
      </c>
      <c r="N50" s="484">
        <f t="shared" si="7"/>
        <v>1.1243825599909774E-3</v>
      </c>
      <c r="O50" s="484">
        <f t="shared" si="7"/>
        <v>1.2550459967308508E-3</v>
      </c>
      <c r="P50" s="484">
        <f t="shared" si="7"/>
        <v>1.26515957406185E-3</v>
      </c>
      <c r="Q50" s="484">
        <f t="shared" si="7"/>
        <v>1.1615597052085384E-3</v>
      </c>
      <c r="R50" s="484">
        <f t="shared" si="7"/>
        <v>1.0479375218221288E-3</v>
      </c>
      <c r="S50" s="484">
        <f t="shared" si="7"/>
        <v>1.0445110185918558E-3</v>
      </c>
      <c r="T50" s="484">
        <f t="shared" si="7"/>
        <v>9.2461659200426837E-4</v>
      </c>
      <c r="U50" s="484">
        <f t="shared" si="7"/>
        <v>9.2476593112810596E-4</v>
      </c>
      <c r="V50" s="484">
        <f t="shared" si="7"/>
        <v>8.9152138283826688E-4</v>
      </c>
      <c r="W50" s="484">
        <f t="shared" si="7"/>
        <v>9.6742714083770205E-4</v>
      </c>
      <c r="X50" s="484">
        <f t="shared" si="7"/>
        <v>9.6528661339603046E-4</v>
      </c>
      <c r="Y50" s="484">
        <f t="shared" si="7"/>
        <v>9.679498277711335E-4</v>
      </c>
      <c r="Z50" s="484">
        <f t="shared" si="7"/>
        <v>9.6502112162031922E-4</v>
      </c>
      <c r="AA50" s="484">
        <f t="shared" si="7"/>
        <v>9.6311289948239473E-4</v>
      </c>
      <c r="AB50" s="484">
        <f t="shared" si="7"/>
        <v>9.2284941237219054E-4</v>
      </c>
      <c r="AC50" s="484">
        <f t="shared" si="7"/>
        <v>9.097324593284582E-4</v>
      </c>
      <c r="AD50" s="484">
        <f t="shared" si="7"/>
        <v>9.0102101043793394E-4</v>
      </c>
      <c r="AE50" s="484">
        <f t="shared" si="7"/>
        <v>8.6662323224734935E-4</v>
      </c>
      <c r="AF50" s="484">
        <f t="shared" si="7"/>
        <v>8.9639979421696052E-4</v>
      </c>
      <c r="AG50" s="484">
        <f t="shared" si="7"/>
        <v>8.7965721911117186E-4</v>
      </c>
      <c r="AH50" s="484">
        <f t="shared" si="7"/>
        <v>8.8504172418731508E-4</v>
      </c>
      <c r="AI50" s="484">
        <f t="shared" si="7"/>
        <v>8.8568056377262019E-4</v>
      </c>
      <c r="AJ50" s="484">
        <f t="shared" si="7"/>
        <v>8.867840139654198E-4</v>
      </c>
      <c r="AK50"/>
      <c r="AM50" s="255" t="s">
        <v>747</v>
      </c>
      <c r="AN50" s="255">
        <v>5.8129999999999997</v>
      </c>
      <c r="AO50" s="255">
        <v>6.891</v>
      </c>
      <c r="AP50" s="255">
        <v>7.2240000000000002</v>
      </c>
      <c r="AQ50" s="255">
        <v>7.5469999999999997</v>
      </c>
      <c r="AR50" s="255">
        <v>7.5949999999999998</v>
      </c>
    </row>
    <row r="51" spans="1:44" s="255" customFormat="1">
      <c r="A51" s="254" t="s">
        <v>76</v>
      </c>
      <c r="B51" s="505">
        <f t="shared" si="2"/>
        <v>5.78</v>
      </c>
      <c r="C51" s="505">
        <f t="shared" si="3"/>
        <v>6.8570000000000002</v>
      </c>
      <c r="D51" s="505">
        <f t="shared" si="4"/>
        <v>7.1980000000000004</v>
      </c>
      <c r="E51" s="505">
        <f t="shared" si="5"/>
        <v>7.53</v>
      </c>
      <c r="F51" s="505">
        <f t="shared" si="6"/>
        <v>7.5830000000000002</v>
      </c>
      <c r="G51" s="484">
        <f t="shared" ref="G51:AJ51" si="8">G38*$AM38</f>
        <v>7.8559631133929368</v>
      </c>
      <c r="H51" s="484">
        <f t="shared" si="8"/>
        <v>7.7274237269906267</v>
      </c>
      <c r="I51" s="484">
        <f t="shared" si="8"/>
        <v>7.5209727926185801</v>
      </c>
      <c r="J51" s="484">
        <f t="shared" si="8"/>
        <v>7.8147393593288452</v>
      </c>
      <c r="K51" s="484">
        <f t="shared" si="8"/>
        <v>7.9893082942442248</v>
      </c>
      <c r="L51" s="484">
        <f t="shared" si="8"/>
        <v>8.1982052470591018</v>
      </c>
      <c r="M51" s="484">
        <f t="shared" si="8"/>
        <v>8.4190692526562483</v>
      </c>
      <c r="N51" s="484">
        <f t="shared" si="8"/>
        <v>8.4565860193169176</v>
      </c>
      <c r="O51" s="484">
        <f t="shared" si="8"/>
        <v>8.4148881931917874</v>
      </c>
      <c r="P51" s="484">
        <f t="shared" si="8"/>
        <v>8.2377023230045143</v>
      </c>
      <c r="Q51" s="484">
        <f t="shared" si="8"/>
        <v>8.1305147345398812</v>
      </c>
      <c r="R51" s="484">
        <f t="shared" si="8"/>
        <v>7.8961171999014423</v>
      </c>
      <c r="S51" s="484">
        <f t="shared" si="8"/>
        <v>7.7209376424002754</v>
      </c>
      <c r="T51" s="484">
        <f t="shared" si="8"/>
        <v>7.6522169247737706</v>
      </c>
      <c r="U51" s="484">
        <f t="shared" si="8"/>
        <v>7.6237618861420238</v>
      </c>
      <c r="V51" s="484">
        <f t="shared" si="8"/>
        <v>7.3901618327021845</v>
      </c>
      <c r="W51" s="484">
        <f t="shared" si="8"/>
        <v>7.0462005997981398</v>
      </c>
      <c r="X51" s="484">
        <f t="shared" si="8"/>
        <v>7.0481302089837419</v>
      </c>
      <c r="Y51" s="484">
        <f t="shared" si="8"/>
        <v>6.7951178977390807</v>
      </c>
      <c r="Z51" s="484">
        <f t="shared" si="8"/>
        <v>6.907457034421574</v>
      </c>
      <c r="AA51" s="484">
        <f t="shared" si="8"/>
        <v>7.0090957061078107</v>
      </c>
      <c r="AB51" s="484">
        <f t="shared" si="8"/>
        <v>7.2310569507062095</v>
      </c>
      <c r="AC51" s="484">
        <f t="shared" si="8"/>
        <v>7.4418100759651491</v>
      </c>
      <c r="AD51" s="484">
        <f t="shared" si="8"/>
        <v>7.5698381492542168</v>
      </c>
      <c r="AE51" s="484">
        <f t="shared" si="8"/>
        <v>7.4866672500207647</v>
      </c>
      <c r="AF51" s="484">
        <f t="shared" si="8"/>
        <v>7.4136930815511279</v>
      </c>
      <c r="AG51" s="484">
        <f t="shared" si="8"/>
        <v>7.362196807915228</v>
      </c>
      <c r="AH51" s="484">
        <f t="shared" si="8"/>
        <v>7.2946275574887984</v>
      </c>
      <c r="AI51" s="484">
        <f t="shared" si="8"/>
        <v>7.197885888161851</v>
      </c>
      <c r="AJ51" s="484">
        <f t="shared" si="8"/>
        <v>6.9581243353024496</v>
      </c>
      <c r="AK51"/>
      <c r="AM51" s="255" t="s">
        <v>68</v>
      </c>
      <c r="AN51" s="255">
        <v>0</v>
      </c>
      <c r="AO51" s="255">
        <v>0</v>
      </c>
      <c r="AP51" s="255">
        <v>0</v>
      </c>
      <c r="AQ51" s="255">
        <v>0</v>
      </c>
      <c r="AR51" s="255">
        <v>0</v>
      </c>
    </row>
    <row r="52" spans="1:44" s="255" customFormat="1">
      <c r="A52" s="254" t="s">
        <v>71</v>
      </c>
      <c r="B52" s="506">
        <f>AN55</f>
        <v>0</v>
      </c>
      <c r="C52" s="506">
        <f t="shared" ref="C52:F52" si="9">AO55</f>
        <v>0</v>
      </c>
      <c r="D52" s="506">
        <f t="shared" si="9"/>
        <v>0</v>
      </c>
      <c r="E52" s="506">
        <f t="shared" si="9"/>
        <v>0</v>
      </c>
      <c r="F52" s="506">
        <f t="shared" si="9"/>
        <v>0</v>
      </c>
      <c r="G52" s="484">
        <f>G39*$AM40</f>
        <v>0</v>
      </c>
      <c r="H52" s="484">
        <f t="shared" ref="H52:AJ52" si="10">H39*$AM40</f>
        <v>0</v>
      </c>
      <c r="I52" s="484">
        <f t="shared" si="10"/>
        <v>0</v>
      </c>
      <c r="J52" s="484">
        <f t="shared" si="10"/>
        <v>0</v>
      </c>
      <c r="K52" s="484">
        <f t="shared" si="10"/>
        <v>0</v>
      </c>
      <c r="L52" s="484">
        <f t="shared" si="10"/>
        <v>0</v>
      </c>
      <c r="M52" s="484">
        <f t="shared" si="10"/>
        <v>0</v>
      </c>
      <c r="N52" s="484">
        <f t="shared" si="10"/>
        <v>0</v>
      </c>
      <c r="O52" s="484">
        <f t="shared" si="10"/>
        <v>0</v>
      </c>
      <c r="P52" s="484">
        <f t="shared" si="10"/>
        <v>0</v>
      </c>
      <c r="Q52" s="484">
        <f t="shared" si="10"/>
        <v>0</v>
      </c>
      <c r="R52" s="484">
        <f t="shared" si="10"/>
        <v>0</v>
      </c>
      <c r="S52" s="484">
        <f t="shared" si="10"/>
        <v>0</v>
      </c>
      <c r="T52" s="484">
        <f t="shared" si="10"/>
        <v>0</v>
      </c>
      <c r="U52" s="484">
        <f t="shared" si="10"/>
        <v>0</v>
      </c>
      <c r="V52" s="484">
        <f t="shared" si="10"/>
        <v>0</v>
      </c>
      <c r="W52" s="484">
        <f t="shared" si="10"/>
        <v>0</v>
      </c>
      <c r="X52" s="484">
        <f t="shared" si="10"/>
        <v>0</v>
      </c>
      <c r="Y52" s="484">
        <f t="shared" si="10"/>
        <v>0</v>
      </c>
      <c r="Z52" s="484">
        <f t="shared" si="10"/>
        <v>0</v>
      </c>
      <c r="AA52" s="484">
        <f t="shared" si="10"/>
        <v>0</v>
      </c>
      <c r="AB52" s="484">
        <f t="shared" si="10"/>
        <v>0</v>
      </c>
      <c r="AC52" s="484">
        <f t="shared" si="10"/>
        <v>0</v>
      </c>
      <c r="AD52" s="484">
        <f t="shared" si="10"/>
        <v>0</v>
      </c>
      <c r="AE52" s="484">
        <f t="shared" si="10"/>
        <v>0</v>
      </c>
      <c r="AF52" s="484">
        <f t="shared" si="10"/>
        <v>0</v>
      </c>
      <c r="AG52" s="484">
        <f t="shared" si="10"/>
        <v>0</v>
      </c>
      <c r="AH52" s="484">
        <f t="shared" si="10"/>
        <v>0</v>
      </c>
      <c r="AI52" s="484">
        <f t="shared" si="10"/>
        <v>0</v>
      </c>
      <c r="AJ52" s="484">
        <f t="shared" si="10"/>
        <v>0</v>
      </c>
      <c r="AK52"/>
      <c r="AM52" s="255" t="s">
        <v>69</v>
      </c>
      <c r="AN52" s="255">
        <v>3.3000000000000002E-2</v>
      </c>
      <c r="AO52" s="255">
        <v>3.4000000000000002E-2</v>
      </c>
      <c r="AP52" s="255">
        <v>2.5999999999999999E-2</v>
      </c>
      <c r="AQ52" s="255">
        <v>1.7000000000000001E-2</v>
      </c>
      <c r="AR52" s="255">
        <v>1.2E-2</v>
      </c>
    </row>
    <row r="53" spans="1:44" s="255" customFormat="1">
      <c r="A53" s="254" t="s">
        <v>326</v>
      </c>
      <c r="B53" s="507"/>
      <c r="C53" s="507"/>
      <c r="D53" s="507"/>
      <c r="E53" s="507"/>
      <c r="F53" s="507"/>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c r="AM53" s="255" t="s">
        <v>76</v>
      </c>
      <c r="AN53" s="255">
        <v>5.78</v>
      </c>
      <c r="AO53" s="255">
        <v>6.8570000000000002</v>
      </c>
      <c r="AP53" s="255">
        <v>7.1980000000000004</v>
      </c>
      <c r="AQ53" s="255">
        <v>7.53</v>
      </c>
      <c r="AR53" s="255">
        <v>7.5830000000000002</v>
      </c>
    </row>
    <row r="54" spans="1:44" s="255" customFormat="1">
      <c r="A54" s="254" t="s">
        <v>627</v>
      </c>
      <c r="B54" s="506">
        <f>AN56</f>
        <v>0.155</v>
      </c>
      <c r="C54" s="506">
        <f t="shared" ref="C54:F54" si="11">AO56</f>
        <v>0.159</v>
      </c>
      <c r="D54" s="506">
        <f t="shared" si="11"/>
        <v>0.16300000000000001</v>
      </c>
      <c r="E54" s="506">
        <f t="shared" si="11"/>
        <v>0.14899999999999999</v>
      </c>
      <c r="F54" s="506">
        <f t="shared" si="11"/>
        <v>0.14399999999999999</v>
      </c>
      <c r="G54" s="484">
        <f>EIA_RE_aeo2014!G79</f>
        <v>0.1619984763228296</v>
      </c>
      <c r="H54" s="484">
        <f>EIA_RE_aeo2014!H79</f>
        <v>0.15624331057883373</v>
      </c>
      <c r="I54" s="484">
        <f>EIA_RE_aeo2014!I79</f>
        <v>0.15871726704298816</v>
      </c>
      <c r="J54" s="484">
        <f>EIA_RE_aeo2014!J79</f>
        <v>0.16290174958682402</v>
      </c>
      <c r="K54" s="484">
        <f>EIA_RE_aeo2014!K79</f>
        <v>0.19874132737665032</v>
      </c>
      <c r="L54" s="484">
        <f>EIA_RE_aeo2014!L79</f>
        <v>0.23401029347934554</v>
      </c>
      <c r="M54" s="484">
        <f>EIA_RE_aeo2014!M79</f>
        <v>0.23604957316150513</v>
      </c>
      <c r="N54" s="484">
        <f>EIA_RE_aeo2014!N79</f>
        <v>0.2371564974207736</v>
      </c>
      <c r="O54" s="484">
        <f>EIA_RE_aeo2014!O79</f>
        <v>0.23879096976593681</v>
      </c>
      <c r="P54" s="484">
        <f>EIA_RE_aeo2014!P79</f>
        <v>0.24042852485788449</v>
      </c>
      <c r="Q54" s="484">
        <f>EIA_RE_aeo2014!Q79</f>
        <v>0.24523505827596698</v>
      </c>
      <c r="R54" s="484">
        <f>EIA_RE_aeo2014!R79</f>
        <v>0.24562036368253559</v>
      </c>
      <c r="S54" s="484">
        <f>EIA_RE_aeo2014!S79</f>
        <v>0.24953413363181526</v>
      </c>
      <c r="T54" s="484">
        <f>EIA_RE_aeo2014!T79</f>
        <v>0.25061586473582298</v>
      </c>
      <c r="U54" s="484">
        <f>EIA_RE_aeo2014!U79</f>
        <v>0.25138035748226478</v>
      </c>
      <c r="V54" s="484">
        <f>EIA_RE_aeo2014!V79</f>
        <v>0.25281957338878258</v>
      </c>
      <c r="W54" s="484">
        <f>EIA_RE_aeo2014!W79</f>
        <v>0.2565213926399067</v>
      </c>
      <c r="X54" s="484">
        <f>EIA_RE_aeo2014!X79</f>
        <v>0.26276630725153138</v>
      </c>
      <c r="Y54" s="484">
        <f>EIA_RE_aeo2014!Y79</f>
        <v>0.26386958912690678</v>
      </c>
      <c r="Z54" s="484">
        <f>EIA_RE_aeo2014!Z79</f>
        <v>0.26496570954436732</v>
      </c>
      <c r="AA54" s="484">
        <f>EIA_RE_aeo2014!AA79</f>
        <v>0.26667758254725926</v>
      </c>
      <c r="AB54" s="484">
        <f>EIA_RE_aeo2014!AB79</f>
        <v>0.2673556825007361</v>
      </c>
      <c r="AC54" s="484">
        <f>EIA_RE_aeo2014!AC79</f>
        <v>0.26987780569772712</v>
      </c>
      <c r="AD54" s="484">
        <f>EIA_RE_aeo2014!AD79</f>
        <v>0.27247283348482887</v>
      </c>
      <c r="AE54" s="484">
        <f>EIA_RE_aeo2014!AE79</f>
        <v>0.27404529993543653</v>
      </c>
      <c r="AF54" s="484">
        <f>EIA_RE_aeo2014!AF79</f>
        <v>0.28035743739771368</v>
      </c>
      <c r="AG54" s="484">
        <f>EIA_RE_aeo2014!AG79</f>
        <v>0.28622912148479046</v>
      </c>
      <c r="AH54" s="484">
        <f>EIA_RE_aeo2014!AH79</f>
        <v>0.28646993617822397</v>
      </c>
      <c r="AI54" s="484">
        <f>EIA_RE_aeo2014!AI79</f>
        <v>0.28860637455365751</v>
      </c>
      <c r="AJ54" s="484">
        <f>EIA_RE_aeo2014!AJ79</f>
        <v>0.29127764578277193</v>
      </c>
      <c r="AK54"/>
      <c r="AM54" s="255" t="s">
        <v>742</v>
      </c>
      <c r="AN54" s="255">
        <v>0</v>
      </c>
      <c r="AO54" s="255">
        <v>0</v>
      </c>
      <c r="AP54" s="255">
        <v>0</v>
      </c>
      <c r="AQ54" s="255">
        <v>0</v>
      </c>
      <c r="AR54" s="255">
        <v>0</v>
      </c>
    </row>
    <row r="55" spans="1:44" s="255" customFormat="1">
      <c r="A55" s="254" t="s">
        <v>628</v>
      </c>
      <c r="B55" s="506">
        <f>AN58</f>
        <v>0</v>
      </c>
      <c r="C55" s="506">
        <f t="shared" ref="C55:F55" si="12">AO58</f>
        <v>0</v>
      </c>
      <c r="D55" s="506">
        <f t="shared" si="12"/>
        <v>0</v>
      </c>
      <c r="E55" s="506">
        <f t="shared" si="12"/>
        <v>0</v>
      </c>
      <c r="F55" s="506">
        <f t="shared" si="12"/>
        <v>0</v>
      </c>
      <c r="G55" s="484">
        <f>G39*$AM43</f>
        <v>0</v>
      </c>
      <c r="H55" s="484">
        <f t="shared" ref="H55:AJ55" si="13">H39*$AM43</f>
        <v>0</v>
      </c>
      <c r="I55" s="484">
        <f t="shared" si="13"/>
        <v>0</v>
      </c>
      <c r="J55" s="484">
        <f t="shared" si="13"/>
        <v>0</v>
      </c>
      <c r="K55" s="484">
        <f t="shared" si="13"/>
        <v>0</v>
      </c>
      <c r="L55" s="484">
        <f t="shared" si="13"/>
        <v>0</v>
      </c>
      <c r="M55" s="484">
        <f t="shared" si="13"/>
        <v>0</v>
      </c>
      <c r="N55" s="484">
        <f t="shared" si="13"/>
        <v>0</v>
      </c>
      <c r="O55" s="484">
        <f t="shared" si="13"/>
        <v>0</v>
      </c>
      <c r="P55" s="484">
        <f t="shared" si="13"/>
        <v>0</v>
      </c>
      <c r="Q55" s="484">
        <f t="shared" si="13"/>
        <v>0</v>
      </c>
      <c r="R55" s="484">
        <f t="shared" si="13"/>
        <v>0</v>
      </c>
      <c r="S55" s="484">
        <f t="shared" si="13"/>
        <v>0</v>
      </c>
      <c r="T55" s="484">
        <f t="shared" si="13"/>
        <v>0</v>
      </c>
      <c r="U55" s="484">
        <f t="shared" si="13"/>
        <v>0</v>
      </c>
      <c r="V55" s="484">
        <f t="shared" si="13"/>
        <v>0</v>
      </c>
      <c r="W55" s="484">
        <f t="shared" si="13"/>
        <v>0</v>
      </c>
      <c r="X55" s="484">
        <f t="shared" si="13"/>
        <v>0</v>
      </c>
      <c r="Y55" s="484">
        <f t="shared" si="13"/>
        <v>0</v>
      </c>
      <c r="Z55" s="484">
        <f t="shared" si="13"/>
        <v>0</v>
      </c>
      <c r="AA55" s="484">
        <f t="shared" si="13"/>
        <v>0</v>
      </c>
      <c r="AB55" s="484">
        <f t="shared" si="13"/>
        <v>0</v>
      </c>
      <c r="AC55" s="484">
        <f t="shared" si="13"/>
        <v>0</v>
      </c>
      <c r="AD55" s="484">
        <f t="shared" si="13"/>
        <v>0</v>
      </c>
      <c r="AE55" s="484">
        <f t="shared" si="13"/>
        <v>0</v>
      </c>
      <c r="AF55" s="484">
        <f t="shared" si="13"/>
        <v>0</v>
      </c>
      <c r="AG55" s="484">
        <f t="shared" si="13"/>
        <v>0</v>
      </c>
      <c r="AH55" s="484">
        <f t="shared" si="13"/>
        <v>0</v>
      </c>
      <c r="AI55" s="484">
        <f t="shared" si="13"/>
        <v>0</v>
      </c>
      <c r="AJ55" s="484">
        <f t="shared" si="13"/>
        <v>0</v>
      </c>
      <c r="AK55"/>
      <c r="AM55" s="255" t="s">
        <v>225</v>
      </c>
      <c r="AN55" s="255">
        <v>0</v>
      </c>
      <c r="AO55" s="255">
        <v>0</v>
      </c>
      <c r="AP55" s="255">
        <v>0</v>
      </c>
      <c r="AQ55" s="255">
        <v>0</v>
      </c>
      <c r="AR55" s="255">
        <v>0</v>
      </c>
    </row>
    <row r="56" spans="1:44" s="255" customFormat="1">
      <c r="A56" s="254" t="s">
        <v>82</v>
      </c>
      <c r="B56" s="506">
        <f>AN59</f>
        <v>5.968</v>
      </c>
      <c r="C56" s="506">
        <f t="shared" ref="C56" si="14">AO59</f>
        <v>7.05</v>
      </c>
      <c r="D56" s="506">
        <f t="shared" ref="D56" si="15">AP59</f>
        <v>7.3869999999999996</v>
      </c>
      <c r="E56" s="506">
        <f t="shared" ref="E56" si="16">AQ59</f>
        <v>7.6970000000000001</v>
      </c>
      <c r="F56" s="506">
        <f t="shared" ref="F56" si="17">AR59</f>
        <v>7.7389999999999999</v>
      </c>
      <c r="G56" s="536">
        <f>G58</f>
        <v>8.0220592976381262</v>
      </c>
      <c r="H56" s="536">
        <f t="shared" ref="H56:AJ56" si="18">H58</f>
        <v>7.8862900050506894</v>
      </c>
      <c r="I56" s="536">
        <f t="shared" si="18"/>
        <v>7.6823181378594798</v>
      </c>
      <c r="J56" s="536">
        <f t="shared" si="18"/>
        <v>7.9802639436510105</v>
      </c>
      <c r="K56" s="536">
        <f t="shared" si="18"/>
        <v>8.1907053026668422</v>
      </c>
      <c r="L56" s="536">
        <f t="shared" si="18"/>
        <v>8.4347578565961854</v>
      </c>
      <c r="M56" s="536">
        <f t="shared" si="18"/>
        <v>8.65616794145933</v>
      </c>
      <c r="N56" s="536">
        <f t="shared" si="18"/>
        <v>8.6948668992976827</v>
      </c>
      <c r="O56" s="536">
        <f t="shared" si="18"/>
        <v>8.6549342089544545</v>
      </c>
      <c r="P56" s="536">
        <f t="shared" si="18"/>
        <v>8.4793960074364616</v>
      </c>
      <c r="Q56" s="536">
        <f t="shared" si="18"/>
        <v>8.3769113525210557</v>
      </c>
      <c r="R56" s="536">
        <f t="shared" si="18"/>
        <v>8.1427855011058003</v>
      </c>
      <c r="S56" s="536">
        <f t="shared" si="18"/>
        <v>7.971516287050683</v>
      </c>
      <c r="T56" s="536">
        <f t="shared" si="18"/>
        <v>7.9037574061015983</v>
      </c>
      <c r="U56" s="536">
        <f t="shared" si="18"/>
        <v>7.8760670095554159</v>
      </c>
      <c r="V56" s="536">
        <f t="shared" si="18"/>
        <v>7.6438729274738053</v>
      </c>
      <c r="W56" s="536">
        <f t="shared" si="18"/>
        <v>7.303689419578884</v>
      </c>
      <c r="X56" s="536">
        <f t="shared" si="18"/>
        <v>7.3118618028486697</v>
      </c>
      <c r="Y56" s="536">
        <f t="shared" si="18"/>
        <v>7.0599554366937589</v>
      </c>
      <c r="Z56" s="536">
        <f t="shared" si="18"/>
        <v>7.1733877650875613</v>
      </c>
      <c r="AA56" s="536">
        <f t="shared" si="18"/>
        <v>7.2767364015545519</v>
      </c>
      <c r="AB56" s="536">
        <f t="shared" si="18"/>
        <v>7.4993354826193181</v>
      </c>
      <c r="AC56" s="536">
        <f t="shared" si="18"/>
        <v>7.7125976141222052</v>
      </c>
      <c r="AD56" s="536">
        <f t="shared" si="18"/>
        <v>7.8432120037494837</v>
      </c>
      <c r="AE56" s="536">
        <f t="shared" si="18"/>
        <v>7.7615791731884487</v>
      </c>
      <c r="AF56" s="536">
        <f t="shared" si="18"/>
        <v>7.6949469187430592</v>
      </c>
      <c r="AG56" s="536">
        <f t="shared" si="18"/>
        <v>7.6493055866191302</v>
      </c>
      <c r="AH56" s="536">
        <f t="shared" si="18"/>
        <v>7.5819825353912096</v>
      </c>
      <c r="AI56" s="536">
        <f t="shared" si="18"/>
        <v>7.4873779432792809</v>
      </c>
      <c r="AJ56" s="536">
        <f t="shared" si="18"/>
        <v>7.250288765099187</v>
      </c>
      <c r="AK56"/>
      <c r="AM56" s="255" t="s">
        <v>378</v>
      </c>
      <c r="AN56" s="255">
        <v>0.155</v>
      </c>
      <c r="AO56" s="255">
        <v>0.159</v>
      </c>
      <c r="AP56" s="255">
        <v>0.16300000000000001</v>
      </c>
      <c r="AQ56" s="255">
        <v>0.14899999999999999</v>
      </c>
      <c r="AR56" s="255">
        <v>0.14399999999999999</v>
      </c>
    </row>
    <row r="57" spans="1:44" s="255" customFormat="1">
      <c r="B57" s="488"/>
      <c r="C57" s="488"/>
      <c r="D57" s="488"/>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M57" s="255" t="s">
        <v>743</v>
      </c>
      <c r="AN57" s="255">
        <v>0</v>
      </c>
      <c r="AO57" s="255">
        <v>0</v>
      </c>
      <c r="AP57" s="255">
        <v>0</v>
      </c>
      <c r="AQ57" s="255">
        <v>0</v>
      </c>
      <c r="AR57" s="255">
        <v>0</v>
      </c>
    </row>
    <row r="58" spans="1:44" s="255" customFormat="1">
      <c r="A58" s="254" t="s">
        <v>83</v>
      </c>
      <c r="B58" s="483">
        <f>SUM(B49:B52,B54,B55)</f>
        <v>5.9680000000000009</v>
      </c>
      <c r="C58" s="483">
        <f t="shared" ref="C58:AJ58" si="19">SUM(C49:C52,C54,C55)</f>
        <v>7.05</v>
      </c>
      <c r="D58" s="483">
        <f t="shared" si="19"/>
        <v>7.3870000000000005</v>
      </c>
      <c r="E58" s="483">
        <f t="shared" si="19"/>
        <v>7.6960000000000006</v>
      </c>
      <c r="F58" s="483">
        <f t="shared" si="19"/>
        <v>7.7389999999999999</v>
      </c>
      <c r="G58" s="483">
        <f t="shared" si="19"/>
        <v>8.0220592976381262</v>
      </c>
      <c r="H58" s="483">
        <f t="shared" si="19"/>
        <v>7.8862900050506894</v>
      </c>
      <c r="I58" s="483">
        <f t="shared" si="19"/>
        <v>7.6823181378594798</v>
      </c>
      <c r="J58" s="483">
        <f t="shared" si="19"/>
        <v>7.9802639436510105</v>
      </c>
      <c r="K58" s="483">
        <f t="shared" si="19"/>
        <v>8.1907053026668422</v>
      </c>
      <c r="L58" s="483">
        <f t="shared" si="19"/>
        <v>8.4347578565961854</v>
      </c>
      <c r="M58" s="483">
        <f t="shared" si="19"/>
        <v>8.65616794145933</v>
      </c>
      <c r="N58" s="483">
        <f t="shared" si="19"/>
        <v>8.6948668992976827</v>
      </c>
      <c r="O58" s="483">
        <f t="shared" si="19"/>
        <v>8.6549342089544545</v>
      </c>
      <c r="P58" s="483">
        <f t="shared" si="19"/>
        <v>8.4793960074364616</v>
      </c>
      <c r="Q58" s="483">
        <f t="shared" si="19"/>
        <v>8.3769113525210557</v>
      </c>
      <c r="R58" s="483">
        <f t="shared" si="19"/>
        <v>8.1427855011058003</v>
      </c>
      <c r="S58" s="483">
        <f t="shared" si="19"/>
        <v>7.971516287050683</v>
      </c>
      <c r="T58" s="483">
        <f t="shared" si="19"/>
        <v>7.9037574061015983</v>
      </c>
      <c r="U58" s="483">
        <f t="shared" si="19"/>
        <v>7.8760670095554159</v>
      </c>
      <c r="V58" s="483">
        <f t="shared" si="19"/>
        <v>7.6438729274738053</v>
      </c>
      <c r="W58" s="483">
        <f t="shared" si="19"/>
        <v>7.303689419578884</v>
      </c>
      <c r="X58" s="483">
        <f t="shared" si="19"/>
        <v>7.3118618028486697</v>
      </c>
      <c r="Y58" s="483">
        <f t="shared" si="19"/>
        <v>7.0599554366937589</v>
      </c>
      <c r="Z58" s="483">
        <f t="shared" si="19"/>
        <v>7.1733877650875613</v>
      </c>
      <c r="AA58" s="483">
        <f t="shared" si="19"/>
        <v>7.2767364015545519</v>
      </c>
      <c r="AB58" s="483">
        <f t="shared" si="19"/>
        <v>7.4993354826193181</v>
      </c>
      <c r="AC58" s="483">
        <f t="shared" si="19"/>
        <v>7.7125976141222052</v>
      </c>
      <c r="AD58" s="483">
        <f t="shared" si="19"/>
        <v>7.8432120037494837</v>
      </c>
      <c r="AE58" s="483">
        <f t="shared" si="19"/>
        <v>7.7615791731884487</v>
      </c>
      <c r="AF58" s="483">
        <f t="shared" si="19"/>
        <v>7.6949469187430592</v>
      </c>
      <c r="AG58" s="483">
        <f t="shared" si="19"/>
        <v>7.6493055866191302</v>
      </c>
      <c r="AH58" s="483">
        <f t="shared" si="19"/>
        <v>7.5819825353912096</v>
      </c>
      <c r="AI58" s="483">
        <f t="shared" si="19"/>
        <v>7.4873779432792809</v>
      </c>
      <c r="AJ58" s="483">
        <f t="shared" si="19"/>
        <v>7.250288765099187</v>
      </c>
      <c r="AK58" s="490">
        <v>8.9999999999999993E-3</v>
      </c>
      <c r="AM58" s="255" t="s">
        <v>744</v>
      </c>
      <c r="AN58" s="255">
        <v>0</v>
      </c>
      <c r="AO58" s="255">
        <v>0</v>
      </c>
      <c r="AP58" s="255">
        <v>0</v>
      </c>
      <c r="AQ58" s="255">
        <v>0</v>
      </c>
      <c r="AR58" s="255">
        <v>0</v>
      </c>
    </row>
    <row r="59" spans="1:44">
      <c r="A59" s="6" t="s">
        <v>84</v>
      </c>
      <c r="B59" s="366">
        <v>3906.17822265625</v>
      </c>
      <c r="C59" s="366">
        <v>4003.6083984375</v>
      </c>
      <c r="D59" s="366">
        <v>4006.09130859375</v>
      </c>
      <c r="E59" s="366">
        <v>3992.21752929688</v>
      </c>
      <c r="F59" s="366">
        <v>4046.56079101563</v>
      </c>
      <c r="G59" s="248">
        <v>3975.9853520000001</v>
      </c>
      <c r="H59" s="248">
        <v>3914.8715820000002</v>
      </c>
      <c r="I59" s="248">
        <v>3921.3237300000001</v>
      </c>
      <c r="J59" s="248">
        <v>3939.0678710000002</v>
      </c>
      <c r="K59" s="248">
        <v>4009.0505370000001</v>
      </c>
      <c r="L59" s="248">
        <v>4063.0170899999998</v>
      </c>
      <c r="M59" s="248">
        <v>4119.9077150000003</v>
      </c>
      <c r="N59" s="248">
        <v>4166.5869140000004</v>
      </c>
      <c r="O59" s="248">
        <v>4198.9038090000004</v>
      </c>
      <c r="P59" s="248">
        <v>4219.6909180000002</v>
      </c>
      <c r="Q59" s="248">
        <v>4252.6411129999997</v>
      </c>
      <c r="R59" s="248">
        <v>4292.3344729999999</v>
      </c>
      <c r="S59" s="248">
        <v>4339.8535160000001</v>
      </c>
      <c r="T59" s="248">
        <v>4382.0117190000001</v>
      </c>
      <c r="U59" s="248">
        <v>4415.9643550000001</v>
      </c>
      <c r="V59" s="248">
        <v>4450.7382809999999</v>
      </c>
      <c r="W59" s="248">
        <v>4486.6025390000004</v>
      </c>
      <c r="X59" s="248">
        <v>4519.0146480000003</v>
      </c>
      <c r="Y59" s="248">
        <v>4546.845703</v>
      </c>
      <c r="Z59" s="248">
        <v>4573.2431640000004</v>
      </c>
      <c r="AA59" s="248">
        <v>4595.8320309999999</v>
      </c>
      <c r="AB59" s="248">
        <v>4620.3847660000001</v>
      </c>
      <c r="AC59" s="248">
        <v>4650.2163090000004</v>
      </c>
      <c r="AD59" s="248">
        <v>4684.017578</v>
      </c>
      <c r="AE59" s="248">
        <v>4715.7373049999997</v>
      </c>
      <c r="AF59" s="248">
        <v>4746.6293949999999</v>
      </c>
      <c r="AG59" s="248">
        <v>4780.0688479999999</v>
      </c>
      <c r="AH59" s="248">
        <v>4817.2851559999999</v>
      </c>
      <c r="AI59" s="248">
        <v>4853.5073240000002</v>
      </c>
      <c r="AJ59" s="248">
        <v>4888.0634769999997</v>
      </c>
      <c r="AK59" s="249">
        <v>8.0000000000000002E-3</v>
      </c>
      <c r="AM59" s="5" t="s">
        <v>58</v>
      </c>
      <c r="AN59" s="5">
        <v>5.968</v>
      </c>
      <c r="AO59" s="5">
        <v>7.05</v>
      </c>
      <c r="AP59" s="5">
        <v>7.3869999999999996</v>
      </c>
      <c r="AQ59" s="5">
        <v>7.6970000000000001</v>
      </c>
      <c r="AR59" s="5">
        <v>7.7389999999999999</v>
      </c>
    </row>
    <row r="60" spans="1:44" s="274" customFormat="1">
      <c r="A60" s="273" t="s">
        <v>331</v>
      </c>
      <c r="B60" s="367"/>
      <c r="C60" s="367"/>
      <c r="D60" s="367"/>
      <c r="E60" s="367">
        <f>E49/SUM(E49,E51)</f>
        <v>0</v>
      </c>
      <c r="F60" s="367">
        <f t="shared" ref="F60:AJ60" si="20">F49/SUM(F49,F51)</f>
        <v>0</v>
      </c>
      <c r="G60" s="324">
        <f t="shared" si="20"/>
        <v>0</v>
      </c>
      <c r="H60" s="324">
        <f t="shared" si="20"/>
        <v>0</v>
      </c>
      <c r="I60" s="324">
        <f t="shared" si="20"/>
        <v>0</v>
      </c>
      <c r="J60" s="324">
        <f t="shared" si="20"/>
        <v>0</v>
      </c>
      <c r="K60" s="324">
        <f t="shared" si="20"/>
        <v>0</v>
      </c>
      <c r="L60" s="324">
        <f t="shared" si="20"/>
        <v>0</v>
      </c>
      <c r="M60" s="324">
        <f t="shared" si="20"/>
        <v>0</v>
      </c>
      <c r="N60" s="324">
        <f t="shared" si="20"/>
        <v>0</v>
      </c>
      <c r="O60" s="324">
        <f t="shared" si="20"/>
        <v>0</v>
      </c>
      <c r="P60" s="324">
        <f t="shared" si="20"/>
        <v>0</v>
      </c>
      <c r="Q60" s="324">
        <f t="shared" si="20"/>
        <v>0</v>
      </c>
      <c r="R60" s="324">
        <f t="shared" si="20"/>
        <v>0</v>
      </c>
      <c r="S60" s="324">
        <f t="shared" si="20"/>
        <v>0</v>
      </c>
      <c r="T60" s="324">
        <f t="shared" si="20"/>
        <v>0</v>
      </c>
      <c r="U60" s="324">
        <f t="shared" si="20"/>
        <v>0</v>
      </c>
      <c r="V60" s="324">
        <f t="shared" si="20"/>
        <v>0</v>
      </c>
      <c r="W60" s="324">
        <f t="shared" si="20"/>
        <v>0</v>
      </c>
      <c r="X60" s="324">
        <f t="shared" si="20"/>
        <v>0</v>
      </c>
      <c r="Y60" s="324">
        <f t="shared" si="20"/>
        <v>0</v>
      </c>
      <c r="Z60" s="324">
        <f t="shared" si="20"/>
        <v>0</v>
      </c>
      <c r="AA60" s="324">
        <f t="shared" si="20"/>
        <v>0</v>
      </c>
      <c r="AB60" s="324">
        <f t="shared" si="20"/>
        <v>0</v>
      </c>
      <c r="AC60" s="324">
        <f t="shared" si="20"/>
        <v>0</v>
      </c>
      <c r="AD60" s="324">
        <f t="shared" si="20"/>
        <v>0</v>
      </c>
      <c r="AE60" s="324">
        <f t="shared" si="20"/>
        <v>0</v>
      </c>
      <c r="AF60" s="324">
        <f t="shared" si="20"/>
        <v>0</v>
      </c>
      <c r="AG60" s="324">
        <f t="shared" si="20"/>
        <v>0</v>
      </c>
      <c r="AH60" s="324">
        <f t="shared" si="20"/>
        <v>0</v>
      </c>
      <c r="AI60" s="324">
        <f t="shared" si="20"/>
        <v>0</v>
      </c>
      <c r="AJ60" s="324">
        <f t="shared" si="20"/>
        <v>0</v>
      </c>
      <c r="AK60" s="324"/>
      <c r="AL60" s="274" t="s">
        <v>0</v>
      </c>
    </row>
    <row r="61" spans="1:44" s="265" customFormat="1">
      <c r="A61" s="262" t="s">
        <v>107</v>
      </c>
      <c r="B61" s="358">
        <f>B54/B58</f>
        <v>2.5971849865951739E-2</v>
      </c>
      <c r="C61" s="358">
        <f t="shared" ref="C61:AJ61" si="21">C54/C58</f>
        <v>2.2553191489361704E-2</v>
      </c>
      <c r="D61" s="358">
        <f t="shared" si="21"/>
        <v>2.206579125490727E-2</v>
      </c>
      <c r="E61" s="358">
        <f t="shared" si="21"/>
        <v>1.9360706860706858E-2</v>
      </c>
      <c r="F61" s="358">
        <f t="shared" si="21"/>
        <v>1.860705517508722E-2</v>
      </c>
      <c r="G61" s="309">
        <f t="shared" si="21"/>
        <v>2.0194126010826867E-2</v>
      </c>
      <c r="H61" s="309">
        <f t="shared" si="21"/>
        <v>1.9812016864554739E-2</v>
      </c>
      <c r="I61" s="309">
        <f t="shared" si="21"/>
        <v>2.0660074758009368E-2</v>
      </c>
      <c r="J61" s="309">
        <f t="shared" si="21"/>
        <v>2.0413077905327485E-2</v>
      </c>
      <c r="K61" s="309">
        <f t="shared" si="21"/>
        <v>2.4264250761401634E-2</v>
      </c>
      <c r="L61" s="309">
        <f t="shared" si="21"/>
        <v>2.7743569816452266E-2</v>
      </c>
      <c r="M61" s="309">
        <f t="shared" si="21"/>
        <v>2.7269523276105698E-2</v>
      </c>
      <c r="N61" s="309">
        <f t="shared" si="21"/>
        <v>2.7275460356952632E-2</v>
      </c>
      <c r="O61" s="309">
        <f t="shared" si="21"/>
        <v>2.759015424044264E-2</v>
      </c>
      <c r="P61" s="309">
        <f t="shared" si="21"/>
        <v>2.8354439944428565E-2</v>
      </c>
      <c r="Q61" s="309">
        <f t="shared" si="21"/>
        <v>2.9275116800915265E-2</v>
      </c>
      <c r="R61" s="309">
        <f t="shared" si="21"/>
        <v>3.0164169699567801E-2</v>
      </c>
      <c r="S61" s="309">
        <f t="shared" si="21"/>
        <v>3.1303220698071031E-2</v>
      </c>
      <c r="T61" s="309">
        <f t="shared" si="21"/>
        <v>3.1708445978156009E-2</v>
      </c>
      <c r="U61" s="309">
        <f t="shared" si="21"/>
        <v>3.1916990698185356E-2</v>
      </c>
      <c r="V61" s="309">
        <f t="shared" si="21"/>
        <v>3.3074800665522833E-2</v>
      </c>
      <c r="W61" s="309">
        <f t="shared" si="21"/>
        <v>3.5122166059286954E-2</v>
      </c>
      <c r="X61" s="309">
        <f t="shared" si="21"/>
        <v>3.5936990377629784E-2</v>
      </c>
      <c r="Y61" s="309">
        <f t="shared" si="21"/>
        <v>3.737553182778719E-2</v>
      </c>
      <c r="Z61" s="309">
        <f t="shared" si="21"/>
        <v>3.693731863122459E-2</v>
      </c>
      <c r="AA61" s="309">
        <f t="shared" si="21"/>
        <v>3.6647965218348171E-2</v>
      </c>
      <c r="AB61" s="309">
        <f t="shared" si="21"/>
        <v>3.5650583057707921E-2</v>
      </c>
      <c r="AC61" s="309">
        <f t="shared" si="21"/>
        <v>3.4991817180189136E-2</v>
      </c>
      <c r="AD61" s="309">
        <f t="shared" si="21"/>
        <v>3.4739955180935055E-2</v>
      </c>
      <c r="AE61" s="309">
        <f t="shared" si="21"/>
        <v>3.530793074714704E-2</v>
      </c>
      <c r="AF61" s="309">
        <f t="shared" si="21"/>
        <v>3.643396638836191E-2</v>
      </c>
      <c r="AG61" s="309">
        <f t="shared" si="21"/>
        <v>3.7418968067570578E-2</v>
      </c>
      <c r="AH61" s="309">
        <f t="shared" si="21"/>
        <v>3.7782985497663499E-2</v>
      </c>
      <c r="AI61" s="309">
        <f t="shared" si="21"/>
        <v>3.8545720109228958E-2</v>
      </c>
      <c r="AJ61" s="309">
        <f t="shared" si="21"/>
        <v>4.017462686243603E-2</v>
      </c>
      <c r="AK61" s="309"/>
    </row>
    <row r="62" spans="1:44" s="275" customFormat="1">
      <c r="A62" s="264" t="s">
        <v>108</v>
      </c>
      <c r="B62" s="368">
        <f>(B54-EIA_RE_aeo2014!B73)/B56</f>
        <v>2.4966487935656836E-2</v>
      </c>
      <c r="C62" s="368">
        <f>(C54-EIA_RE_aeo2014!C73)/C56</f>
        <v>2.198581560283688E-2</v>
      </c>
      <c r="D62" s="368">
        <f>(D54-EIA_RE_aeo2014!D73)/D56</f>
        <v>2.1388926492486804E-2</v>
      </c>
      <c r="E62" s="368">
        <f>(E54-EIA_RE_aeo2014!E73)/E56</f>
        <v>1.8708587761465504E-2</v>
      </c>
      <c r="F62" s="368">
        <f>(F54-EIA_RE_aeo2014!F73)/F56</f>
        <v>1.8090192531334797E-2</v>
      </c>
      <c r="G62" s="325">
        <f>(G54-EIA_RE_aeo2014!G73)/G56</f>
        <v>1.9581284582311641E-2</v>
      </c>
      <c r="H62" s="325">
        <f>(H54-EIA_RE_aeo2014!H73)/H56</f>
        <v>1.9286601018167704E-2</v>
      </c>
      <c r="I62" s="325">
        <f>(I54-EIA_RE_aeo2014!I73)/I56</f>
        <v>2.0137137455382603E-2</v>
      </c>
      <c r="J62" s="325">
        <f>(J54-EIA_RE_aeo2014!J73)/J56</f>
        <v>1.9901189614332179E-2</v>
      </c>
      <c r="K62" s="325">
        <f>(K54-EIA_RE_aeo2014!K73)/K56</f>
        <v>2.3755663642750911E-2</v>
      </c>
      <c r="L62" s="325">
        <f>(L54-EIA_RE_aeo2014!L73)/L56</f>
        <v>2.7240087293537673E-2</v>
      </c>
      <c r="M62" s="325">
        <f>(M54-EIA_RE_aeo2014!M73)/M56</f>
        <v>2.6773882802466089E-2</v>
      </c>
      <c r="N62" s="325">
        <f>(N54-EIA_RE_aeo2014!N73)/N56</f>
        <v>2.6782025677015726E-2</v>
      </c>
      <c r="O62" s="325">
        <f>(O54-EIA_RE_aeo2014!O73)/O56</f>
        <v>2.7094442854966112E-2</v>
      </c>
      <c r="P62" s="325">
        <f>(P54-EIA_RE_aeo2014!P73)/P56</f>
        <v>2.7848466738949515E-2</v>
      </c>
      <c r="Q62" s="325">
        <f>(Q54-EIA_RE_aeo2014!Q73)/Q56</f>
        <v>2.8762953427344685E-2</v>
      </c>
      <c r="R62" s="325">
        <f>(R54-EIA_RE_aeo2014!R73)/R56</f>
        <v>2.9637280184599452E-2</v>
      </c>
      <c r="S62" s="325">
        <f>(S54-EIA_RE_aeo2014!S73)/S56</f>
        <v>3.0738363373532637E-2</v>
      </c>
      <c r="T62" s="325">
        <f>(T54-EIA_RE_aeo2014!T73)/T56</f>
        <v>3.1138746205164297E-2</v>
      </c>
      <c r="U62" s="325">
        <f>(U54-EIA_RE_aeo2014!U73)/U56</f>
        <v>3.1345287352340913E-2</v>
      </c>
      <c r="V62" s="325">
        <f>(V54-EIA_RE_aeo2014!V73)/V56</f>
        <v>3.2485729724045731E-2</v>
      </c>
      <c r="W62" s="325">
        <f>(W54-EIA_RE_aeo2014!W73)/W56</f>
        <v>3.450135441964032E-2</v>
      </c>
      <c r="X62" s="325">
        <f>(X54-EIA_RE_aeo2014!X73)/X56</f>
        <v>3.5312581383584341E-2</v>
      </c>
      <c r="Y62" s="325">
        <f>(Y54-EIA_RE_aeo2014!Y73)/Y56</f>
        <v>3.6728842570995734E-2</v>
      </c>
      <c r="Z62" s="325">
        <f>(Z54-EIA_RE_aeo2014!Z73)/Z56</f>
        <v>3.630085550927032E-2</v>
      </c>
      <c r="AA62" s="325">
        <f>(AA54-EIA_RE_aeo2014!AK73)/AA56</f>
        <v>3.6647965218348171E-2</v>
      </c>
      <c r="AB62" s="325">
        <f>(AB54-EIA_RE_aeo2014!AL73)/AB56</f>
        <v>3.5650583057707921E-2</v>
      </c>
      <c r="AC62" s="325">
        <f>(AC54-EIA_RE_aeo2014!AM73)/AC56</f>
        <v>3.4991817180189136E-2</v>
      </c>
      <c r="AD62" s="325">
        <f>(AD54-EIA_RE_aeo2014!AN73)/AD56</f>
        <v>3.3974962471681282E-2</v>
      </c>
      <c r="AE62" s="325">
        <f>(AE54-EIA_RE_aeo2014!AO73)/AE56</f>
        <v>3.4792571706062002E-2</v>
      </c>
      <c r="AF62" s="325">
        <f>(AF54-EIA_RE_aeo2014!AP73)/AF56</f>
        <v>3.5784189326505747E-2</v>
      </c>
      <c r="AG62" s="325">
        <f>(AG54-EIA_RE_aeo2014!AQ73)/AG56</f>
        <v>3.6765313962190543E-2</v>
      </c>
      <c r="AH62" s="325">
        <f>(AH54-EIA_RE_aeo2014!AR73)/AH56</f>
        <v>3.7255418996246646E-2</v>
      </c>
      <c r="AI62" s="325">
        <f>(AI54-EIA_RE_aeo2014!AS73)/AI56</f>
        <v>3.8545720109228958E-2</v>
      </c>
      <c r="AJ62" s="325">
        <f>(AJ54-EIA_RE_aeo2014!AT73)/AJ56</f>
        <v>4.017462686243603E-2</v>
      </c>
      <c r="AK62" s="325"/>
    </row>
    <row r="63" spans="1:44" s="475" customFormat="1">
      <c r="A63" s="475" t="s">
        <v>109</v>
      </c>
      <c r="C63" s="476"/>
      <c r="D63" s="476"/>
      <c r="E63" s="476"/>
      <c r="F63" s="476">
        <v>42094.619140625</v>
      </c>
      <c r="G63" s="477">
        <v>102605.04540000002</v>
      </c>
      <c r="H63" s="477">
        <v>163360.96875</v>
      </c>
      <c r="I63" s="477">
        <v>225974.68357199998</v>
      </c>
      <c r="J63" s="477">
        <v>289591.77345600002</v>
      </c>
      <c r="K63" s="477">
        <v>358569.27243000007</v>
      </c>
      <c r="L63" s="477">
        <v>428005.66654200002</v>
      </c>
      <c r="M63" s="477">
        <v>499509.19281199999</v>
      </c>
      <c r="N63" s="477">
        <v>571413.594774</v>
      </c>
      <c r="O63" s="477">
        <v>642582.21966400009</v>
      </c>
      <c r="P63" s="477">
        <v>712804.27253000019</v>
      </c>
      <c r="Q63" s="477">
        <v>785931.55672200024</v>
      </c>
      <c r="R63" s="477">
        <v>861455.63087200013</v>
      </c>
      <c r="S63" s="477">
        <v>939930.84375000035</v>
      </c>
      <c r="T63" s="477">
        <v>1018634.9062500005</v>
      </c>
      <c r="U63" s="477">
        <v>1096613.15925</v>
      </c>
      <c r="V63" s="478"/>
      <c r="W63" s="478"/>
      <c r="X63" s="478"/>
      <c r="Y63" s="478"/>
      <c r="Z63" s="478"/>
      <c r="AA63" s="478"/>
      <c r="AB63" s="478"/>
      <c r="AC63" s="478"/>
      <c r="AD63" s="478"/>
      <c r="AE63" s="478"/>
      <c r="AF63" s="478"/>
      <c r="AG63" s="478"/>
      <c r="AH63" s="478"/>
      <c r="AI63" s="478"/>
      <c r="AJ63" s="478"/>
      <c r="AK63" s="478"/>
    </row>
    <row r="64" spans="1:44" s="479" customFormat="1">
      <c r="A64" s="479" t="s">
        <v>110</v>
      </c>
      <c r="C64" s="480"/>
      <c r="D64" s="480"/>
      <c r="E64" s="480"/>
      <c r="F64" s="480"/>
      <c r="G64" s="481">
        <f>G63/1000/G58</f>
        <v>12.790362373687421</v>
      </c>
      <c r="H64" s="481">
        <f t="shared" ref="H64:O64" si="22">H63/1000/H58</f>
        <v>20.714552552008261</v>
      </c>
      <c r="I64" s="481">
        <f t="shared" si="22"/>
        <v>29.414908302009369</v>
      </c>
      <c r="J64" s="481">
        <f t="shared" si="22"/>
        <v>36.288495656386814</v>
      </c>
      <c r="K64" s="481">
        <f t="shared" si="22"/>
        <v>43.777581927316099</v>
      </c>
      <c r="L64" s="481">
        <f t="shared" si="22"/>
        <v>50.743088754739915</v>
      </c>
      <c r="M64" s="481">
        <f t="shared" si="22"/>
        <v>57.705580135473724</v>
      </c>
      <c r="N64" s="481">
        <f t="shared" si="22"/>
        <v>65.718498211876621</v>
      </c>
      <c r="O64" s="481">
        <f t="shared" si="22"/>
        <v>74.2446105481865</v>
      </c>
      <c r="P64" s="481">
        <f t="shared" ref="P64" si="23">P63/1000/P58</f>
        <v>84.063095048853498</v>
      </c>
      <c r="Q64" s="481">
        <f t="shared" ref="Q64" si="24">Q63/1000/Q58</f>
        <v>93.821161959111791</v>
      </c>
      <c r="R64" s="481">
        <f t="shared" ref="R64" si="25">R63/1000/R58</f>
        <v>105.79372755858709</v>
      </c>
      <c r="S64" s="481">
        <f t="shared" ref="S64" si="26">S63/1000/S58</f>
        <v>117.91117397287007</v>
      </c>
      <c r="T64" s="481">
        <f t="shared" ref="T64" si="27">T63/1000/T58</f>
        <v>128.87982941678189</v>
      </c>
      <c r="U64" s="481">
        <f t="shared" ref="U64" si="28">U63/1000/U58</f>
        <v>139.23359945002565</v>
      </c>
      <c r="V64" s="481"/>
      <c r="W64" s="481"/>
      <c r="X64" s="481"/>
      <c r="Y64" s="481"/>
      <c r="Z64" s="481"/>
      <c r="AA64" s="481"/>
      <c r="AB64" s="481"/>
      <c r="AC64" s="481"/>
      <c r="AD64" s="481"/>
      <c r="AE64" s="481"/>
      <c r="AF64" s="481"/>
      <c r="AG64" s="481"/>
      <c r="AH64" s="481"/>
      <c r="AI64" s="481"/>
      <c r="AJ64" s="481"/>
      <c r="AK64" s="481"/>
    </row>
    <row r="65" spans="1:38" s="479" customFormat="1">
      <c r="A65" s="479" t="s">
        <v>113</v>
      </c>
      <c r="D65" s="480"/>
      <c r="E65" s="480"/>
      <c r="F65" s="480"/>
      <c r="G65" s="481"/>
      <c r="H65" s="481">
        <f t="shared" ref="H65:U65" si="29">(H64-G64)/G64</f>
        <v>0.61954383674247082</v>
      </c>
      <c r="I65" s="481">
        <f t="shared" si="29"/>
        <v>0.42001176362159054</v>
      </c>
      <c r="J65" s="481">
        <f t="shared" si="29"/>
        <v>0.23367699412164755</v>
      </c>
      <c r="K65" s="481">
        <f t="shared" si="29"/>
        <v>0.2063763221777753</v>
      </c>
      <c r="L65" s="481">
        <f t="shared" si="29"/>
        <v>0.15911127387046284</v>
      </c>
      <c r="M65" s="481">
        <f t="shared" si="29"/>
        <v>0.13721063403109143</v>
      </c>
      <c r="N65" s="481">
        <f t="shared" si="29"/>
        <v>0.13885863477312246</v>
      </c>
      <c r="O65" s="481">
        <f t="shared" si="29"/>
        <v>0.12973687117471353</v>
      </c>
      <c r="P65" s="481">
        <f t="shared" si="29"/>
        <v>0.13224508052735451</v>
      </c>
      <c r="Q65" s="481">
        <f t="shared" si="29"/>
        <v>0.11608027166484135</v>
      </c>
      <c r="R65" s="481">
        <f t="shared" si="29"/>
        <v>0.1276105022520726</v>
      </c>
      <c r="S65" s="481">
        <f t="shared" si="29"/>
        <v>0.11453842013055554</v>
      </c>
      <c r="T65" s="481">
        <f t="shared" si="29"/>
        <v>9.3024732723258008E-2</v>
      </c>
      <c r="U65" s="481">
        <f t="shared" si="29"/>
        <v>8.0336621177243439E-2</v>
      </c>
      <c r="V65" s="481"/>
      <c r="W65" s="481"/>
      <c r="X65" s="481"/>
      <c r="Y65" s="481"/>
      <c r="Z65" s="481"/>
      <c r="AA65" s="481"/>
      <c r="AB65" s="481"/>
      <c r="AC65" s="481"/>
      <c r="AD65" s="481"/>
      <c r="AE65" s="481"/>
      <c r="AF65" s="481"/>
      <c r="AG65" s="481"/>
      <c r="AH65" s="481"/>
      <c r="AI65" s="481"/>
      <c r="AJ65" s="481"/>
      <c r="AK65" s="481"/>
    </row>
    <row r="66" spans="1:38" s="265" customFormat="1">
      <c r="A66" s="265" t="s">
        <v>129</v>
      </c>
      <c r="B66" s="369">
        <f>B52/B58</f>
        <v>0</v>
      </c>
      <c r="C66" s="369">
        <f t="shared" ref="C66:AJ66" si="30">C52/C58</f>
        <v>0</v>
      </c>
      <c r="D66" s="369">
        <f t="shared" si="30"/>
        <v>0</v>
      </c>
      <c r="E66" s="369">
        <f t="shared" si="30"/>
        <v>0</v>
      </c>
      <c r="F66" s="369">
        <f t="shared" si="30"/>
        <v>0</v>
      </c>
      <c r="G66" s="326">
        <f t="shared" si="30"/>
        <v>0</v>
      </c>
      <c r="H66" s="326">
        <f t="shared" si="30"/>
        <v>0</v>
      </c>
      <c r="I66" s="326">
        <f t="shared" si="30"/>
        <v>0</v>
      </c>
      <c r="J66" s="326">
        <f t="shared" si="30"/>
        <v>0</v>
      </c>
      <c r="K66" s="326">
        <f t="shared" si="30"/>
        <v>0</v>
      </c>
      <c r="L66" s="326">
        <f t="shared" si="30"/>
        <v>0</v>
      </c>
      <c r="M66" s="326">
        <f t="shared" si="30"/>
        <v>0</v>
      </c>
      <c r="N66" s="326">
        <f t="shared" si="30"/>
        <v>0</v>
      </c>
      <c r="O66" s="326">
        <f t="shared" si="30"/>
        <v>0</v>
      </c>
      <c r="P66" s="326">
        <f t="shared" si="30"/>
        <v>0</v>
      </c>
      <c r="Q66" s="326">
        <f t="shared" si="30"/>
        <v>0</v>
      </c>
      <c r="R66" s="326">
        <f t="shared" si="30"/>
        <v>0</v>
      </c>
      <c r="S66" s="326">
        <f t="shared" si="30"/>
        <v>0</v>
      </c>
      <c r="T66" s="326">
        <f t="shared" si="30"/>
        <v>0</v>
      </c>
      <c r="U66" s="326">
        <f t="shared" si="30"/>
        <v>0</v>
      </c>
      <c r="V66" s="326">
        <f t="shared" si="30"/>
        <v>0</v>
      </c>
      <c r="W66" s="326">
        <f t="shared" si="30"/>
        <v>0</v>
      </c>
      <c r="X66" s="326">
        <f t="shared" si="30"/>
        <v>0</v>
      </c>
      <c r="Y66" s="326">
        <f t="shared" si="30"/>
        <v>0</v>
      </c>
      <c r="Z66" s="326">
        <f t="shared" si="30"/>
        <v>0</v>
      </c>
      <c r="AA66" s="326">
        <f t="shared" si="30"/>
        <v>0</v>
      </c>
      <c r="AB66" s="326">
        <f t="shared" si="30"/>
        <v>0</v>
      </c>
      <c r="AC66" s="326">
        <f t="shared" si="30"/>
        <v>0</v>
      </c>
      <c r="AD66" s="326">
        <f t="shared" si="30"/>
        <v>0</v>
      </c>
      <c r="AE66" s="326">
        <f t="shared" si="30"/>
        <v>0</v>
      </c>
      <c r="AF66" s="326">
        <f t="shared" si="30"/>
        <v>0</v>
      </c>
      <c r="AG66" s="326">
        <f t="shared" si="30"/>
        <v>0</v>
      </c>
      <c r="AH66" s="326">
        <f t="shared" si="30"/>
        <v>0</v>
      </c>
      <c r="AI66" s="326">
        <f t="shared" si="30"/>
        <v>0</v>
      </c>
      <c r="AJ66" s="326">
        <f t="shared" si="30"/>
        <v>0</v>
      </c>
      <c r="AK66" s="326"/>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592</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592</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630</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629</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6" t="s">
        <v>631</v>
      </c>
      <c r="B109" s="566"/>
      <c r="C109" s="566"/>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566"/>
      <c r="AD109" s="566"/>
      <c r="AE109" s="566"/>
      <c r="AF109" s="566"/>
    </row>
    <row r="110" spans="1:38">
      <c r="A110" s="567" t="s">
        <v>632</v>
      </c>
      <c r="B110" s="567"/>
      <c r="C110" s="567"/>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7"/>
      <c r="AD110" s="567"/>
      <c r="AE110" s="567"/>
      <c r="AF110" s="567"/>
    </row>
    <row r="111" spans="1:38">
      <c r="A111" s="567" t="s">
        <v>633</v>
      </c>
      <c r="B111" s="567"/>
      <c r="C111" s="567"/>
      <c r="D111" s="567"/>
      <c r="E111" s="567"/>
      <c r="F111" s="567"/>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row>
    <row r="112" spans="1:38">
      <c r="A112" s="567" t="s">
        <v>634</v>
      </c>
      <c r="B112" s="567"/>
      <c r="C112" s="567"/>
      <c r="D112" s="567"/>
      <c r="E112" s="567"/>
      <c r="F112" s="567"/>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row>
    <row r="113" spans="1:32">
      <c r="A113" s="567" t="s">
        <v>635</v>
      </c>
      <c r="B113" s="567"/>
      <c r="C113" s="567"/>
      <c r="D113" s="567"/>
      <c r="E113" s="567"/>
      <c r="F113" s="567"/>
      <c r="G113" s="567"/>
      <c r="H113" s="567"/>
      <c r="I113" s="567"/>
      <c r="J113" s="567"/>
      <c r="K113" s="567"/>
      <c r="L113" s="567"/>
      <c r="M113" s="567"/>
      <c r="N113" s="567"/>
      <c r="O113" s="567"/>
      <c r="P113" s="567"/>
      <c r="Q113" s="567"/>
      <c r="R113" s="567"/>
      <c r="S113" s="567"/>
      <c r="T113" s="567"/>
      <c r="U113" s="567"/>
      <c r="V113" s="567"/>
      <c r="W113" s="567"/>
      <c r="X113" s="567"/>
      <c r="Y113" s="567"/>
      <c r="Z113" s="567"/>
      <c r="AA113" s="567"/>
      <c r="AB113" s="567"/>
      <c r="AC113" s="567"/>
      <c r="AD113" s="567"/>
      <c r="AE113" s="567"/>
      <c r="AF113" s="567"/>
    </row>
    <row r="114" spans="1:32">
      <c r="A114" s="567" t="s">
        <v>636</v>
      </c>
      <c r="B114" s="567"/>
      <c r="C114" s="567"/>
      <c r="D114" s="567"/>
      <c r="E114" s="567"/>
      <c r="F114" s="567"/>
      <c r="G114" s="567"/>
      <c r="H114" s="567"/>
      <c r="I114" s="567"/>
      <c r="J114" s="567"/>
      <c r="K114" s="567"/>
      <c r="L114" s="567"/>
      <c r="M114" s="567"/>
      <c r="N114" s="567"/>
      <c r="O114" s="567"/>
      <c r="P114" s="567"/>
      <c r="Q114" s="567"/>
      <c r="R114" s="567"/>
      <c r="S114" s="567"/>
      <c r="T114" s="567"/>
      <c r="U114" s="567"/>
      <c r="V114" s="567"/>
      <c r="W114" s="567"/>
      <c r="X114" s="567"/>
      <c r="Y114" s="567"/>
      <c r="Z114" s="567"/>
      <c r="AA114" s="567"/>
      <c r="AB114" s="567"/>
      <c r="AC114" s="567"/>
      <c r="AD114" s="567"/>
      <c r="AE114" s="567"/>
      <c r="AF114" s="567"/>
    </row>
    <row r="115" spans="1:32">
      <c r="A115" s="567" t="s">
        <v>637</v>
      </c>
      <c r="B115" s="567"/>
      <c r="C115" s="567"/>
      <c r="D115" s="567"/>
      <c r="E115" s="567"/>
      <c r="F115" s="567"/>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row>
    <row r="116" spans="1:32">
      <c r="A116" s="567" t="s">
        <v>638</v>
      </c>
      <c r="B116" s="567"/>
      <c r="C116" s="567"/>
      <c r="D116" s="567"/>
      <c r="E116" s="567"/>
      <c r="F116" s="567"/>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row>
    <row r="117" spans="1:32">
      <c r="A117" s="567" t="s">
        <v>639</v>
      </c>
      <c r="B117" s="567"/>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row>
    <row r="118" spans="1:32">
      <c r="A118" s="567" t="s">
        <v>640</v>
      </c>
      <c r="B118" s="567"/>
      <c r="C118" s="567"/>
      <c r="D118" s="567"/>
      <c r="E118" s="567"/>
      <c r="F118" s="567"/>
      <c r="G118" s="567"/>
      <c r="H118" s="567"/>
      <c r="I118" s="567"/>
      <c r="J118" s="567"/>
      <c r="K118" s="567"/>
      <c r="L118" s="567"/>
      <c r="M118" s="567"/>
      <c r="N118" s="567"/>
      <c r="O118" s="567"/>
      <c r="P118" s="567"/>
      <c r="Q118" s="567"/>
      <c r="R118" s="567"/>
      <c r="S118" s="567"/>
      <c r="T118" s="567"/>
      <c r="U118" s="567"/>
      <c r="V118" s="567"/>
      <c r="W118" s="567"/>
      <c r="X118" s="567"/>
      <c r="Y118" s="567"/>
      <c r="Z118" s="567"/>
      <c r="AA118" s="567"/>
      <c r="AB118" s="567"/>
      <c r="AC118" s="567"/>
      <c r="AD118" s="567"/>
      <c r="AE118" s="567"/>
      <c r="AF118" s="567"/>
    </row>
    <row r="119" spans="1:32">
      <c r="A119" s="567" t="s">
        <v>641</v>
      </c>
      <c r="B119" s="567"/>
      <c r="C119" s="567"/>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row>
    <row r="120" spans="1:32">
      <c r="A120" s="567" t="s">
        <v>642</v>
      </c>
      <c r="B120" s="567"/>
      <c r="C120" s="567"/>
      <c r="D120" s="567"/>
      <c r="E120" s="567"/>
      <c r="F120" s="567"/>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row>
    <row r="121" spans="1:32">
      <c r="A121" s="567" t="s">
        <v>643</v>
      </c>
      <c r="B121" s="567"/>
      <c r="C121" s="567"/>
      <c r="D121" s="567"/>
      <c r="E121" s="567"/>
      <c r="F121" s="567"/>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row>
    <row r="122" spans="1:32">
      <c r="A122" s="567" t="s">
        <v>644</v>
      </c>
      <c r="B122" s="567"/>
      <c r="C122" s="567"/>
      <c r="D122" s="567"/>
      <c r="E122" s="567"/>
      <c r="F122" s="567"/>
      <c r="G122" s="567"/>
      <c r="H122" s="567"/>
      <c r="I122" s="567"/>
      <c r="J122" s="567"/>
      <c r="K122" s="567"/>
      <c r="L122" s="567"/>
      <c r="M122" s="567"/>
      <c r="N122" s="567"/>
      <c r="O122" s="567"/>
      <c r="P122" s="567"/>
      <c r="Q122" s="567"/>
      <c r="R122" s="567"/>
      <c r="S122" s="567"/>
      <c r="T122" s="567"/>
      <c r="U122" s="567"/>
      <c r="V122" s="567"/>
      <c r="W122" s="567"/>
      <c r="X122" s="567"/>
      <c r="Y122" s="567"/>
      <c r="Z122" s="567"/>
      <c r="AA122" s="567"/>
      <c r="AB122" s="567"/>
      <c r="AC122" s="567"/>
      <c r="AD122" s="567"/>
      <c r="AE122" s="567"/>
      <c r="AF122" s="567"/>
    </row>
    <row r="123" spans="1:32">
      <c r="A123" s="567" t="s">
        <v>645</v>
      </c>
      <c r="B123" s="567"/>
      <c r="C123" s="567"/>
      <c r="D123" s="567"/>
      <c r="E123" s="567"/>
      <c r="F123" s="567"/>
      <c r="G123" s="567"/>
      <c r="H123" s="567"/>
      <c r="I123" s="567"/>
      <c r="J123" s="567"/>
      <c r="K123" s="567"/>
      <c r="L123" s="567"/>
      <c r="M123" s="567"/>
      <c r="N123" s="567"/>
      <c r="O123" s="567"/>
      <c r="P123" s="567"/>
      <c r="Q123" s="567"/>
      <c r="R123" s="567"/>
      <c r="S123" s="567"/>
      <c r="T123" s="567"/>
      <c r="U123" s="567"/>
      <c r="V123" s="567"/>
      <c r="W123" s="567"/>
      <c r="X123" s="567"/>
      <c r="Y123" s="567"/>
      <c r="Z123" s="567"/>
      <c r="AA123" s="567"/>
      <c r="AB123" s="567"/>
      <c r="AC123" s="567"/>
      <c r="AD123" s="567"/>
      <c r="AE123" s="567"/>
      <c r="AF123" s="567"/>
    </row>
    <row r="124" spans="1:32">
      <c r="A124" s="567" t="s">
        <v>646</v>
      </c>
      <c r="B124" s="567"/>
      <c r="C124" s="567"/>
      <c r="D124" s="567"/>
      <c r="E124" s="567"/>
      <c r="F124" s="567"/>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row>
    <row r="125" spans="1:32">
      <c r="A125" s="567" t="s">
        <v>639</v>
      </c>
      <c r="B125" s="567"/>
      <c r="C125" s="567"/>
      <c r="D125" s="567"/>
      <c r="E125" s="567"/>
      <c r="F125" s="567"/>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row>
    <row r="126" spans="1:32">
      <c r="A126" s="567" t="s">
        <v>647</v>
      </c>
      <c r="B126" s="567"/>
      <c r="C126" s="567"/>
      <c r="D126" s="567"/>
      <c r="E126" s="567"/>
      <c r="F126" s="567"/>
      <c r="G126" s="567"/>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row>
    <row r="127" spans="1:32">
      <c r="A127" s="567" t="s">
        <v>648</v>
      </c>
      <c r="B127" s="567"/>
      <c r="C127" s="567"/>
      <c r="D127" s="567"/>
      <c r="E127" s="567"/>
      <c r="F127" s="567"/>
      <c r="G127" s="567"/>
      <c r="H127" s="567"/>
      <c r="I127" s="567"/>
      <c r="J127" s="567"/>
      <c r="K127" s="567"/>
      <c r="L127" s="567"/>
      <c r="M127" s="567"/>
      <c r="N127" s="567"/>
      <c r="O127" s="567"/>
      <c r="P127" s="567"/>
      <c r="Q127" s="567"/>
      <c r="R127" s="567"/>
      <c r="S127" s="567"/>
      <c r="T127" s="567"/>
      <c r="U127" s="567"/>
      <c r="V127" s="567"/>
      <c r="W127" s="567"/>
      <c r="X127" s="567"/>
      <c r="Y127" s="567"/>
      <c r="Z127" s="567"/>
      <c r="AA127" s="567"/>
      <c r="AB127" s="567"/>
      <c r="AC127" s="567"/>
      <c r="AD127" s="567"/>
      <c r="AE127" s="567"/>
      <c r="AF127" s="567"/>
    </row>
    <row r="128" spans="1:32">
      <c r="A128" s="567" t="s">
        <v>649</v>
      </c>
      <c r="B128" s="567"/>
      <c r="C128" s="567"/>
      <c r="D128" s="567"/>
      <c r="E128" s="567"/>
      <c r="F128" s="567"/>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row>
    <row r="129" spans="1:32">
      <c r="A129" s="567" t="s">
        <v>619</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row>
    <row r="130" spans="1:32">
      <c r="A130" s="567" t="s">
        <v>620</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row>
    <row r="131" spans="1:32">
      <c r="A131" s="567" t="s">
        <v>621</v>
      </c>
      <c r="B131" s="567"/>
      <c r="C131" s="567"/>
      <c r="D131" s="567"/>
      <c r="E131" s="567"/>
      <c r="F131" s="567"/>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row>
    <row r="132" spans="1:32">
      <c r="A132" s="567" t="s">
        <v>650</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row>
    <row r="133" spans="1:32">
      <c r="A133" s="567" t="s">
        <v>651</v>
      </c>
      <c r="B133" s="567"/>
      <c r="C133" s="567"/>
      <c r="D133" s="567"/>
      <c r="E133" s="567"/>
      <c r="F133" s="567"/>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row>
    <row r="134" spans="1:32">
      <c r="A134" s="567" t="s">
        <v>652</v>
      </c>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row>
    <row r="135" spans="1:32">
      <c r="A135" s="567" t="s">
        <v>653</v>
      </c>
      <c r="B135" s="567"/>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row>
    <row r="136" spans="1:32">
      <c r="A136" s="567" t="s">
        <v>654</v>
      </c>
      <c r="B136" s="567"/>
      <c r="C136" s="567"/>
      <c r="D136" s="567"/>
      <c r="E136" s="567"/>
      <c r="F136" s="567"/>
      <c r="G136" s="567"/>
      <c r="H136" s="567"/>
      <c r="I136" s="567"/>
      <c r="J136" s="567"/>
      <c r="K136" s="567"/>
      <c r="L136" s="567"/>
      <c r="M136" s="567"/>
      <c r="N136" s="567"/>
      <c r="O136" s="567"/>
      <c r="P136" s="567"/>
      <c r="Q136" s="567"/>
      <c r="R136" s="567"/>
      <c r="S136" s="567"/>
      <c r="T136" s="567"/>
      <c r="U136" s="567"/>
      <c r="V136" s="567"/>
      <c r="W136" s="567"/>
      <c r="X136" s="567"/>
      <c r="Y136" s="567"/>
      <c r="Z136" s="567"/>
      <c r="AA136" s="567"/>
      <c r="AB136" s="567"/>
      <c r="AC136" s="567"/>
      <c r="AD136" s="567"/>
      <c r="AE136" s="567"/>
      <c r="AF136" s="567"/>
    </row>
    <row r="137" spans="1:32">
      <c r="A137" s="567" t="s">
        <v>655</v>
      </c>
      <c r="B137" s="567"/>
      <c r="C137" s="567"/>
      <c r="D137" s="567"/>
      <c r="E137" s="567"/>
      <c r="F137" s="567"/>
      <c r="G137" s="567"/>
      <c r="H137" s="567"/>
      <c r="I137" s="567"/>
      <c r="J137" s="567"/>
      <c r="K137" s="567"/>
      <c r="L137" s="567"/>
      <c r="M137" s="567"/>
      <c r="N137" s="567"/>
      <c r="O137" s="567"/>
      <c r="P137" s="567"/>
      <c r="Q137" s="567"/>
      <c r="R137" s="567"/>
      <c r="S137" s="567"/>
      <c r="T137" s="567"/>
      <c r="U137" s="567"/>
      <c r="V137" s="567"/>
      <c r="W137" s="567"/>
      <c r="X137" s="567"/>
      <c r="Y137" s="567"/>
      <c r="Z137" s="567"/>
      <c r="AA137" s="567"/>
      <c r="AB137" s="567"/>
      <c r="AC137" s="567"/>
      <c r="AD137" s="567"/>
      <c r="AE137" s="567"/>
      <c r="AF137" s="567"/>
    </row>
  </sheetData>
  <mergeCells count="29">
    <mergeCell ref="A133:AF133"/>
    <mergeCell ref="A134:AF134"/>
    <mergeCell ref="A135:AF135"/>
    <mergeCell ref="A136:AF136"/>
    <mergeCell ref="A137:AF137"/>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14:AF114"/>
    <mergeCell ref="A115:AF115"/>
    <mergeCell ref="A116:AF116"/>
    <mergeCell ref="A117:AF117"/>
    <mergeCell ref="A118:AF118"/>
    <mergeCell ref="A109:AF109"/>
    <mergeCell ref="A110:AF110"/>
    <mergeCell ref="A111:AF111"/>
    <mergeCell ref="A112:AF112"/>
    <mergeCell ref="A113:AF113"/>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62" zoomScale="125" zoomScaleNormal="125" zoomScalePageLayoutView="125" workbookViewId="0">
      <selection activeCell="F54" sqref="F54:AJ54"/>
    </sheetView>
  </sheetViews>
  <sheetFormatPr baseColWidth="10" defaultColWidth="12.5" defaultRowHeight="16" x14ac:dyDescent="0"/>
  <cols>
    <col min="1" max="1" width="47.33203125" style="5" customWidth="1"/>
    <col min="2" max="2" width="23" style="251" bestFit="1" customWidth="1"/>
    <col min="3" max="6" width="12.5" style="251"/>
    <col min="7" max="37" width="12.5" style="299"/>
    <col min="38" max="16384" width="12.5" style="5"/>
  </cols>
  <sheetData>
    <row r="1" spans="1:37">
      <c r="A1" s="268" t="s">
        <v>4</v>
      </c>
    </row>
    <row r="2" spans="1:37">
      <c r="A2" s="272" t="s">
        <v>704</v>
      </c>
    </row>
    <row r="3" spans="1:37">
      <c r="A3" s="272" t="s">
        <v>656</v>
      </c>
    </row>
    <row r="4" spans="1:37">
      <c r="A4" s="272" t="s">
        <v>657</v>
      </c>
    </row>
    <row r="6" spans="1:37">
      <c r="A6" s="6" t="s">
        <v>5</v>
      </c>
    </row>
    <row r="7" spans="1:37">
      <c r="A7" s="6" t="s">
        <v>6</v>
      </c>
    </row>
    <row r="8" spans="1:37">
      <c r="A8" s="78" t="s">
        <v>281</v>
      </c>
    </row>
    <row r="10" spans="1:37">
      <c r="AK10" s="300" t="s">
        <v>714</v>
      </c>
    </row>
    <row r="11" spans="1:37">
      <c r="B11" s="469" t="s">
        <v>7</v>
      </c>
      <c r="C11" s="469" t="s">
        <v>8</v>
      </c>
      <c r="D11" s="469" t="s">
        <v>9</v>
      </c>
      <c r="E11" s="469" t="s">
        <v>10</v>
      </c>
      <c r="F11" s="469" t="s">
        <v>11</v>
      </c>
      <c r="G11" s="300" t="s">
        <v>12</v>
      </c>
      <c r="H11" s="300" t="s">
        <v>13</v>
      </c>
      <c r="I11" s="300" t="s">
        <v>14</v>
      </c>
      <c r="J11" s="300" t="s">
        <v>15</v>
      </c>
      <c r="K11" s="300" t="s">
        <v>16</v>
      </c>
      <c r="L11" s="300" t="s">
        <v>17</v>
      </c>
      <c r="M11" s="300" t="s">
        <v>18</v>
      </c>
      <c r="N11" s="300" t="s">
        <v>19</v>
      </c>
      <c r="O11" s="300" t="s">
        <v>20</v>
      </c>
      <c r="P11" s="300" t="s">
        <v>21</v>
      </c>
      <c r="Q11" s="300" t="s">
        <v>22</v>
      </c>
      <c r="R11" s="300" t="s">
        <v>23</v>
      </c>
      <c r="S11" s="300" t="s">
        <v>24</v>
      </c>
      <c r="T11" s="300" t="s">
        <v>25</v>
      </c>
      <c r="U11" s="300" t="s">
        <v>26</v>
      </c>
      <c r="V11" s="300" t="s">
        <v>27</v>
      </c>
      <c r="W11" s="300" t="s">
        <v>28</v>
      </c>
      <c r="X11" s="300" t="s">
        <v>29</v>
      </c>
      <c r="Y11" s="300" t="s">
        <v>30</v>
      </c>
      <c r="Z11" s="300" t="s">
        <v>31</v>
      </c>
      <c r="AA11" s="300" t="s">
        <v>581</v>
      </c>
      <c r="AB11" s="300" t="s">
        <v>582</v>
      </c>
      <c r="AC11" s="300" t="s">
        <v>583</v>
      </c>
      <c r="AD11" s="300" t="s">
        <v>584</v>
      </c>
      <c r="AE11" s="300" t="s">
        <v>585</v>
      </c>
      <c r="AF11" s="300" t="s">
        <v>586</v>
      </c>
      <c r="AG11" s="300" t="s">
        <v>587</v>
      </c>
      <c r="AH11" s="300" t="s">
        <v>588</v>
      </c>
      <c r="AI11" s="300" t="s">
        <v>589</v>
      </c>
      <c r="AJ11" s="300" t="s">
        <v>590</v>
      </c>
      <c r="AK11" s="300">
        <v>2040</v>
      </c>
    </row>
    <row r="12" spans="1:37">
      <c r="B12" s="470"/>
      <c r="C12" s="470"/>
      <c r="D12" s="470"/>
      <c r="E12" s="470"/>
      <c r="F12" s="470"/>
    </row>
    <row r="13" spans="1:37">
      <c r="B13" s="470"/>
      <c r="C13" s="470"/>
      <c r="D13" s="470"/>
      <c r="E13" s="470"/>
      <c r="F13" s="470"/>
    </row>
    <row r="14" spans="1:37">
      <c r="A14" s="6" t="s">
        <v>32</v>
      </c>
      <c r="B14" s="470"/>
      <c r="C14" s="470"/>
      <c r="D14" s="470"/>
      <c r="E14" s="470"/>
      <c r="F14" s="470"/>
    </row>
    <row r="15" spans="1:37">
      <c r="A15" s="6" t="s">
        <v>33</v>
      </c>
      <c r="B15" s="470"/>
      <c r="C15" s="470"/>
      <c r="D15" s="470"/>
      <c r="E15" s="470"/>
      <c r="F15" s="470"/>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658</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659</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660</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9">
        <v>1E-4</v>
      </c>
      <c r="H33" s="499">
        <v>1E-4</v>
      </c>
      <c r="I33" s="499">
        <v>1E-4</v>
      </c>
      <c r="J33" s="499">
        <v>1E-4</v>
      </c>
      <c r="K33" s="499">
        <v>1E-4</v>
      </c>
      <c r="L33" s="499">
        <v>1E-4</v>
      </c>
      <c r="M33" s="499">
        <v>1E-4</v>
      </c>
      <c r="N33" s="499">
        <v>1E-4</v>
      </c>
      <c r="O33" s="499">
        <v>1E-4</v>
      </c>
      <c r="P33" s="499">
        <v>1E-4</v>
      </c>
      <c r="Q33" s="499">
        <v>1E-4</v>
      </c>
      <c r="R33" s="499">
        <v>1E-4</v>
      </c>
      <c r="S33" s="499">
        <v>1E-4</v>
      </c>
      <c r="T33" s="499">
        <v>1E-4</v>
      </c>
      <c r="U33" s="499">
        <v>1E-4</v>
      </c>
      <c r="V33" s="499">
        <v>1E-4</v>
      </c>
      <c r="W33" s="499">
        <v>1E-4</v>
      </c>
      <c r="X33" s="499">
        <v>1E-4</v>
      </c>
      <c r="Y33" s="499">
        <v>1E-4</v>
      </c>
      <c r="Z33" s="499">
        <v>1E-4</v>
      </c>
      <c r="AA33" s="499">
        <v>1E-4</v>
      </c>
      <c r="AB33" s="499">
        <v>1E-4</v>
      </c>
      <c r="AC33" s="499">
        <v>1E-4</v>
      </c>
      <c r="AD33" s="499">
        <v>1E-4</v>
      </c>
      <c r="AE33" s="499">
        <v>1E-4</v>
      </c>
      <c r="AF33" s="499">
        <v>1E-4</v>
      </c>
      <c r="AG33" s="499">
        <v>1E-4</v>
      </c>
      <c r="AH33" s="499">
        <v>1E-4</v>
      </c>
      <c r="AI33" s="499">
        <v>1E-4</v>
      </c>
      <c r="AJ33" s="499">
        <v>1E-4</v>
      </c>
      <c r="AK33"/>
    </row>
    <row r="34" spans="1:39" s="18" customFormat="1">
      <c r="A34" s="17" t="s">
        <v>661</v>
      </c>
      <c r="B34"/>
      <c r="C34"/>
      <c r="D34"/>
      <c r="E34"/>
      <c r="F34"/>
      <c r="G34" s="499">
        <v>1E-4</v>
      </c>
      <c r="H34" s="499">
        <v>1E-4</v>
      </c>
      <c r="I34" s="499">
        <v>1E-4</v>
      </c>
      <c r="J34" s="499">
        <v>1E-4</v>
      </c>
      <c r="K34" s="499">
        <v>1E-4</v>
      </c>
      <c r="L34" s="499">
        <v>1E-4</v>
      </c>
      <c r="M34" s="499">
        <v>1E-4</v>
      </c>
      <c r="N34" s="499">
        <v>1E-4</v>
      </c>
      <c r="O34" s="499">
        <v>1E-4</v>
      </c>
      <c r="P34" s="499">
        <v>1E-4</v>
      </c>
      <c r="Q34" s="499">
        <v>1E-4</v>
      </c>
      <c r="R34" s="499">
        <v>1E-4</v>
      </c>
      <c r="S34" s="499">
        <v>1E-4</v>
      </c>
      <c r="T34" s="499">
        <v>1E-4</v>
      </c>
      <c r="U34" s="499">
        <v>1E-4</v>
      </c>
      <c r="V34" s="499">
        <v>1E-4</v>
      </c>
      <c r="W34" s="499">
        <v>1E-4</v>
      </c>
      <c r="X34" s="499">
        <v>1E-4</v>
      </c>
      <c r="Y34" s="499">
        <v>1E-4</v>
      </c>
      <c r="Z34" s="499">
        <v>1E-4</v>
      </c>
      <c r="AA34" s="499">
        <v>1E-4</v>
      </c>
      <c r="AB34" s="499">
        <v>1E-4</v>
      </c>
      <c r="AC34" s="499">
        <v>1E-4</v>
      </c>
      <c r="AD34" s="499">
        <v>1E-4</v>
      </c>
      <c r="AE34" s="499">
        <v>1E-4</v>
      </c>
      <c r="AF34" s="499">
        <v>1E-4</v>
      </c>
      <c r="AG34" s="499">
        <v>1E-4</v>
      </c>
      <c r="AH34" s="499">
        <v>1E-4</v>
      </c>
      <c r="AI34" s="499">
        <v>1E-4</v>
      </c>
      <c r="AJ34" s="499">
        <v>1E-4</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662</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663</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661</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663</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661</v>
      </c>
      <c r="B54"/>
      <c r="C54"/>
      <c r="D54"/>
      <c r="E54"/>
      <c r="F54">
        <f>F57*EIA_electricity_aeo2014!F58</f>
        <v>0.15478</v>
      </c>
      <c r="G54">
        <f>G57*EIA_electricity_aeo2014!G58</f>
        <v>0.16044118595276252</v>
      </c>
      <c r="H54">
        <f>H57*EIA_electricity_aeo2014!H58</f>
        <v>0.15772580010101378</v>
      </c>
      <c r="I54">
        <f>I57*EIA_electricity_aeo2014!I58</f>
        <v>0.1536463627571896</v>
      </c>
      <c r="J54">
        <f>J57*EIA_electricity_aeo2014!J58</f>
        <v>0.1596052788730202</v>
      </c>
      <c r="K54">
        <f>K57*EIA_electricity_aeo2014!K58</f>
        <v>0.16381410605333685</v>
      </c>
      <c r="L54">
        <f>L57*EIA_electricity_aeo2014!L58</f>
        <v>0.16869515713192371</v>
      </c>
      <c r="M54">
        <f>M57*EIA_electricity_aeo2014!M58</f>
        <v>0.17312335882918661</v>
      </c>
      <c r="N54">
        <f>N57*EIA_electricity_aeo2014!N58</f>
        <v>0.17389733798595366</v>
      </c>
      <c r="O54">
        <f>O57*EIA_electricity_aeo2014!O58</f>
        <v>0.17309868417908911</v>
      </c>
      <c r="P54">
        <f>P57*EIA_electricity_aeo2014!P58</f>
        <v>0.16958792014872923</v>
      </c>
      <c r="Q54">
        <f>Q57*EIA_electricity_aeo2014!Q58</f>
        <v>0.16753822705042112</v>
      </c>
      <c r="R54">
        <f>R57*EIA_electricity_aeo2014!R58</f>
        <v>0.16285571002211602</v>
      </c>
      <c r="S54">
        <f>S57*EIA_electricity_aeo2014!S58</f>
        <v>0.15943032574101365</v>
      </c>
      <c r="T54">
        <f>T57*EIA_electricity_aeo2014!T58</f>
        <v>0.15807514812203197</v>
      </c>
      <c r="U54">
        <f>U57*EIA_electricity_aeo2014!U58</f>
        <v>0.15752134019110833</v>
      </c>
      <c r="V54">
        <f>V57*EIA_electricity_aeo2014!V58</f>
        <v>0.1528774585494761</v>
      </c>
      <c r="W54">
        <f>W57*EIA_electricity_aeo2014!W58</f>
        <v>0.14607378839157767</v>
      </c>
      <c r="X54">
        <f>X57*EIA_electricity_aeo2014!X58</f>
        <v>0.14623723605697339</v>
      </c>
      <c r="Y54">
        <f>Y57*EIA_electricity_aeo2014!Y58</f>
        <v>0.14119910873387517</v>
      </c>
      <c r="Z54">
        <f>Z57*EIA_electricity_aeo2014!Z58</f>
        <v>0.14346775530175124</v>
      </c>
      <c r="AA54">
        <f>AA57*EIA_electricity_aeo2014!AA58</f>
        <v>0.14553472803109105</v>
      </c>
      <c r="AB54">
        <f>AB57*EIA_electricity_aeo2014!AB58</f>
        <v>0.14998670965238636</v>
      </c>
      <c r="AC54">
        <f>AC57*EIA_electricity_aeo2014!AC58</f>
        <v>0.15425195228244412</v>
      </c>
      <c r="AD54">
        <f>AD57*EIA_electricity_aeo2014!AD58</f>
        <v>0.15686424007498967</v>
      </c>
      <c r="AE54">
        <f>AE57*EIA_electricity_aeo2014!AE58</f>
        <v>0.15523158346376897</v>
      </c>
      <c r="AF54">
        <f>AF57*EIA_electricity_aeo2014!AF58</f>
        <v>0.15389893837486118</v>
      </c>
      <c r="AG54">
        <f>AG57*EIA_electricity_aeo2014!AG58</f>
        <v>0.15298611173238261</v>
      </c>
      <c r="AH54">
        <f>AH57*EIA_electricity_aeo2014!AH58</f>
        <v>0.1516396507078242</v>
      </c>
      <c r="AI54">
        <f>AI57*EIA_electricity_aeo2014!AI58</f>
        <v>0.14974755886558563</v>
      </c>
      <c r="AJ54">
        <f>AJ57*EIA_electricity_aeo2014!AJ58</f>
        <v>0.14500577530198375</v>
      </c>
      <c r="AK54" s="503">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1" customFormat="1">
      <c r="A57" s="251" t="s">
        <v>751</v>
      </c>
      <c r="B57"/>
      <c r="C57"/>
      <c r="D57"/>
      <c r="E57"/>
      <c r="F57" s="525">
        <v>0.02</v>
      </c>
      <c r="G57" s="526">
        <v>0.02</v>
      </c>
      <c r="H57" s="526">
        <v>0.02</v>
      </c>
      <c r="I57" s="526">
        <v>0.02</v>
      </c>
      <c r="J57" s="526">
        <v>0.02</v>
      </c>
      <c r="K57" s="526">
        <v>0.02</v>
      </c>
      <c r="L57" s="526">
        <v>0.02</v>
      </c>
      <c r="M57" s="526">
        <v>0.02</v>
      </c>
      <c r="N57" s="526">
        <v>0.02</v>
      </c>
      <c r="O57" s="526">
        <v>0.02</v>
      </c>
      <c r="P57" s="527">
        <v>0.02</v>
      </c>
      <c r="Q57" s="527">
        <v>0.02</v>
      </c>
      <c r="R57" s="527">
        <v>0.02</v>
      </c>
      <c r="S57" s="528">
        <v>0.02</v>
      </c>
      <c r="T57" s="527">
        <v>0.02</v>
      </c>
      <c r="U57" s="527">
        <v>0.02</v>
      </c>
      <c r="V57" s="527">
        <v>0.02</v>
      </c>
      <c r="W57" s="527">
        <v>0.02</v>
      </c>
      <c r="X57" s="527">
        <v>0.02</v>
      </c>
      <c r="Y57" s="527">
        <v>0.02</v>
      </c>
      <c r="Z57" s="527">
        <v>0.02</v>
      </c>
      <c r="AA57" s="527">
        <v>0.02</v>
      </c>
      <c r="AB57" s="527">
        <v>0.02</v>
      </c>
      <c r="AC57" s="527">
        <v>0.02</v>
      </c>
      <c r="AD57" s="527">
        <v>0.02</v>
      </c>
      <c r="AE57" s="527">
        <v>0.02</v>
      </c>
      <c r="AF57" s="528">
        <v>0.02</v>
      </c>
      <c r="AG57" s="527">
        <v>0.02</v>
      </c>
      <c r="AH57" s="527">
        <v>0.02</v>
      </c>
      <c r="AI57" s="527">
        <v>0.02</v>
      </c>
      <c r="AJ57" s="527">
        <v>0.02</v>
      </c>
      <c r="AK57"/>
    </row>
    <row r="58" spans="1:39" s="251" customFormat="1">
      <c r="A58" s="250"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745</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740</v>
      </c>
      <c r="AM59" s="18" t="s">
        <v>750</v>
      </c>
    </row>
    <row r="60" spans="1:39">
      <c r="A60" s="501" t="s">
        <v>733</v>
      </c>
      <c r="G60" s="499">
        <v>8.7418650000000007</v>
      </c>
      <c r="H60" s="499">
        <v>7.3679389999999998</v>
      </c>
      <c r="I60" s="499">
        <v>7.143516</v>
      </c>
      <c r="J60" s="499">
        <v>7.2637780000000003</v>
      </c>
      <c r="K60" s="499">
        <v>7.4072459999999998</v>
      </c>
      <c r="L60" s="499">
        <v>7.5513940000000002</v>
      </c>
      <c r="M60" s="499">
        <v>7.6289110000000004</v>
      </c>
      <c r="N60" s="499">
        <v>7.628914</v>
      </c>
      <c r="O60" s="499">
        <v>7.6289150000000001</v>
      </c>
      <c r="P60" s="499">
        <v>7.6289110000000004</v>
      </c>
      <c r="Q60" s="499">
        <v>7.6289110000000004</v>
      </c>
      <c r="R60" s="499">
        <v>7.6289129999999998</v>
      </c>
      <c r="S60" s="499">
        <v>8.0066310000000005</v>
      </c>
      <c r="T60" s="499">
        <v>8.0066299999999995</v>
      </c>
      <c r="U60" s="499">
        <v>8.0066389999999998</v>
      </c>
      <c r="V60" s="499">
        <v>8.0066559999999996</v>
      </c>
      <c r="W60" s="499">
        <v>8.0625470000000004</v>
      </c>
      <c r="X60" s="499">
        <v>8.1183399999999999</v>
      </c>
      <c r="Y60" s="499">
        <v>8.1183490000000003</v>
      </c>
      <c r="Z60" s="499">
        <v>8.1183479999999992</v>
      </c>
      <c r="AA60" s="499">
        <v>8.1183490000000003</v>
      </c>
      <c r="AB60" s="499">
        <v>8.1183510000000005</v>
      </c>
      <c r="AC60" s="499">
        <v>8.1183390000000006</v>
      </c>
      <c r="AD60" s="499">
        <v>8.1183390000000006</v>
      </c>
      <c r="AE60" s="499">
        <v>8.1183390000000006</v>
      </c>
      <c r="AF60" s="499">
        <v>8.1587929999999993</v>
      </c>
      <c r="AG60" s="499">
        <v>8.1587929999999993</v>
      </c>
      <c r="AH60" s="499">
        <v>8.1587929999999993</v>
      </c>
      <c r="AI60" s="499">
        <v>8.1587929999999993</v>
      </c>
      <c r="AJ60" s="499">
        <v>8.1588030000000007</v>
      </c>
      <c r="AK60" s="503">
        <v>4.0000000000000001E-3</v>
      </c>
      <c r="AL60" s="508" t="s">
        <v>727</v>
      </c>
      <c r="AM60" s="29">
        <v>9.9999999999999995E-7</v>
      </c>
    </row>
    <row r="61" spans="1:39">
      <c r="A61" s="501" t="s">
        <v>734</v>
      </c>
      <c r="G61" s="499">
        <v>1E-4</v>
      </c>
      <c r="H61" s="499">
        <v>1E-4</v>
      </c>
      <c r="I61" s="499">
        <v>1E-4</v>
      </c>
      <c r="J61" s="499">
        <v>1E-4</v>
      </c>
      <c r="K61" s="499">
        <v>1E-4</v>
      </c>
      <c r="L61" s="499">
        <v>1E-4</v>
      </c>
      <c r="M61" s="499">
        <v>1E-4</v>
      </c>
      <c r="N61" s="499">
        <v>1E-4</v>
      </c>
      <c r="O61" s="499">
        <v>1E-4</v>
      </c>
      <c r="P61" s="499">
        <v>1E-4</v>
      </c>
      <c r="Q61" s="499">
        <v>1E-4</v>
      </c>
      <c r="R61" s="499">
        <v>1E-4</v>
      </c>
      <c r="S61" s="499">
        <v>1E-4</v>
      </c>
      <c r="T61" s="499">
        <v>1E-4</v>
      </c>
      <c r="U61" s="499">
        <v>1E-4</v>
      </c>
      <c r="V61" s="499">
        <v>1E-4</v>
      </c>
      <c r="W61" s="499">
        <v>1E-4</v>
      </c>
      <c r="X61" s="499">
        <v>1E-4</v>
      </c>
      <c r="Y61" s="499">
        <v>1E-4</v>
      </c>
      <c r="Z61" s="499">
        <v>1E-4</v>
      </c>
      <c r="AA61" s="499">
        <v>1E-4</v>
      </c>
      <c r="AB61" s="499">
        <v>1E-4</v>
      </c>
      <c r="AC61" s="499">
        <v>1E-4</v>
      </c>
      <c r="AD61" s="499">
        <v>1E-4</v>
      </c>
      <c r="AE61" s="499">
        <v>1E-4</v>
      </c>
      <c r="AF61" s="499">
        <v>1E-4</v>
      </c>
      <c r="AG61" s="499">
        <v>1E-4</v>
      </c>
      <c r="AH61" s="499">
        <v>1E-4</v>
      </c>
      <c r="AI61" s="499">
        <v>1E-4</v>
      </c>
      <c r="AJ61" s="499">
        <v>1E-4</v>
      </c>
      <c r="AK61" s="499" t="s">
        <v>41</v>
      </c>
      <c r="AL61" s="508" t="s">
        <v>728</v>
      </c>
      <c r="AM61" s="29">
        <v>5.6238002755686675E-4</v>
      </c>
    </row>
    <row r="62" spans="1:39">
      <c r="A62" s="501" t="s">
        <v>735</v>
      </c>
      <c r="G62" s="499">
        <v>2.4104190000000001</v>
      </c>
      <c r="H62" s="499">
        <v>2.5045899999999999</v>
      </c>
      <c r="I62" s="499">
        <v>2.8071229999999998</v>
      </c>
      <c r="J62" s="499">
        <v>2.8052320000000002</v>
      </c>
      <c r="K62" s="499">
        <v>2.8049550000000001</v>
      </c>
      <c r="L62" s="499">
        <v>2.8049979999999999</v>
      </c>
      <c r="M62" s="499">
        <v>2.8050060000000001</v>
      </c>
      <c r="N62" s="499">
        <v>2.8050540000000002</v>
      </c>
      <c r="O62" s="499">
        <v>2.805059</v>
      </c>
      <c r="P62" s="499">
        <v>2.8050329999999999</v>
      </c>
      <c r="Q62" s="499">
        <v>2.8050139999999999</v>
      </c>
      <c r="R62" s="499">
        <v>2.8050009999999999</v>
      </c>
      <c r="S62" s="499">
        <v>2.8049840000000001</v>
      </c>
      <c r="T62" s="499">
        <v>2.8049659999999998</v>
      </c>
      <c r="U62" s="499">
        <v>2.8128419999999998</v>
      </c>
      <c r="V62" s="499">
        <v>2.8128139999999999</v>
      </c>
      <c r="W62" s="499">
        <v>2.804888</v>
      </c>
      <c r="X62" s="499">
        <v>2.8127620000000002</v>
      </c>
      <c r="Y62" s="499">
        <v>2.8048220000000001</v>
      </c>
      <c r="Z62" s="499">
        <v>2.8047960000000001</v>
      </c>
      <c r="AA62" s="499">
        <v>2.8126690000000001</v>
      </c>
      <c r="AB62" s="499">
        <v>2.8126370000000001</v>
      </c>
      <c r="AC62" s="499">
        <v>2.812605</v>
      </c>
      <c r="AD62" s="499">
        <v>2.8046090000000001</v>
      </c>
      <c r="AE62" s="499">
        <v>2.8045629999999999</v>
      </c>
      <c r="AF62" s="499">
        <v>2.804481</v>
      </c>
      <c r="AG62" s="499">
        <v>2.804443</v>
      </c>
      <c r="AH62" s="499">
        <v>2.812452</v>
      </c>
      <c r="AI62" s="499">
        <v>2.8043680000000002</v>
      </c>
      <c r="AJ62" s="499">
        <v>2.8043420000000001</v>
      </c>
      <c r="AK62" s="503">
        <v>4.0000000000000001E-3</v>
      </c>
      <c r="AL62" s="508" t="s">
        <v>729</v>
      </c>
      <c r="AM62" s="29">
        <v>0</v>
      </c>
    </row>
    <row r="63" spans="1:39">
      <c r="A63" s="501" t="s">
        <v>736</v>
      </c>
      <c r="G63" s="499">
        <v>4.9026430000000003</v>
      </c>
      <c r="H63" s="499">
        <v>4.9682649999999997</v>
      </c>
      <c r="I63" s="499">
        <v>4.1277520000000001</v>
      </c>
      <c r="J63" s="499">
        <v>4.273466</v>
      </c>
      <c r="K63" s="499">
        <v>4.5447800000000003</v>
      </c>
      <c r="L63" s="499">
        <v>5.8157610000000002</v>
      </c>
      <c r="M63" s="499">
        <v>5.9488620000000001</v>
      </c>
      <c r="N63" s="499">
        <v>6.0622280000000002</v>
      </c>
      <c r="O63" s="499">
        <v>6.227868</v>
      </c>
      <c r="P63" s="499">
        <v>6.3883910000000004</v>
      </c>
      <c r="Q63" s="499">
        <v>6.88218</v>
      </c>
      <c r="R63" s="499">
        <v>6.9049709999999997</v>
      </c>
      <c r="S63" s="499">
        <v>6.9134719999999996</v>
      </c>
      <c r="T63" s="499">
        <v>6.9758950000000004</v>
      </c>
      <c r="U63" s="499">
        <v>7.0007729999999997</v>
      </c>
      <c r="V63" s="499">
        <v>7.0603559999999996</v>
      </c>
      <c r="W63" s="499">
        <v>7.31555</v>
      </c>
      <c r="X63" s="499">
        <v>7.7111660000000004</v>
      </c>
      <c r="Y63" s="499">
        <v>7.6204000000000001</v>
      </c>
      <c r="Z63" s="499">
        <v>7.621054</v>
      </c>
      <c r="AA63" s="499">
        <v>7.7105220000000001</v>
      </c>
      <c r="AB63" s="499">
        <v>7.7002639999999998</v>
      </c>
      <c r="AC63" s="499">
        <v>7.7720380000000002</v>
      </c>
      <c r="AD63" s="499">
        <v>7.8200839999999996</v>
      </c>
      <c r="AE63" s="499">
        <v>7.8508079999999998</v>
      </c>
      <c r="AF63" s="499">
        <v>7.9168310000000002</v>
      </c>
      <c r="AG63" s="499">
        <v>8.0954979999999992</v>
      </c>
      <c r="AH63" s="499">
        <v>7.9878850000000003</v>
      </c>
      <c r="AI63" s="499">
        <v>8.0393059999999998</v>
      </c>
      <c r="AJ63" s="499">
        <v>8.0937809999999999</v>
      </c>
      <c r="AK63" s="503">
        <v>1.7999999999999999E-2</v>
      </c>
      <c r="AL63" s="508" t="s">
        <v>143</v>
      </c>
      <c r="AM63" s="29">
        <v>9.7719869706840374E-4</v>
      </c>
    </row>
    <row r="64" spans="1:39">
      <c r="A64" s="501" t="s">
        <v>737</v>
      </c>
      <c r="G64" s="499">
        <v>0.15174599999999999</v>
      </c>
      <c r="H64" s="499">
        <v>0.33105699999999999</v>
      </c>
      <c r="I64" s="499">
        <v>0.495058</v>
      </c>
      <c r="J64" s="499">
        <v>0.64011700000000005</v>
      </c>
      <c r="K64" s="499">
        <v>0.77832199999999996</v>
      </c>
      <c r="L64" s="499">
        <v>0.90318799999999999</v>
      </c>
      <c r="M64" s="499">
        <v>0.907725</v>
      </c>
      <c r="N64" s="499">
        <v>0.91335</v>
      </c>
      <c r="O64" s="499">
        <v>0.919655</v>
      </c>
      <c r="P64" s="499">
        <v>0.93021600000000004</v>
      </c>
      <c r="Q64" s="499">
        <v>0.94396800000000003</v>
      </c>
      <c r="R64" s="499">
        <v>0.96229600000000004</v>
      </c>
      <c r="S64" s="499">
        <v>0.98622900000000002</v>
      </c>
      <c r="T64" s="499">
        <v>1.0305299999999999</v>
      </c>
      <c r="U64" s="499">
        <v>1.083075</v>
      </c>
      <c r="V64" s="499">
        <v>1.139122</v>
      </c>
      <c r="W64" s="499">
        <v>1.1992290000000001</v>
      </c>
      <c r="X64" s="499">
        <v>1.2627889999999999</v>
      </c>
      <c r="Y64" s="499">
        <v>1.3284100000000001</v>
      </c>
      <c r="Z64" s="499">
        <v>1.405724</v>
      </c>
      <c r="AA64" s="499">
        <v>1.4838359999999999</v>
      </c>
      <c r="AB64" s="499">
        <v>1.5610980000000001</v>
      </c>
      <c r="AC64" s="499">
        <v>1.6377930000000001</v>
      </c>
      <c r="AD64" s="499">
        <v>1.7154689999999999</v>
      </c>
      <c r="AE64" s="499">
        <v>1.7942560000000001</v>
      </c>
      <c r="AF64" s="499">
        <v>1.8740209999999999</v>
      </c>
      <c r="AG64" s="499">
        <v>1.954977</v>
      </c>
      <c r="AH64" s="499">
        <v>2.036438</v>
      </c>
      <c r="AI64" s="499">
        <v>2.12378</v>
      </c>
      <c r="AJ64" s="499">
        <v>2.2136420000000001</v>
      </c>
      <c r="AK64" s="503">
        <v>7.0000000000000007E-2</v>
      </c>
      <c r="AL64" s="508" t="s">
        <v>730</v>
      </c>
      <c r="AM64" s="29">
        <v>1E-3</v>
      </c>
    </row>
    <row r="65" spans="1:44">
      <c r="A65" s="501" t="s">
        <v>738</v>
      </c>
      <c r="G65" s="499">
        <v>0.87209000000000003</v>
      </c>
      <c r="H65" s="499">
        <v>1.300173</v>
      </c>
      <c r="I65" s="499">
        <v>2.159392</v>
      </c>
      <c r="J65" s="499">
        <v>2.1913999999999998</v>
      </c>
      <c r="K65" s="499">
        <v>5.4170920000000002</v>
      </c>
      <c r="L65" s="499">
        <v>7.5953010000000001</v>
      </c>
      <c r="M65" s="499">
        <v>7.5951300000000002</v>
      </c>
      <c r="N65" s="499">
        <v>7.5927850000000001</v>
      </c>
      <c r="O65" s="499">
        <v>7.5931499999999996</v>
      </c>
      <c r="P65" s="499">
        <v>7.5947380000000004</v>
      </c>
      <c r="Q65" s="499">
        <v>7.593947</v>
      </c>
      <c r="R65" s="499">
        <v>7.593458</v>
      </c>
      <c r="S65" s="499">
        <v>7.5959349999999999</v>
      </c>
      <c r="T65" s="499">
        <v>7.6032710000000003</v>
      </c>
      <c r="U65" s="499">
        <v>7.59856</v>
      </c>
      <c r="V65" s="499">
        <v>7.6346720000000001</v>
      </c>
      <c r="W65" s="499">
        <v>7.6616739999999997</v>
      </c>
      <c r="X65" s="499">
        <v>7.7972000000000001</v>
      </c>
      <c r="Y65" s="499">
        <v>7.946593</v>
      </c>
      <c r="Z65" s="499">
        <v>7.98421</v>
      </c>
      <c r="AA65" s="499">
        <v>7.9892310000000002</v>
      </c>
      <c r="AB65" s="499">
        <v>7.9937459999999998</v>
      </c>
      <c r="AC65" s="499">
        <v>8.1112169999999999</v>
      </c>
      <c r="AD65" s="499">
        <v>8.2670729999999999</v>
      </c>
      <c r="AE65" s="499">
        <v>8.323385</v>
      </c>
      <c r="AF65" s="499">
        <v>8.8026859999999996</v>
      </c>
      <c r="AG65" s="499">
        <v>9.1621249999999996</v>
      </c>
      <c r="AH65" s="499">
        <v>9.2056570000000004</v>
      </c>
      <c r="AI65" s="499">
        <v>9.3002129999999994</v>
      </c>
      <c r="AJ65" s="499">
        <v>9.4375099999999996</v>
      </c>
      <c r="AK65" s="503">
        <v>7.2999999999999995E-2</v>
      </c>
      <c r="AL65" s="508" t="s">
        <v>731</v>
      </c>
      <c r="AM65" s="29">
        <v>6.2328742256745784E-2</v>
      </c>
    </row>
    <row r="66" spans="1:44">
      <c r="A66" s="502" t="s">
        <v>739</v>
      </c>
      <c r="G66" s="500">
        <v>17.078764</v>
      </c>
      <c r="H66" s="500">
        <v>16.472023</v>
      </c>
      <c r="I66" s="500">
        <v>16.732841000000001</v>
      </c>
      <c r="J66" s="500">
        <v>17.173991999999998</v>
      </c>
      <c r="K66" s="500">
        <v>20.952396</v>
      </c>
      <c r="L66" s="500">
        <v>24.670642999999998</v>
      </c>
      <c r="M66" s="500">
        <v>24.885635000000001</v>
      </c>
      <c r="N66" s="500">
        <v>25.002333</v>
      </c>
      <c r="O66" s="500">
        <v>25.174648000000001</v>
      </c>
      <c r="P66" s="500">
        <v>25.347287999999999</v>
      </c>
      <c r="Q66" s="500">
        <v>25.854019000000001</v>
      </c>
      <c r="R66" s="500">
        <v>25.894639999999999</v>
      </c>
      <c r="S66" s="500">
        <v>26.307251000000001</v>
      </c>
      <c r="T66" s="500">
        <v>26.421292999999999</v>
      </c>
      <c r="U66" s="500">
        <v>26.50189</v>
      </c>
      <c r="V66" s="500">
        <v>26.65362</v>
      </c>
      <c r="W66" s="500">
        <v>27.043886000000001</v>
      </c>
      <c r="X66" s="500">
        <v>27.702259000000002</v>
      </c>
      <c r="Y66" s="500">
        <v>27.818573000000001</v>
      </c>
      <c r="Z66" s="500">
        <v>27.934132000000002</v>
      </c>
      <c r="AA66" s="500">
        <v>28.114606999999999</v>
      </c>
      <c r="AB66" s="500">
        <v>28.186095999999999</v>
      </c>
      <c r="AC66" s="500">
        <v>28.451992000000001</v>
      </c>
      <c r="AD66" s="500">
        <v>28.725574000000002</v>
      </c>
      <c r="AE66" s="500">
        <v>28.891352000000001</v>
      </c>
      <c r="AF66" s="500">
        <v>29.556812000000001</v>
      </c>
      <c r="AG66" s="500">
        <v>30.175837000000001</v>
      </c>
      <c r="AH66" s="500">
        <v>30.201225000000001</v>
      </c>
      <c r="AI66" s="500">
        <v>30.426459999999999</v>
      </c>
      <c r="AJ66" s="500">
        <v>30.708079999999999</v>
      </c>
      <c r="AK66" s="504">
        <v>2.1999999999999999E-2</v>
      </c>
      <c r="AL66" s="508" t="s">
        <v>732</v>
      </c>
      <c r="AM66" s="29">
        <v>0</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9.485374721661919E-3</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1"/>
      <c r="C69" s="471"/>
      <c r="D69" s="471"/>
      <c r="E69" s="471"/>
      <c r="F69" s="471"/>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44" s="90" customFormat="1">
      <c r="B70" s="472" t="s">
        <v>7</v>
      </c>
      <c r="C70" s="472" t="s">
        <v>8</v>
      </c>
      <c r="D70" s="472" t="s">
        <v>9</v>
      </c>
      <c r="E70" s="472" t="s">
        <v>10</v>
      </c>
      <c r="F70" s="472" t="s">
        <v>11</v>
      </c>
      <c r="G70" s="319" t="s">
        <v>12</v>
      </c>
      <c r="H70" s="319" t="s">
        <v>13</v>
      </c>
      <c r="I70" s="319" t="s">
        <v>14</v>
      </c>
      <c r="J70" s="319" t="s">
        <v>15</v>
      </c>
      <c r="K70" s="319" t="s">
        <v>16</v>
      </c>
      <c r="L70" s="319" t="s">
        <v>17</v>
      </c>
      <c r="M70" s="319" t="s">
        <v>18</v>
      </c>
      <c r="N70" s="319" t="s">
        <v>19</v>
      </c>
      <c r="O70" s="319" t="s">
        <v>20</v>
      </c>
      <c r="P70" s="319" t="s">
        <v>21</v>
      </c>
      <c r="Q70" s="319" t="s">
        <v>22</v>
      </c>
      <c r="R70" s="319" t="s">
        <v>23</v>
      </c>
      <c r="S70" s="319" t="s">
        <v>24</v>
      </c>
      <c r="T70" s="319" t="s">
        <v>25</v>
      </c>
      <c r="U70" s="319" t="s">
        <v>26</v>
      </c>
      <c r="V70" s="319" t="s">
        <v>27</v>
      </c>
      <c r="W70" s="319" t="s">
        <v>28</v>
      </c>
      <c r="X70" s="319" t="s">
        <v>29</v>
      </c>
      <c r="Y70" s="319" t="s">
        <v>30</v>
      </c>
      <c r="Z70" s="319" t="s">
        <v>31</v>
      </c>
      <c r="AA70" s="319" t="s">
        <v>581</v>
      </c>
      <c r="AB70" s="319" t="s">
        <v>582</v>
      </c>
      <c r="AC70" s="319" t="s">
        <v>583</v>
      </c>
      <c r="AD70" s="319" t="s">
        <v>584</v>
      </c>
      <c r="AE70" s="319" t="s">
        <v>585</v>
      </c>
      <c r="AF70" s="319" t="s">
        <v>586</v>
      </c>
      <c r="AG70" s="319" t="s">
        <v>587</v>
      </c>
      <c r="AH70" s="319" t="s">
        <v>588</v>
      </c>
      <c r="AI70" s="319" t="s">
        <v>589</v>
      </c>
      <c r="AJ70" s="319" t="s">
        <v>590</v>
      </c>
      <c r="AK70" s="319" t="s">
        <v>593</v>
      </c>
      <c r="AM70" s="90" t="s">
        <v>746</v>
      </c>
      <c r="AN70" s="90">
        <v>2006</v>
      </c>
      <c r="AO70" s="90">
        <v>2007</v>
      </c>
      <c r="AP70" s="90">
        <v>2008</v>
      </c>
      <c r="AQ70" s="90">
        <v>2009</v>
      </c>
      <c r="AR70" s="90">
        <v>2010</v>
      </c>
    </row>
    <row r="71" spans="1:44">
      <c r="B71" s="470"/>
      <c r="C71" s="470"/>
      <c r="D71" s="470"/>
      <c r="E71" s="470"/>
      <c r="F71" s="470"/>
    </row>
    <row r="72" spans="1:44" s="18" customFormat="1">
      <c r="A72" s="17" t="s">
        <v>55</v>
      </c>
      <c r="B72" s="473"/>
      <c r="C72" s="473"/>
      <c r="D72" s="473"/>
      <c r="E72" s="473"/>
      <c r="F72" s="473"/>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M72" s="18" t="s">
        <v>727</v>
      </c>
      <c r="AN72" s="18">
        <v>0</v>
      </c>
      <c r="AO72" s="18">
        <v>0</v>
      </c>
      <c r="AP72" s="18">
        <v>0</v>
      </c>
      <c r="AQ72" s="18">
        <v>0</v>
      </c>
      <c r="AR72" s="18">
        <v>0</v>
      </c>
    </row>
    <row r="73" spans="1:44" s="18" customFormat="1">
      <c r="A73" s="17" t="s">
        <v>49</v>
      </c>
      <c r="B73" s="491">
        <f>AN73</f>
        <v>6.0000000000000001E-3</v>
      </c>
      <c r="C73" s="491">
        <f t="shared" ref="C73:F73" si="0">AO73</f>
        <v>4.0000000000000001E-3</v>
      </c>
      <c r="D73" s="491">
        <f t="shared" si="0"/>
        <v>5.0000000000000001E-3</v>
      </c>
      <c r="E73" s="491">
        <f t="shared" si="0"/>
        <v>5.0000000000000001E-3</v>
      </c>
      <c r="F73" s="491">
        <f t="shared" si="0"/>
        <v>4.0000000000000001E-3</v>
      </c>
      <c r="G73" s="484">
        <f t="shared" ref="G73:AJ73" si="1">G60*$AM61</f>
        <v>4.9162502795984091E-3</v>
      </c>
      <c r="H73" s="484">
        <f t="shared" si="1"/>
        <v>4.1435817378573129E-3</v>
      </c>
      <c r="I73" s="484">
        <f t="shared" si="1"/>
        <v>4.0173707249329185E-3</v>
      </c>
      <c r="J73" s="484">
        <f t="shared" si="1"/>
        <v>4.0850036718069627E-3</v>
      </c>
      <c r="K73" s="484">
        <f t="shared" si="1"/>
        <v>4.165687209600491E-3</v>
      </c>
      <c r="L73" s="484">
        <f t="shared" si="1"/>
        <v>4.2467531658127583E-3</v>
      </c>
      <c r="M73" s="484">
        <f t="shared" si="1"/>
        <v>4.2903471784088839E-3</v>
      </c>
      <c r="N73" s="484">
        <f t="shared" si="1"/>
        <v>4.2903488655489661E-3</v>
      </c>
      <c r="O73" s="484">
        <f t="shared" si="1"/>
        <v>4.290349427928994E-3</v>
      </c>
      <c r="P73" s="484">
        <f t="shared" si="1"/>
        <v>4.2903471784088839E-3</v>
      </c>
      <c r="Q73" s="484">
        <f t="shared" si="1"/>
        <v>4.2903471784088839E-3</v>
      </c>
      <c r="R73" s="484">
        <f t="shared" si="1"/>
        <v>4.290348303168939E-3</v>
      </c>
      <c r="S73" s="484">
        <f t="shared" si="1"/>
        <v>4.5027693624176638E-3</v>
      </c>
      <c r="T73" s="484">
        <f t="shared" si="1"/>
        <v>4.5027688000376358E-3</v>
      </c>
      <c r="U73" s="484">
        <f t="shared" si="1"/>
        <v>4.502773861457884E-3</v>
      </c>
      <c r="V73" s="484">
        <f t="shared" si="1"/>
        <v>4.5027834219183525E-3</v>
      </c>
      <c r="W73" s="484">
        <f t="shared" si="1"/>
        <v>4.5342154040385338E-3</v>
      </c>
      <c r="X73" s="484">
        <f t="shared" si="1"/>
        <v>4.5655922729160138E-3</v>
      </c>
      <c r="Y73" s="484">
        <f t="shared" si="1"/>
        <v>4.565597334336262E-3</v>
      </c>
      <c r="Z73" s="484">
        <f t="shared" si="1"/>
        <v>4.5655967719562332E-3</v>
      </c>
      <c r="AA73" s="484">
        <f t="shared" si="1"/>
        <v>4.565597334336262E-3</v>
      </c>
      <c r="AB73" s="484">
        <f t="shared" si="1"/>
        <v>4.5655984590963171E-3</v>
      </c>
      <c r="AC73" s="484">
        <f t="shared" si="1"/>
        <v>4.5655917105359867E-3</v>
      </c>
      <c r="AD73" s="484">
        <f t="shared" si="1"/>
        <v>4.5655917105359867E-3</v>
      </c>
      <c r="AE73" s="484">
        <f t="shared" si="1"/>
        <v>4.5655917105359867E-3</v>
      </c>
      <c r="AF73" s="484">
        <f t="shared" si="1"/>
        <v>4.5883422321707709E-3</v>
      </c>
      <c r="AG73" s="484">
        <f t="shared" si="1"/>
        <v>4.5883422321707709E-3</v>
      </c>
      <c r="AH73" s="484">
        <f t="shared" si="1"/>
        <v>4.5883422321707709E-3</v>
      </c>
      <c r="AI73" s="484">
        <f t="shared" si="1"/>
        <v>4.5883422321707709E-3</v>
      </c>
      <c r="AJ73" s="484">
        <f t="shared" si="1"/>
        <v>4.5883478559710471E-3</v>
      </c>
      <c r="AK73" s="485"/>
      <c r="AM73" s="18" t="s">
        <v>728</v>
      </c>
      <c r="AN73" s="18">
        <v>6.0000000000000001E-3</v>
      </c>
      <c r="AO73" s="18">
        <v>4.0000000000000001E-3</v>
      </c>
      <c r="AP73" s="18">
        <v>5.0000000000000001E-3</v>
      </c>
      <c r="AQ73" s="18">
        <v>5.0000000000000001E-3</v>
      </c>
      <c r="AR73" s="18">
        <v>4.0000000000000001E-3</v>
      </c>
    </row>
    <row r="74" spans="1:44" s="18" customFormat="1">
      <c r="A74" s="17" t="s">
        <v>50</v>
      </c>
      <c r="B74" s="491">
        <f>AN72</f>
        <v>0</v>
      </c>
      <c r="C74" s="491">
        <f t="shared" ref="C74:F74" si="2">AO72</f>
        <v>0</v>
      </c>
      <c r="D74" s="491">
        <f t="shared" si="2"/>
        <v>0</v>
      </c>
      <c r="E74" s="491">
        <f t="shared" si="2"/>
        <v>0</v>
      </c>
      <c r="F74" s="491">
        <f t="shared" si="2"/>
        <v>0</v>
      </c>
      <c r="G74" s="484">
        <f t="shared" ref="G74:AJ74" si="3">G61*$AM60</f>
        <v>1E-10</v>
      </c>
      <c r="H74" s="484">
        <f t="shared" si="3"/>
        <v>1E-10</v>
      </c>
      <c r="I74" s="484">
        <f t="shared" si="3"/>
        <v>1E-10</v>
      </c>
      <c r="J74" s="484">
        <f t="shared" si="3"/>
        <v>1E-10</v>
      </c>
      <c r="K74" s="484">
        <f t="shared" si="3"/>
        <v>1E-10</v>
      </c>
      <c r="L74" s="484">
        <f t="shared" si="3"/>
        <v>1E-10</v>
      </c>
      <c r="M74" s="484">
        <f t="shared" si="3"/>
        <v>1E-10</v>
      </c>
      <c r="N74" s="484">
        <f t="shared" si="3"/>
        <v>1E-10</v>
      </c>
      <c r="O74" s="484">
        <f t="shared" si="3"/>
        <v>1E-10</v>
      </c>
      <c r="P74" s="484">
        <f t="shared" si="3"/>
        <v>1E-10</v>
      </c>
      <c r="Q74" s="484">
        <f t="shared" si="3"/>
        <v>1E-10</v>
      </c>
      <c r="R74" s="484">
        <f t="shared" si="3"/>
        <v>1E-10</v>
      </c>
      <c r="S74" s="484">
        <f t="shared" si="3"/>
        <v>1E-10</v>
      </c>
      <c r="T74" s="484">
        <f t="shared" si="3"/>
        <v>1E-10</v>
      </c>
      <c r="U74" s="484">
        <f t="shared" si="3"/>
        <v>1E-10</v>
      </c>
      <c r="V74" s="484">
        <f t="shared" si="3"/>
        <v>1E-10</v>
      </c>
      <c r="W74" s="484">
        <f t="shared" si="3"/>
        <v>1E-10</v>
      </c>
      <c r="X74" s="484">
        <f t="shared" si="3"/>
        <v>1E-10</v>
      </c>
      <c r="Y74" s="484">
        <f t="shared" si="3"/>
        <v>1E-10</v>
      </c>
      <c r="Z74" s="484">
        <f t="shared" si="3"/>
        <v>1E-10</v>
      </c>
      <c r="AA74" s="484">
        <f t="shared" si="3"/>
        <v>1E-10</v>
      </c>
      <c r="AB74" s="484">
        <f t="shared" si="3"/>
        <v>1E-10</v>
      </c>
      <c r="AC74" s="484">
        <f t="shared" si="3"/>
        <v>1E-10</v>
      </c>
      <c r="AD74" s="484">
        <f t="shared" si="3"/>
        <v>1E-10</v>
      </c>
      <c r="AE74" s="484">
        <f t="shared" si="3"/>
        <v>1E-10</v>
      </c>
      <c r="AF74" s="484">
        <f t="shared" si="3"/>
        <v>1E-10</v>
      </c>
      <c r="AG74" s="484">
        <f t="shared" si="3"/>
        <v>1E-10</v>
      </c>
      <c r="AH74" s="484">
        <f t="shared" si="3"/>
        <v>1E-10</v>
      </c>
      <c r="AI74" s="484">
        <f t="shared" si="3"/>
        <v>1E-10</v>
      </c>
      <c r="AJ74" s="484">
        <f t="shared" si="3"/>
        <v>1E-10</v>
      </c>
      <c r="AK74" s="485"/>
      <c r="AM74" s="18" t="s">
        <v>729</v>
      </c>
      <c r="AN74" s="18">
        <v>0</v>
      </c>
      <c r="AO74" s="18">
        <v>0</v>
      </c>
      <c r="AP74" s="18">
        <v>0</v>
      </c>
      <c r="AQ74" s="18">
        <v>0</v>
      </c>
      <c r="AR74" s="18">
        <v>0</v>
      </c>
    </row>
    <row r="75" spans="1:44" s="18" customFormat="1">
      <c r="A75" s="17" t="s">
        <v>51</v>
      </c>
      <c r="B75" s="491">
        <f>AN77</f>
        <v>0.14899999999999999</v>
      </c>
      <c r="C75" s="491">
        <f t="shared" ref="C75:F75" si="4">AO77</f>
        <v>0.155</v>
      </c>
      <c r="D75" s="491">
        <f t="shared" si="4"/>
        <v>0.158</v>
      </c>
      <c r="E75" s="491">
        <f t="shared" si="4"/>
        <v>0.14499999999999999</v>
      </c>
      <c r="F75" s="491">
        <f t="shared" si="4"/>
        <v>0.13700000000000001</v>
      </c>
      <c r="G75" s="484">
        <f t="shared" ref="G75:AJ75" si="5">G62*$AM65</f>
        <v>0.15023838458176292</v>
      </c>
      <c r="H75" s="484">
        <f t="shared" si="5"/>
        <v>0.1561079445688229</v>
      </c>
      <c r="I75" s="484">
        <f t="shared" si="5"/>
        <v>0.17496444594998298</v>
      </c>
      <c r="J75" s="484">
        <f t="shared" si="5"/>
        <v>0.17484658229837549</v>
      </c>
      <c r="K75" s="484">
        <f t="shared" si="5"/>
        <v>0.17482931723677037</v>
      </c>
      <c r="L75" s="484">
        <f t="shared" si="5"/>
        <v>0.1748319973726874</v>
      </c>
      <c r="M75" s="484">
        <f t="shared" si="5"/>
        <v>0.17483249600262546</v>
      </c>
      <c r="N75" s="484">
        <f t="shared" si="5"/>
        <v>0.1748354877822538</v>
      </c>
      <c r="O75" s="484">
        <f t="shared" si="5"/>
        <v>0.17483579942596508</v>
      </c>
      <c r="P75" s="484">
        <f t="shared" si="5"/>
        <v>0.1748341788786664</v>
      </c>
      <c r="Q75" s="484">
        <f t="shared" si="5"/>
        <v>0.17483299463256352</v>
      </c>
      <c r="R75" s="484">
        <f t="shared" si="5"/>
        <v>0.17483218435891418</v>
      </c>
      <c r="S75" s="484">
        <f t="shared" si="5"/>
        <v>0.17483112477029583</v>
      </c>
      <c r="T75" s="484">
        <f t="shared" si="5"/>
        <v>0.17483000285293518</v>
      </c>
      <c r="U75" s="484">
        <f t="shared" si="5"/>
        <v>0.1753209040269493</v>
      </c>
      <c r="V75" s="484">
        <f t="shared" si="5"/>
        <v>0.17531915882216614</v>
      </c>
      <c r="W75" s="484">
        <f t="shared" si="5"/>
        <v>0.17482514121103918</v>
      </c>
      <c r="X75" s="484">
        <f t="shared" si="5"/>
        <v>0.1753159177275688</v>
      </c>
      <c r="Y75" s="484">
        <f t="shared" si="5"/>
        <v>0.17482102751405024</v>
      </c>
      <c r="Z75" s="484">
        <f t="shared" si="5"/>
        <v>0.17481940696675155</v>
      </c>
      <c r="AA75" s="484">
        <f t="shared" si="5"/>
        <v>0.17531012115453892</v>
      </c>
      <c r="AB75" s="484">
        <f t="shared" si="5"/>
        <v>0.1753081266347867</v>
      </c>
      <c r="AC75" s="484">
        <f t="shared" si="5"/>
        <v>0.17530613211503449</v>
      </c>
      <c r="AD75" s="484">
        <f t="shared" si="5"/>
        <v>0.17480775149194955</v>
      </c>
      <c r="AE75" s="484">
        <f t="shared" si="5"/>
        <v>0.17480488436980571</v>
      </c>
      <c r="AF75" s="484">
        <f t="shared" si="5"/>
        <v>0.17479977341294067</v>
      </c>
      <c r="AG75" s="484">
        <f t="shared" si="5"/>
        <v>0.17479740492073492</v>
      </c>
      <c r="AH75" s="484">
        <f t="shared" si="5"/>
        <v>0.1752965958174692</v>
      </c>
      <c r="AI75" s="484">
        <f t="shared" si="5"/>
        <v>0.17479273026506567</v>
      </c>
      <c r="AJ75" s="484">
        <f t="shared" si="5"/>
        <v>0.17479110971776698</v>
      </c>
      <c r="AK75" s="485"/>
      <c r="AM75" s="18" t="s">
        <v>143</v>
      </c>
      <c r="AN75" s="18">
        <v>0</v>
      </c>
      <c r="AO75" s="18">
        <v>0</v>
      </c>
      <c r="AP75" s="18">
        <v>0</v>
      </c>
      <c r="AQ75" s="18">
        <v>0</v>
      </c>
      <c r="AR75" s="18">
        <v>3.0000000000000001E-3</v>
      </c>
    </row>
    <row r="76" spans="1:44" s="18" customFormat="1">
      <c r="A76" s="17" t="s">
        <v>56</v>
      </c>
      <c r="B76" s="492">
        <f>AN76</f>
        <v>0</v>
      </c>
      <c r="C76" s="492">
        <f t="shared" ref="C76:F76" si="6">AO76</f>
        <v>0</v>
      </c>
      <c r="D76" s="492">
        <f t="shared" si="6"/>
        <v>0</v>
      </c>
      <c r="E76" s="492">
        <f t="shared" si="6"/>
        <v>0</v>
      </c>
      <c r="F76" s="492">
        <f t="shared" si="6"/>
        <v>0</v>
      </c>
      <c r="G76" s="492">
        <f>G63*$AM64</f>
        <v>4.9026430000000008E-3</v>
      </c>
      <c r="H76" s="492">
        <f t="shared" ref="H76:AJ76" si="7">H63*$AM64</f>
        <v>4.9682649999999995E-3</v>
      </c>
      <c r="I76" s="492">
        <f t="shared" si="7"/>
        <v>4.1277520000000002E-3</v>
      </c>
      <c r="J76" s="492">
        <f t="shared" si="7"/>
        <v>4.2734660000000001E-3</v>
      </c>
      <c r="K76" s="492">
        <f t="shared" si="7"/>
        <v>4.54478E-3</v>
      </c>
      <c r="L76" s="492">
        <f t="shared" si="7"/>
        <v>5.815761E-3</v>
      </c>
      <c r="M76" s="492">
        <f t="shared" si="7"/>
        <v>5.9488620000000001E-3</v>
      </c>
      <c r="N76" s="492">
        <f t="shared" si="7"/>
        <v>6.0622280000000002E-3</v>
      </c>
      <c r="O76" s="492">
        <f t="shared" si="7"/>
        <v>6.2278680000000001E-3</v>
      </c>
      <c r="P76" s="492">
        <f t="shared" si="7"/>
        <v>6.3883910000000002E-3</v>
      </c>
      <c r="Q76" s="492">
        <f t="shared" si="7"/>
        <v>6.8821799999999999E-3</v>
      </c>
      <c r="R76" s="492">
        <f t="shared" si="7"/>
        <v>6.9049710000000002E-3</v>
      </c>
      <c r="S76" s="492">
        <f t="shared" si="7"/>
        <v>6.9134719999999995E-3</v>
      </c>
      <c r="T76" s="492">
        <f t="shared" si="7"/>
        <v>6.9758950000000002E-3</v>
      </c>
      <c r="U76" s="492">
        <f t="shared" si="7"/>
        <v>7.0007730000000001E-3</v>
      </c>
      <c r="V76" s="492">
        <f t="shared" si="7"/>
        <v>7.0603559999999994E-3</v>
      </c>
      <c r="W76" s="492">
        <f t="shared" si="7"/>
        <v>7.3155500000000005E-3</v>
      </c>
      <c r="X76" s="492">
        <f t="shared" si="7"/>
        <v>7.7111660000000002E-3</v>
      </c>
      <c r="Y76" s="492">
        <f t="shared" si="7"/>
        <v>7.6204000000000003E-3</v>
      </c>
      <c r="Z76" s="492">
        <f t="shared" si="7"/>
        <v>7.6210540000000004E-3</v>
      </c>
      <c r="AA76" s="492">
        <f t="shared" si="7"/>
        <v>7.710522E-3</v>
      </c>
      <c r="AB76" s="492">
        <f t="shared" si="7"/>
        <v>7.7002640000000001E-3</v>
      </c>
      <c r="AC76" s="492">
        <f t="shared" si="7"/>
        <v>7.7720380000000002E-3</v>
      </c>
      <c r="AD76" s="492">
        <f t="shared" si="7"/>
        <v>7.8200839999999997E-3</v>
      </c>
      <c r="AE76" s="492">
        <f t="shared" si="7"/>
        <v>7.8508080000000008E-3</v>
      </c>
      <c r="AF76" s="492">
        <f t="shared" si="7"/>
        <v>7.9168310000000009E-3</v>
      </c>
      <c r="AG76" s="492">
        <f t="shared" si="7"/>
        <v>8.0954979999999996E-3</v>
      </c>
      <c r="AH76" s="492">
        <f t="shared" si="7"/>
        <v>7.9878850000000001E-3</v>
      </c>
      <c r="AI76" s="492">
        <f t="shared" si="7"/>
        <v>8.0393059999999995E-3</v>
      </c>
      <c r="AJ76" s="492">
        <f t="shared" si="7"/>
        <v>8.0937809999999995E-3</v>
      </c>
      <c r="AK76" s="485"/>
      <c r="AM76" s="18" t="s">
        <v>730</v>
      </c>
      <c r="AN76" s="18">
        <v>0</v>
      </c>
      <c r="AO76" s="18">
        <v>0</v>
      </c>
      <c r="AP76" s="18">
        <v>0</v>
      </c>
      <c r="AQ76" s="18">
        <v>0</v>
      </c>
      <c r="AR76" s="18">
        <v>0</v>
      </c>
    </row>
    <row r="77" spans="1:44" s="18" customFormat="1">
      <c r="A77" s="17" t="s">
        <v>52</v>
      </c>
      <c r="B77" s="491">
        <f>AN74</f>
        <v>0</v>
      </c>
      <c r="C77" s="491">
        <f t="shared" ref="C77:F77" si="8">AO74</f>
        <v>0</v>
      </c>
      <c r="D77" s="491">
        <f t="shared" si="8"/>
        <v>0</v>
      </c>
      <c r="E77" s="491">
        <f t="shared" si="8"/>
        <v>0</v>
      </c>
      <c r="F77" s="491">
        <f t="shared" si="8"/>
        <v>0</v>
      </c>
      <c r="G77" s="484">
        <f t="shared" ref="G77:AJ77" si="9">G64*$AM62</f>
        <v>0</v>
      </c>
      <c r="H77" s="484">
        <f t="shared" si="9"/>
        <v>0</v>
      </c>
      <c r="I77" s="484">
        <f t="shared" si="9"/>
        <v>0</v>
      </c>
      <c r="J77" s="484">
        <f t="shared" si="9"/>
        <v>0</v>
      </c>
      <c r="K77" s="484">
        <f t="shared" si="9"/>
        <v>0</v>
      </c>
      <c r="L77" s="484">
        <f t="shared" si="9"/>
        <v>0</v>
      </c>
      <c r="M77" s="484">
        <f t="shared" si="9"/>
        <v>0</v>
      </c>
      <c r="N77" s="484">
        <f t="shared" si="9"/>
        <v>0</v>
      </c>
      <c r="O77" s="484">
        <f t="shared" si="9"/>
        <v>0</v>
      </c>
      <c r="P77" s="484">
        <f t="shared" si="9"/>
        <v>0</v>
      </c>
      <c r="Q77" s="484">
        <f t="shared" si="9"/>
        <v>0</v>
      </c>
      <c r="R77" s="484">
        <f t="shared" si="9"/>
        <v>0</v>
      </c>
      <c r="S77" s="484">
        <f t="shared" si="9"/>
        <v>0</v>
      </c>
      <c r="T77" s="484">
        <f t="shared" si="9"/>
        <v>0</v>
      </c>
      <c r="U77" s="484">
        <f t="shared" si="9"/>
        <v>0</v>
      </c>
      <c r="V77" s="484">
        <f t="shared" si="9"/>
        <v>0</v>
      </c>
      <c r="W77" s="484">
        <f t="shared" si="9"/>
        <v>0</v>
      </c>
      <c r="X77" s="484">
        <f t="shared" si="9"/>
        <v>0</v>
      </c>
      <c r="Y77" s="484">
        <f t="shared" si="9"/>
        <v>0</v>
      </c>
      <c r="Z77" s="484">
        <f t="shared" si="9"/>
        <v>0</v>
      </c>
      <c r="AA77" s="484">
        <f t="shared" si="9"/>
        <v>0</v>
      </c>
      <c r="AB77" s="484">
        <f t="shared" si="9"/>
        <v>0</v>
      </c>
      <c r="AC77" s="484">
        <f t="shared" si="9"/>
        <v>0</v>
      </c>
      <c r="AD77" s="484">
        <f t="shared" si="9"/>
        <v>0</v>
      </c>
      <c r="AE77" s="484">
        <f t="shared" si="9"/>
        <v>0</v>
      </c>
      <c r="AF77" s="484">
        <f t="shared" si="9"/>
        <v>0</v>
      </c>
      <c r="AG77" s="484">
        <f t="shared" si="9"/>
        <v>0</v>
      </c>
      <c r="AH77" s="484">
        <f t="shared" si="9"/>
        <v>0</v>
      </c>
      <c r="AI77" s="484">
        <f t="shared" si="9"/>
        <v>0</v>
      </c>
      <c r="AJ77" s="484">
        <f t="shared" si="9"/>
        <v>0</v>
      </c>
      <c r="AK77" s="485"/>
      <c r="AM77" s="18" t="s">
        <v>731</v>
      </c>
      <c r="AN77" s="18">
        <v>0.14899999999999999</v>
      </c>
      <c r="AO77" s="18">
        <v>0.155</v>
      </c>
      <c r="AP77" s="18">
        <v>0.158</v>
      </c>
      <c r="AQ77" s="18">
        <v>0.14499999999999999</v>
      </c>
      <c r="AR77" s="18">
        <v>0.13700000000000001</v>
      </c>
    </row>
    <row r="78" spans="1:44" s="18" customFormat="1">
      <c r="A78" s="17" t="s">
        <v>53</v>
      </c>
      <c r="B78" s="491">
        <f>AN75</f>
        <v>0</v>
      </c>
      <c r="C78" s="491">
        <f t="shared" ref="C78:F78" si="10">AO75</f>
        <v>0</v>
      </c>
      <c r="D78" s="491">
        <f t="shared" si="10"/>
        <v>0</v>
      </c>
      <c r="E78" s="491">
        <f t="shared" si="10"/>
        <v>0</v>
      </c>
      <c r="F78" s="491">
        <f t="shared" si="10"/>
        <v>3.0000000000000001E-3</v>
      </c>
      <c r="G78" s="484">
        <f t="shared" ref="G78:AJ78" si="11">G65*$AM63</f>
        <v>8.5220521172638423E-4</v>
      </c>
      <c r="H78" s="484">
        <f t="shared" si="11"/>
        <v>1.2705273615635177E-3</v>
      </c>
      <c r="I78" s="484">
        <f t="shared" si="11"/>
        <v>2.1101550488599346E-3</v>
      </c>
      <c r="J78" s="484">
        <f t="shared" si="11"/>
        <v>2.1414332247556996E-3</v>
      </c>
      <c r="K78" s="484">
        <f t="shared" si="11"/>
        <v>5.2935752442996734E-3</v>
      </c>
      <c r="L78" s="484">
        <f t="shared" si="11"/>
        <v>7.4221182410423442E-3</v>
      </c>
      <c r="M78" s="484">
        <f t="shared" si="11"/>
        <v>7.4219511400651457E-3</v>
      </c>
      <c r="N78" s="484">
        <f t="shared" si="11"/>
        <v>7.41965960912052E-3</v>
      </c>
      <c r="O78" s="484">
        <f t="shared" si="11"/>
        <v>7.4200162866449497E-3</v>
      </c>
      <c r="P78" s="484">
        <f t="shared" si="11"/>
        <v>7.4215680781758945E-3</v>
      </c>
      <c r="Q78" s="484">
        <f t="shared" si="11"/>
        <v>7.4207951140065134E-3</v>
      </c>
      <c r="R78" s="484">
        <f t="shared" si="11"/>
        <v>7.4203172638436466E-3</v>
      </c>
      <c r="S78" s="484">
        <f t="shared" si="11"/>
        <v>7.422737785016285E-3</v>
      </c>
      <c r="T78" s="484">
        <f t="shared" si="11"/>
        <v>7.4299065146579794E-3</v>
      </c>
      <c r="U78" s="484">
        <f t="shared" si="11"/>
        <v>7.4253029315960901E-3</v>
      </c>
      <c r="V78" s="484">
        <f t="shared" si="11"/>
        <v>7.4605915309446241E-3</v>
      </c>
      <c r="W78" s="484">
        <f t="shared" si="11"/>
        <v>7.4869778501628651E-3</v>
      </c>
      <c r="X78" s="484">
        <f t="shared" si="11"/>
        <v>7.6194136807817576E-3</v>
      </c>
      <c r="Y78" s="484">
        <f t="shared" si="11"/>
        <v>7.7654003257328977E-3</v>
      </c>
      <c r="Z78" s="484">
        <f t="shared" si="11"/>
        <v>7.80215960912052E-3</v>
      </c>
      <c r="AA78" s="484">
        <f t="shared" si="11"/>
        <v>7.8070661237785001E-3</v>
      </c>
      <c r="AB78" s="484">
        <f t="shared" si="11"/>
        <v>7.8114781758957643E-3</v>
      </c>
      <c r="AC78" s="484">
        <f t="shared" si="11"/>
        <v>7.9262706840390867E-3</v>
      </c>
      <c r="AD78" s="484">
        <f t="shared" si="11"/>
        <v>8.0785729641693789E-3</v>
      </c>
      <c r="AE78" s="484">
        <f t="shared" si="11"/>
        <v>8.1336009771986965E-3</v>
      </c>
      <c r="AF78" s="484">
        <f t="shared" si="11"/>
        <v>8.6019732899022781E-3</v>
      </c>
      <c r="AG78" s="484">
        <f t="shared" si="11"/>
        <v>8.953216612377848E-3</v>
      </c>
      <c r="AH78" s="484">
        <f t="shared" si="11"/>
        <v>8.9957560260586315E-3</v>
      </c>
      <c r="AI78" s="484">
        <f t="shared" si="11"/>
        <v>9.0881560260586292E-3</v>
      </c>
      <c r="AJ78" s="484">
        <f t="shared" si="11"/>
        <v>9.2223224755700311E-3</v>
      </c>
      <c r="AK78" s="485"/>
      <c r="AM78" s="18" t="s">
        <v>732</v>
      </c>
      <c r="AN78" s="18">
        <v>0</v>
      </c>
      <c r="AO78" s="18">
        <v>0</v>
      </c>
      <c r="AP78" s="18">
        <v>0</v>
      </c>
      <c r="AQ78" s="18">
        <v>0</v>
      </c>
      <c r="AR78" s="18">
        <v>0</v>
      </c>
    </row>
    <row r="79" spans="1:44" s="18" customFormat="1">
      <c r="A79" s="17" t="s">
        <v>54</v>
      </c>
      <c r="B79" s="493">
        <f>AN79</f>
        <v>0.155</v>
      </c>
      <c r="C79" s="493">
        <f t="shared" ref="C79:F79" si="12">AO79</f>
        <v>0.159</v>
      </c>
      <c r="D79" s="493">
        <f t="shared" si="12"/>
        <v>0.16300000000000001</v>
      </c>
      <c r="E79" s="493">
        <f t="shared" si="12"/>
        <v>0.14899999999999999</v>
      </c>
      <c r="F79" s="493">
        <f t="shared" si="12"/>
        <v>0.14399999999999999</v>
      </c>
      <c r="G79" s="486">
        <f t="shared" ref="G79:AJ79" si="13">G66*$AM67</f>
        <v>0.1619984763228296</v>
      </c>
      <c r="H79" s="486">
        <f t="shared" si="13"/>
        <v>0.15624331057883373</v>
      </c>
      <c r="I79" s="486">
        <f t="shared" si="13"/>
        <v>0.15871726704298816</v>
      </c>
      <c r="J79" s="486">
        <f t="shared" si="13"/>
        <v>0.16290174958682402</v>
      </c>
      <c r="K79" s="486">
        <f t="shared" si="13"/>
        <v>0.19874132737665032</v>
      </c>
      <c r="L79" s="486">
        <f t="shared" si="13"/>
        <v>0.23401029347934554</v>
      </c>
      <c r="M79" s="486">
        <f t="shared" si="13"/>
        <v>0.23604957316150513</v>
      </c>
      <c r="N79" s="486">
        <f t="shared" si="13"/>
        <v>0.2371564974207736</v>
      </c>
      <c r="O79" s="486">
        <f t="shared" si="13"/>
        <v>0.23879096976593681</v>
      </c>
      <c r="P79" s="486">
        <f t="shared" si="13"/>
        <v>0.24042852485788449</v>
      </c>
      <c r="Q79" s="486">
        <f t="shared" si="13"/>
        <v>0.24523505827596698</v>
      </c>
      <c r="R79" s="486">
        <f t="shared" si="13"/>
        <v>0.24562036368253559</v>
      </c>
      <c r="S79" s="486">
        <f t="shared" si="13"/>
        <v>0.24953413363181526</v>
      </c>
      <c r="T79" s="486">
        <f t="shared" si="13"/>
        <v>0.25061586473582298</v>
      </c>
      <c r="U79" s="486">
        <f t="shared" si="13"/>
        <v>0.25138035748226478</v>
      </c>
      <c r="V79" s="486">
        <f t="shared" si="13"/>
        <v>0.25281957338878258</v>
      </c>
      <c r="W79" s="486">
        <f t="shared" si="13"/>
        <v>0.2565213926399067</v>
      </c>
      <c r="X79" s="486">
        <f t="shared" si="13"/>
        <v>0.26276630725153138</v>
      </c>
      <c r="Y79" s="486">
        <f t="shared" si="13"/>
        <v>0.26386958912690678</v>
      </c>
      <c r="Z79" s="486">
        <f t="shared" si="13"/>
        <v>0.26496570954436732</v>
      </c>
      <c r="AA79" s="486">
        <f t="shared" si="13"/>
        <v>0.26667758254725926</v>
      </c>
      <c r="AB79" s="486">
        <f t="shared" si="13"/>
        <v>0.2673556825007361</v>
      </c>
      <c r="AC79" s="486">
        <f t="shared" si="13"/>
        <v>0.26987780569772712</v>
      </c>
      <c r="AD79" s="486">
        <f t="shared" si="13"/>
        <v>0.27247283348482887</v>
      </c>
      <c r="AE79" s="486">
        <f t="shared" si="13"/>
        <v>0.27404529993543653</v>
      </c>
      <c r="AF79" s="486">
        <f t="shared" si="13"/>
        <v>0.28035743739771368</v>
      </c>
      <c r="AG79" s="486">
        <f t="shared" si="13"/>
        <v>0.28622912148479046</v>
      </c>
      <c r="AH79" s="486">
        <f t="shared" si="13"/>
        <v>0.28646993617822397</v>
      </c>
      <c r="AI79" s="486">
        <f t="shared" si="13"/>
        <v>0.28860637455365751</v>
      </c>
      <c r="AJ79" s="486">
        <f t="shared" si="13"/>
        <v>0.29127764578277193</v>
      </c>
      <c r="AK79" s="487"/>
      <c r="AM79" s="18" t="s">
        <v>58</v>
      </c>
      <c r="AN79" s="18">
        <v>0.155</v>
      </c>
      <c r="AO79" s="18">
        <v>0.159</v>
      </c>
      <c r="AP79" s="18">
        <v>0.16300000000000001</v>
      </c>
      <c r="AQ79" s="18">
        <v>0.14899999999999999</v>
      </c>
      <c r="AR79" s="18">
        <v>0.14399999999999999</v>
      </c>
    </row>
    <row r="80" spans="1:44" s="255" customFormat="1">
      <c r="A80" s="254" t="s">
        <v>57</v>
      </c>
      <c r="B80" s="474">
        <f>B79*1000</f>
        <v>155</v>
      </c>
      <c r="C80" s="474">
        <f t="shared" ref="C80:AJ80" si="14">C79*1000</f>
        <v>159</v>
      </c>
      <c r="D80" s="474">
        <f t="shared" si="14"/>
        <v>163</v>
      </c>
      <c r="E80" s="474">
        <f t="shared" si="14"/>
        <v>149</v>
      </c>
      <c r="F80" s="474">
        <f t="shared" si="14"/>
        <v>144</v>
      </c>
      <c r="G80" s="276">
        <f t="shared" si="14"/>
        <v>161.99847632282959</v>
      </c>
      <c r="H80" s="276">
        <f t="shared" si="14"/>
        <v>156.24331057883373</v>
      </c>
      <c r="I80" s="276">
        <f t="shared" si="14"/>
        <v>158.71726704298817</v>
      </c>
      <c r="J80" s="276">
        <f t="shared" si="14"/>
        <v>162.90174958682402</v>
      </c>
      <c r="K80" s="276">
        <f t="shared" si="14"/>
        <v>198.7413273766503</v>
      </c>
      <c r="L80" s="276">
        <f t="shared" si="14"/>
        <v>234.01029347934553</v>
      </c>
      <c r="M80" s="276">
        <f t="shared" si="14"/>
        <v>236.04957316150512</v>
      </c>
      <c r="N80" s="276">
        <f t="shared" si="14"/>
        <v>237.1564974207736</v>
      </c>
      <c r="O80" s="276">
        <f t="shared" si="14"/>
        <v>238.79096976593681</v>
      </c>
      <c r="P80" s="276">
        <f t="shared" si="14"/>
        <v>240.4285248578845</v>
      </c>
      <c r="Q80" s="276">
        <f t="shared" si="14"/>
        <v>245.23505827596696</v>
      </c>
      <c r="R80" s="276">
        <f t="shared" si="14"/>
        <v>245.62036368253558</v>
      </c>
      <c r="S80" s="276">
        <f t="shared" si="14"/>
        <v>249.53413363181525</v>
      </c>
      <c r="T80" s="276">
        <f t="shared" si="14"/>
        <v>250.61586473582298</v>
      </c>
      <c r="U80" s="276">
        <f t="shared" si="14"/>
        <v>251.38035748226477</v>
      </c>
      <c r="V80" s="276">
        <f t="shared" si="14"/>
        <v>252.81957338878257</v>
      </c>
      <c r="W80" s="276">
        <f t="shared" si="14"/>
        <v>256.52139263990671</v>
      </c>
      <c r="X80" s="276">
        <f t="shared" si="14"/>
        <v>262.76630725153137</v>
      </c>
      <c r="Y80" s="276">
        <f t="shared" si="14"/>
        <v>263.86958912690676</v>
      </c>
      <c r="Z80" s="276">
        <f t="shared" si="14"/>
        <v>264.96570954436731</v>
      </c>
      <c r="AA80" s="276">
        <f t="shared" si="14"/>
        <v>266.67758254725925</v>
      </c>
      <c r="AB80" s="276">
        <f t="shared" si="14"/>
        <v>267.35568250073612</v>
      </c>
      <c r="AC80" s="276">
        <f t="shared" si="14"/>
        <v>269.87780569772713</v>
      </c>
      <c r="AD80" s="276">
        <f t="shared" si="14"/>
        <v>272.47283348482887</v>
      </c>
      <c r="AE80" s="276">
        <f t="shared" si="14"/>
        <v>274.0452999354365</v>
      </c>
      <c r="AF80" s="276">
        <f t="shared" si="14"/>
        <v>280.35743739771368</v>
      </c>
      <c r="AG80" s="276">
        <f t="shared" si="14"/>
        <v>286.22912148479048</v>
      </c>
      <c r="AH80" s="276">
        <f t="shared" si="14"/>
        <v>286.46993617822397</v>
      </c>
      <c r="AI80" s="276">
        <f t="shared" si="14"/>
        <v>288.60637455365753</v>
      </c>
      <c r="AJ80" s="276">
        <f t="shared" si="14"/>
        <v>291.27764578277191</v>
      </c>
      <c r="AK80" s="321"/>
    </row>
    <row r="81" spans="1:37" s="256" customFormat="1">
      <c r="A81" s="257" t="s">
        <v>339</v>
      </c>
      <c r="B81" s="260">
        <f t="shared" ref="B81:Q82" si="15">B74/SUM(B$74:B$78)</f>
        <v>0</v>
      </c>
      <c r="C81" s="260">
        <f>C74/SUM(C$74:C$78)</f>
        <v>0</v>
      </c>
      <c r="D81" s="260">
        <f t="shared" si="15"/>
        <v>0</v>
      </c>
      <c r="E81" s="260">
        <f t="shared" si="15"/>
        <v>0</v>
      </c>
      <c r="F81" s="260">
        <f t="shared" si="15"/>
        <v>0</v>
      </c>
      <c r="G81" s="260">
        <f t="shared" si="15"/>
        <v>6.4105344921134526E-10</v>
      </c>
      <c r="H81" s="260">
        <f t="shared" si="15"/>
        <v>6.1596556745875962E-10</v>
      </c>
      <c r="I81" s="260">
        <f t="shared" si="15"/>
        <v>5.5186921300879366E-10</v>
      </c>
      <c r="J81" s="260">
        <f t="shared" si="15"/>
        <v>5.5168919013866628E-10</v>
      </c>
      <c r="K81" s="260">
        <f t="shared" si="15"/>
        <v>5.4151329576160382E-10</v>
      </c>
      <c r="L81" s="260">
        <f t="shared" si="15"/>
        <v>5.3171726247374969E-10</v>
      </c>
      <c r="M81" s="260">
        <f t="shared" si="15"/>
        <v>5.313402851543312E-10</v>
      </c>
      <c r="N81" s="260">
        <f t="shared" si="15"/>
        <v>5.3101844553149259E-10</v>
      </c>
      <c r="O81" s="260">
        <f t="shared" si="15"/>
        <v>5.3054990213062542E-10</v>
      </c>
      <c r="P81" s="260">
        <f t="shared" si="15"/>
        <v>5.3009863455109309E-10</v>
      </c>
      <c r="Q81" s="260">
        <f t="shared" si="15"/>
        <v>5.2872015873618073E-10</v>
      </c>
      <c r="R81" s="260">
        <f t="shared" ref="R81:AJ82" si="16">R74/SUM(R$74:R$78)</f>
        <v>5.2866005535275288E-10</v>
      </c>
      <c r="S81" s="260">
        <f t="shared" si="16"/>
        <v>5.286324945171597E-10</v>
      </c>
      <c r="T81" s="260">
        <f t="shared" si="16"/>
        <v>5.2844122327350114E-10</v>
      </c>
      <c r="U81" s="260">
        <f t="shared" si="16"/>
        <v>5.2701761034165362E-10</v>
      </c>
      <c r="V81" s="260">
        <f t="shared" si="16"/>
        <v>5.2675908093582601E-10</v>
      </c>
      <c r="W81" s="260">
        <f t="shared" si="16"/>
        <v>5.2734920195106253E-10</v>
      </c>
      <c r="X81" s="260">
        <f t="shared" si="16"/>
        <v>5.2453101057164653E-10</v>
      </c>
      <c r="Y81" s="260">
        <f t="shared" si="16"/>
        <v>5.2574348188835064E-10</v>
      </c>
      <c r="Z81" s="260">
        <f t="shared" si="16"/>
        <v>5.2564456715709412E-10</v>
      </c>
      <c r="AA81" s="260">
        <f t="shared" si="16"/>
        <v>5.2403291076428122E-10</v>
      </c>
      <c r="AB81" s="260">
        <f t="shared" si="16"/>
        <v>5.240544423956566E-10</v>
      </c>
      <c r="AC81" s="260">
        <f t="shared" si="16"/>
        <v>5.235480365236106E-10</v>
      </c>
      <c r="AD81" s="260">
        <f t="shared" si="16"/>
        <v>5.2436622742320229E-10</v>
      </c>
      <c r="AE81" s="260">
        <f t="shared" si="16"/>
        <v>5.2413842618363179E-10</v>
      </c>
      <c r="AF81" s="260">
        <f t="shared" si="16"/>
        <v>5.22688393089832E-10</v>
      </c>
      <c r="AG81" s="260">
        <f t="shared" si="16"/>
        <v>5.2125109536351512E-10</v>
      </c>
      <c r="AH81" s="260">
        <f t="shared" si="16"/>
        <v>5.200742499052033E-10</v>
      </c>
      <c r="AI81" s="260">
        <f t="shared" si="16"/>
        <v>5.2104991535338139E-10</v>
      </c>
      <c r="AJ81" s="260">
        <f t="shared" si="16"/>
        <v>5.2054266097393011E-10</v>
      </c>
      <c r="AK81" s="322"/>
    </row>
    <row r="82" spans="1:37" s="256" customFormat="1">
      <c r="A82" s="257" t="s">
        <v>340</v>
      </c>
      <c r="B82" s="260">
        <f t="shared" si="15"/>
        <v>1</v>
      </c>
      <c r="C82" s="260">
        <f t="shared" ref="C82:AA82" si="17">C75/SUM(C$74:C$78)</f>
        <v>1</v>
      </c>
      <c r="D82" s="260">
        <f t="shared" si="17"/>
        <v>1</v>
      </c>
      <c r="E82" s="260">
        <f t="shared" si="17"/>
        <v>1</v>
      </c>
      <c r="F82" s="260">
        <f t="shared" si="17"/>
        <v>0.97857142857142854</v>
      </c>
      <c r="G82" s="260">
        <f t="shared" si="17"/>
        <v>0.96310834640079701</v>
      </c>
      <c r="H82" s="260">
        <f t="shared" si="17"/>
        <v>0.96157118661155594</v>
      </c>
      <c r="I82" s="260">
        <f t="shared" si="17"/>
        <v>0.9655749109093672</v>
      </c>
      <c r="J82" s="260">
        <f t="shared" si="17"/>
        <v>0.96460969386704443</v>
      </c>
      <c r="K82" s="260">
        <f t="shared" si="17"/>
        <v>0.94672399772634486</v>
      </c>
      <c r="L82" s="260">
        <f t="shared" si="17"/>
        <v>0.92961191035823143</v>
      </c>
      <c r="M82" s="260">
        <f t="shared" si="17"/>
        <v>0.92895548280278484</v>
      </c>
      <c r="N82" s="260">
        <f t="shared" si="17"/>
        <v>0.92840868945872679</v>
      </c>
      <c r="O82" s="260">
        <f t="shared" si="17"/>
        <v>0.92759116274375419</v>
      </c>
      <c r="P82" s="261">
        <f t="shared" si="17"/>
        <v>0.92679359496442615</v>
      </c>
      <c r="Q82" s="260">
        <f t="shared" si="17"/>
        <v>0.92437728674450825</v>
      </c>
      <c r="R82" s="260">
        <f t="shared" si="17"/>
        <v>0.92426792260626256</v>
      </c>
      <c r="S82" s="260">
        <f t="shared" si="17"/>
        <v>0.92421413606562275</v>
      </c>
      <c r="T82" s="260">
        <f t="shared" si="17"/>
        <v>0.92387380572514755</v>
      </c>
      <c r="U82" s="260">
        <f t="shared" si="17"/>
        <v>0.92397203883221224</v>
      </c>
      <c r="V82" s="260">
        <f t="shared" si="17"/>
        <v>0.92350958971606345</v>
      </c>
      <c r="W82" s="260">
        <f t="shared" si="17"/>
        <v>0.92193898698623311</v>
      </c>
      <c r="X82" s="260">
        <f t="shared" si="17"/>
        <v>0.91958635494937291</v>
      </c>
      <c r="Y82" s="260">
        <f t="shared" si="17"/>
        <v>0.91911015712535915</v>
      </c>
      <c r="Z82" s="260">
        <f t="shared" si="17"/>
        <v>0.91892871505697993</v>
      </c>
      <c r="AA82" s="260">
        <f t="shared" si="17"/>
        <v>0.91868273075051821</v>
      </c>
      <c r="AB82" s="260">
        <f t="shared" si="16"/>
        <v>0.91871002551020309</v>
      </c>
      <c r="AC82" s="260">
        <f t="shared" si="16"/>
        <v>0.91781181259374978</v>
      </c>
      <c r="AD82" s="260">
        <f t="shared" si="16"/>
        <v>0.91663281174166245</v>
      </c>
      <c r="AE82" s="260">
        <f t="shared" si="16"/>
        <v>0.916219569828017</v>
      </c>
      <c r="AF82" s="260">
        <f t="shared" si="16"/>
        <v>0.91365812677676705</v>
      </c>
      <c r="AG82" s="260">
        <f t="shared" si="16"/>
        <v>0.91113338781632958</v>
      </c>
      <c r="AH82" s="260">
        <f t="shared" si="16"/>
        <v>0.91167245580705891</v>
      </c>
      <c r="AI82" s="260">
        <f t="shared" si="16"/>
        <v>0.91075737308998894</v>
      </c>
      <c r="AJ82" s="260">
        <f t="shared" si="16"/>
        <v>0.90986229367072591</v>
      </c>
      <c r="AK82" s="322"/>
    </row>
    <row r="83" spans="1:37" s="256" customFormat="1">
      <c r="A83" s="257" t="s">
        <v>336</v>
      </c>
      <c r="B83" s="260">
        <f>B76/SUM(B$74:B$78)</f>
        <v>0</v>
      </c>
      <c r="C83" s="260">
        <f t="shared" ref="C83:AJ83" si="18">C76/SUM(C$74:C$78)</f>
        <v>0</v>
      </c>
      <c r="D83" s="260">
        <f t="shared" si="18"/>
        <v>0</v>
      </c>
      <c r="E83" s="260">
        <f t="shared" si="18"/>
        <v>0</v>
      </c>
      <c r="F83" s="260">
        <f t="shared" si="18"/>
        <v>0</v>
      </c>
      <c r="G83" s="260">
        <f t="shared" si="18"/>
        <v>3.1428562054018575E-2</v>
      </c>
      <c r="H83" s="260">
        <f t="shared" si="18"/>
        <v>3.0602801700104938E-2</v>
      </c>
      <c r="I83" s="260">
        <f t="shared" si="18"/>
        <v>2.2779792477354743E-2</v>
      </c>
      <c r="J83" s="260">
        <f t="shared" si="18"/>
        <v>2.3576249966251257E-2</v>
      </c>
      <c r="K83" s="260">
        <f t="shared" si="18"/>
        <v>2.4610587963114217E-2</v>
      </c>
      <c r="L83" s="260">
        <f t="shared" si="18"/>
        <v>3.092340518121597E-2</v>
      </c>
      <c r="M83" s="260">
        <f t="shared" si="18"/>
        <v>3.1608700314237653E-2</v>
      </c>
      <c r="N83" s="260">
        <f t="shared" si="18"/>
        <v>3.2191548890174893E-2</v>
      </c>
      <c r="O83" s="260">
        <f t="shared" si="18"/>
        <v>3.3041947578824539E-2</v>
      </c>
      <c r="P83" s="261">
        <f t="shared" si="18"/>
        <v>3.3864773460784925E-2</v>
      </c>
      <c r="Q83" s="260">
        <f t="shared" si="18"/>
        <v>3.6387473020509681E-2</v>
      </c>
      <c r="R83" s="260">
        <f t="shared" si="18"/>
        <v>3.6503823510691535E-2</v>
      </c>
      <c r="S83" s="260">
        <f t="shared" si="18"/>
        <v>3.6546859491345368E-2</v>
      </c>
      <c r="T83" s="260">
        <f t="shared" si="18"/>
        <v>3.6863504872275001E-2</v>
      </c>
      <c r="U83" s="260">
        <f t="shared" si="18"/>
        <v>3.6895306570043696E-2</v>
      </c>
      <c r="V83" s="260">
        <f t="shared" si="18"/>
        <v>3.7191066376397443E-2</v>
      </c>
      <c r="W83" s="260">
        <f t="shared" si="18"/>
        <v>3.8578494543330955E-2</v>
      </c>
      <c r="X83" s="260">
        <f t="shared" si="18"/>
        <v>4.0447456946657211E-2</v>
      </c>
      <c r="Y83" s="260">
        <f t="shared" si="18"/>
        <v>4.006375629381987E-2</v>
      </c>
      <c r="Z83" s="260">
        <f t="shared" si="18"/>
        <v>4.0059656311108409E-2</v>
      </c>
      <c r="AA83" s="260">
        <f t="shared" si="18"/>
        <v>4.0405672871720269E-2</v>
      </c>
      <c r="AB83" s="260">
        <f t="shared" si="18"/>
        <v>4.0353575568193488E-2</v>
      </c>
      <c r="AC83" s="260">
        <f t="shared" si="18"/>
        <v>4.0690352346868894E-2</v>
      </c>
      <c r="AD83" s="260">
        <f t="shared" si="18"/>
        <v>4.100587945212545E-2</v>
      </c>
      <c r="AE83" s="260">
        <f t="shared" si="18"/>
        <v>4.1149101493898665E-2</v>
      </c>
      <c r="AF83" s="260">
        <f t="shared" si="18"/>
        <v>4.1380356737537684E-2</v>
      </c>
      <c r="AG83" s="260">
        <f t="shared" si="18"/>
        <v>4.2197872000131455E-2</v>
      </c>
      <c r="AH83" s="260">
        <f t="shared" si="18"/>
        <v>4.1542932997040254E-2</v>
      </c>
      <c r="AI83" s="260">
        <f t="shared" si="18"/>
        <v>4.1888797107999309E-2</v>
      </c>
      <c r="AJ83" s="260">
        <f t="shared" si="18"/>
        <v>4.2131582990802365E-2</v>
      </c>
      <c r="AK83" s="322"/>
    </row>
    <row r="84" spans="1:37" s="256" customFormat="1">
      <c r="A84" s="257" t="s">
        <v>338</v>
      </c>
      <c r="B84" s="260">
        <f>B77/SUM(B$74:B$78)</f>
        <v>0</v>
      </c>
      <c r="C84" s="260">
        <f t="shared" ref="C84:AJ84" si="19">C77/SUM(C$74:C$78)</f>
        <v>0</v>
      </c>
      <c r="D84" s="260">
        <f t="shared" si="19"/>
        <v>0</v>
      </c>
      <c r="E84" s="260">
        <f t="shared" si="19"/>
        <v>0</v>
      </c>
      <c r="F84" s="260">
        <f t="shared" si="19"/>
        <v>0</v>
      </c>
      <c r="G84" s="260">
        <f t="shared" si="19"/>
        <v>0</v>
      </c>
      <c r="H84" s="260">
        <f t="shared" si="19"/>
        <v>0</v>
      </c>
      <c r="I84" s="260">
        <f t="shared" si="19"/>
        <v>0</v>
      </c>
      <c r="J84" s="260">
        <f t="shared" si="19"/>
        <v>0</v>
      </c>
      <c r="K84" s="260">
        <f t="shared" si="19"/>
        <v>0</v>
      </c>
      <c r="L84" s="260">
        <f t="shared" si="19"/>
        <v>0</v>
      </c>
      <c r="M84" s="260">
        <f t="shared" si="19"/>
        <v>0</v>
      </c>
      <c r="N84" s="260">
        <f t="shared" si="19"/>
        <v>0</v>
      </c>
      <c r="O84" s="260">
        <f t="shared" si="19"/>
        <v>0</v>
      </c>
      <c r="P84" s="261">
        <f t="shared" si="19"/>
        <v>0</v>
      </c>
      <c r="Q84" s="260">
        <f t="shared" si="19"/>
        <v>0</v>
      </c>
      <c r="R84" s="260">
        <f t="shared" si="19"/>
        <v>0</v>
      </c>
      <c r="S84" s="260">
        <f t="shared" si="19"/>
        <v>0</v>
      </c>
      <c r="T84" s="260">
        <f t="shared" si="19"/>
        <v>0</v>
      </c>
      <c r="U84" s="260">
        <f t="shared" si="19"/>
        <v>0</v>
      </c>
      <c r="V84" s="260">
        <f t="shared" si="19"/>
        <v>0</v>
      </c>
      <c r="W84" s="260">
        <f t="shared" si="19"/>
        <v>0</v>
      </c>
      <c r="X84" s="260">
        <f t="shared" si="19"/>
        <v>0</v>
      </c>
      <c r="Y84" s="260">
        <f t="shared" si="19"/>
        <v>0</v>
      </c>
      <c r="Z84" s="260">
        <f t="shared" si="19"/>
        <v>0</v>
      </c>
      <c r="AA84" s="260">
        <f t="shared" si="19"/>
        <v>0</v>
      </c>
      <c r="AB84" s="260">
        <f t="shared" si="19"/>
        <v>0</v>
      </c>
      <c r="AC84" s="260">
        <f t="shared" si="19"/>
        <v>0</v>
      </c>
      <c r="AD84" s="260">
        <f t="shared" si="19"/>
        <v>0</v>
      </c>
      <c r="AE84" s="260">
        <f t="shared" si="19"/>
        <v>0</v>
      </c>
      <c r="AF84" s="260">
        <f t="shared" si="19"/>
        <v>0</v>
      </c>
      <c r="AG84" s="260">
        <f t="shared" si="19"/>
        <v>0</v>
      </c>
      <c r="AH84" s="260">
        <f t="shared" si="19"/>
        <v>0</v>
      </c>
      <c r="AI84" s="260">
        <f t="shared" si="19"/>
        <v>0</v>
      </c>
      <c r="AJ84" s="260">
        <f t="shared" si="19"/>
        <v>0</v>
      </c>
      <c r="AK84" s="322"/>
    </row>
    <row r="85" spans="1:37" s="256" customFormat="1">
      <c r="A85" s="257" t="s">
        <v>337</v>
      </c>
      <c r="B85" s="260">
        <f>B78/SUM(B$74:B$78)</f>
        <v>0</v>
      </c>
      <c r="C85" s="260">
        <f t="shared" ref="C85:AJ85" si="20">C78/SUM(C$74:C$78)</f>
        <v>0</v>
      </c>
      <c r="D85" s="260">
        <f t="shared" si="20"/>
        <v>0</v>
      </c>
      <c r="E85" s="260">
        <f t="shared" si="20"/>
        <v>0</v>
      </c>
      <c r="F85" s="260">
        <f t="shared" si="20"/>
        <v>2.1428571428571425E-2</v>
      </c>
      <c r="G85" s="260">
        <f t="shared" si="20"/>
        <v>5.463090904130833E-3</v>
      </c>
      <c r="H85" s="260">
        <f t="shared" si="20"/>
        <v>7.8260110723735281E-3</v>
      </c>
      <c r="I85" s="260">
        <f t="shared" si="20"/>
        <v>1.1645296061408647E-2</v>
      </c>
      <c r="J85" s="260">
        <f t="shared" si="20"/>
        <v>1.1814055615015044E-2</v>
      </c>
      <c r="K85" s="260">
        <f t="shared" si="20"/>
        <v>2.866541376902753E-2</v>
      </c>
      <c r="L85" s="260">
        <f t="shared" si="20"/>
        <v>3.9464683928835176E-2</v>
      </c>
      <c r="M85" s="260">
        <f t="shared" si="20"/>
        <v>3.943581635163728E-2</v>
      </c>
      <c r="N85" s="260">
        <f t="shared" si="20"/>
        <v>3.9399761120079806E-2</v>
      </c>
      <c r="O85" s="260">
        <f t="shared" si="20"/>
        <v>3.9366889146871246E-2</v>
      </c>
      <c r="P85" s="261">
        <f t="shared" si="20"/>
        <v>3.9341631044690219E-2</v>
      </c>
      <c r="Q85" s="260">
        <f t="shared" si="20"/>
        <v>3.9235239706261985E-2</v>
      </c>
      <c r="R85" s="260">
        <f t="shared" si="20"/>
        <v>3.9228253354385699E-2</v>
      </c>
      <c r="S85" s="260">
        <f t="shared" si="20"/>
        <v>3.9239003914399356E-2</v>
      </c>
      <c r="T85" s="260">
        <f t="shared" si="20"/>
        <v>3.9262688874136177E-2</v>
      </c>
      <c r="U85" s="260">
        <f t="shared" si="20"/>
        <v>3.9132654070726462E-2</v>
      </c>
      <c r="V85" s="260">
        <f t="shared" si="20"/>
        <v>3.9299343380779971E-2</v>
      </c>
      <c r="W85" s="260">
        <f t="shared" si="20"/>
        <v>3.948251794308668E-2</v>
      </c>
      <c r="X85" s="260">
        <f t="shared" si="20"/>
        <v>3.9966187579438837E-2</v>
      </c>
      <c r="Y85" s="260">
        <f t="shared" si="20"/>
        <v>4.0826086055077461E-2</v>
      </c>
      <c r="Z85" s="260">
        <f t="shared" si="20"/>
        <v>4.1011628106267177E-2</v>
      </c>
      <c r="AA85" s="260">
        <f t="shared" si="20"/>
        <v>4.0911595853728618E-2</v>
      </c>
      <c r="AB85" s="260">
        <f t="shared" si="20"/>
        <v>4.0936398397548958E-2</v>
      </c>
      <c r="AC85" s="260">
        <f t="shared" si="20"/>
        <v>4.1497834535833195E-2</v>
      </c>
      <c r="AD85" s="260">
        <f t="shared" si="20"/>
        <v>4.2361308281845741E-2</v>
      </c>
      <c r="AE85" s="260">
        <f t="shared" si="20"/>
        <v>4.2631328153945748E-2</v>
      </c>
      <c r="AF85" s="260">
        <f t="shared" si="20"/>
        <v>4.4961515963006772E-2</v>
      </c>
      <c r="AG85" s="260">
        <f t="shared" si="20"/>
        <v>4.6668739662287732E-2</v>
      </c>
      <c r="AH85" s="260">
        <f t="shared" si="20"/>
        <v>4.6784610675826552E-2</v>
      </c>
      <c r="AI85" s="260">
        <f t="shared" si="20"/>
        <v>4.7353829280961719E-2</v>
      </c>
      <c r="AJ85" s="260">
        <f t="shared" si="20"/>
        <v>4.8006122817929056E-2</v>
      </c>
      <c r="AK85" s="322"/>
    </row>
    <row r="86" spans="1:37" s="256" customFormat="1">
      <c r="A86" s="256" t="s">
        <v>341</v>
      </c>
      <c r="B86" s="260">
        <f>SUM(B81:B85)</f>
        <v>1</v>
      </c>
      <c r="C86" s="260">
        <f t="shared" ref="C86:AJ86" si="21">SUM(C81:C85)</f>
        <v>1</v>
      </c>
      <c r="D86" s="260">
        <f t="shared" si="21"/>
        <v>1</v>
      </c>
      <c r="E86" s="260">
        <f t="shared" si="21"/>
        <v>1</v>
      </c>
      <c r="F86" s="260">
        <f t="shared" si="21"/>
        <v>1</v>
      </c>
      <c r="G86" s="260">
        <f t="shared" si="21"/>
        <v>0.99999999999999989</v>
      </c>
      <c r="H86" s="260">
        <f t="shared" si="21"/>
        <v>1</v>
      </c>
      <c r="I86" s="260">
        <f t="shared" si="21"/>
        <v>0.99999999999999978</v>
      </c>
      <c r="J86" s="260">
        <f t="shared" si="21"/>
        <v>0.99999999999999989</v>
      </c>
      <c r="K86" s="260">
        <f t="shared" si="21"/>
        <v>0.99999999999999989</v>
      </c>
      <c r="L86" s="260">
        <f t="shared" si="21"/>
        <v>0.99999999999999978</v>
      </c>
      <c r="M86" s="260">
        <f t="shared" si="21"/>
        <v>1</v>
      </c>
      <c r="N86" s="260">
        <f t="shared" si="21"/>
        <v>1</v>
      </c>
      <c r="O86" s="260">
        <f t="shared" si="21"/>
        <v>0.99999999999999989</v>
      </c>
      <c r="P86" s="260">
        <f t="shared" si="21"/>
        <v>0.99999999999999989</v>
      </c>
      <c r="Q86" s="260">
        <f t="shared" si="21"/>
        <v>1.0000000000000002</v>
      </c>
      <c r="R86" s="260">
        <f t="shared" si="21"/>
        <v>0.99999999999999978</v>
      </c>
      <c r="S86" s="260">
        <f t="shared" si="21"/>
        <v>1</v>
      </c>
      <c r="T86" s="260">
        <f t="shared" si="21"/>
        <v>0.99999999999999989</v>
      </c>
      <c r="U86" s="260">
        <f t="shared" si="21"/>
        <v>1</v>
      </c>
      <c r="V86" s="260">
        <f t="shared" si="21"/>
        <v>1</v>
      </c>
      <c r="W86" s="260">
        <f t="shared" si="21"/>
        <v>0.99999999999999989</v>
      </c>
      <c r="X86" s="260">
        <f t="shared" si="21"/>
        <v>0.99999999999999989</v>
      </c>
      <c r="Y86" s="260">
        <f t="shared" si="21"/>
        <v>0.99999999999999989</v>
      </c>
      <c r="Z86" s="260">
        <f t="shared" si="21"/>
        <v>1</v>
      </c>
      <c r="AA86" s="260">
        <f t="shared" si="21"/>
        <v>1</v>
      </c>
      <c r="AB86" s="260">
        <f t="shared" si="21"/>
        <v>1</v>
      </c>
      <c r="AC86" s="260">
        <f t="shared" si="21"/>
        <v>0.99999999999999989</v>
      </c>
      <c r="AD86" s="260">
        <f t="shared" si="21"/>
        <v>0.99999999999999978</v>
      </c>
      <c r="AE86" s="260">
        <f t="shared" si="21"/>
        <v>0.99999999999999989</v>
      </c>
      <c r="AF86" s="260">
        <f t="shared" si="21"/>
        <v>1</v>
      </c>
      <c r="AG86" s="260">
        <f t="shared" si="21"/>
        <v>0.99999999999999978</v>
      </c>
      <c r="AH86" s="260">
        <f t="shared" si="21"/>
        <v>0.99999999999999989</v>
      </c>
      <c r="AI86" s="260">
        <f t="shared" si="21"/>
        <v>0.99999999999999989</v>
      </c>
      <c r="AJ86" s="260">
        <f t="shared" si="21"/>
        <v>0.99999999999999989</v>
      </c>
      <c r="AK86" s="322"/>
    </row>
    <row r="87" spans="1:37">
      <c r="A87" s="566" t="s">
        <v>631</v>
      </c>
      <c r="B87" s="566"/>
      <c r="C87" s="566"/>
      <c r="D87" s="566"/>
      <c r="E87" s="566"/>
      <c r="F87" s="566"/>
      <c r="G87" s="566"/>
      <c r="H87" s="566"/>
      <c r="I87" s="566"/>
      <c r="J87" s="566"/>
      <c r="K87" s="566"/>
      <c r="L87" s="566"/>
      <c r="M87" s="566"/>
      <c r="N87" s="566"/>
      <c r="O87" s="566"/>
      <c r="P87" s="566"/>
      <c r="Q87" s="566"/>
      <c r="R87" s="566"/>
      <c r="S87" s="566"/>
      <c r="T87" s="566"/>
      <c r="U87" s="566"/>
      <c r="V87" s="566"/>
      <c r="W87" s="566"/>
      <c r="X87" s="566"/>
      <c r="Y87" s="566"/>
      <c r="Z87" s="566"/>
      <c r="AA87" s="566"/>
      <c r="AB87" s="566"/>
      <c r="AC87" s="566"/>
      <c r="AD87" s="566"/>
      <c r="AE87" s="566"/>
      <c r="AF87" s="566"/>
    </row>
    <row r="88" spans="1:37">
      <c r="A88" s="567" t="s">
        <v>664</v>
      </c>
      <c r="B88" s="567"/>
      <c r="C88" s="567"/>
      <c r="D88" s="567"/>
      <c r="E88" s="567"/>
      <c r="F88" s="567"/>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row>
    <row r="89" spans="1:37">
      <c r="A89" s="567" t="s">
        <v>665</v>
      </c>
      <c r="B89" s="567"/>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row>
    <row r="90" spans="1:37">
      <c r="A90" s="567" t="s">
        <v>666</v>
      </c>
      <c r="B90" s="567"/>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row>
    <row r="91" spans="1:37">
      <c r="A91" s="567" t="s">
        <v>667</v>
      </c>
      <c r="B91" s="567"/>
      <c r="C91" s="567"/>
      <c r="D91" s="567"/>
      <c r="E91" s="567"/>
      <c r="F91" s="567"/>
      <c r="G91" s="567"/>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row>
    <row r="92" spans="1:37">
      <c r="A92" s="567" t="s">
        <v>668</v>
      </c>
      <c r="B92" s="567"/>
      <c r="C92" s="567"/>
      <c r="D92" s="567"/>
      <c r="E92" s="567"/>
      <c r="F92" s="567"/>
      <c r="G92" s="567"/>
      <c r="H92" s="567"/>
      <c r="I92" s="567"/>
      <c r="J92" s="567"/>
      <c r="K92" s="567"/>
      <c r="L92" s="567"/>
      <c r="M92" s="567"/>
      <c r="N92" s="567"/>
      <c r="O92" s="567"/>
      <c r="P92" s="567"/>
      <c r="Q92" s="567"/>
      <c r="R92" s="567"/>
      <c r="S92" s="567"/>
      <c r="T92" s="567"/>
      <c r="U92" s="567"/>
      <c r="V92" s="567"/>
      <c r="W92" s="567"/>
      <c r="X92" s="567"/>
      <c r="Y92" s="567"/>
      <c r="Z92" s="567"/>
      <c r="AA92" s="567"/>
      <c r="AB92" s="567"/>
      <c r="AC92" s="567"/>
      <c r="AD92" s="567"/>
      <c r="AE92" s="567"/>
      <c r="AF92" s="567"/>
    </row>
    <row r="93" spans="1:37">
      <c r="A93" s="567" t="s">
        <v>669</v>
      </c>
      <c r="B93" s="567"/>
      <c r="C93" s="567"/>
      <c r="D93" s="567"/>
      <c r="E93" s="567"/>
      <c r="F93" s="567"/>
      <c r="G93" s="567"/>
      <c r="H93" s="567"/>
      <c r="I93" s="567"/>
      <c r="J93" s="567"/>
      <c r="K93" s="567"/>
      <c r="L93" s="567"/>
      <c r="M93" s="567"/>
      <c r="N93" s="567"/>
      <c r="O93" s="567"/>
      <c r="P93" s="567"/>
      <c r="Q93" s="567"/>
      <c r="R93" s="567"/>
      <c r="S93" s="567"/>
      <c r="T93" s="567"/>
      <c r="U93" s="567"/>
      <c r="V93" s="567"/>
      <c r="W93" s="567"/>
      <c r="X93" s="567"/>
      <c r="Y93" s="567"/>
      <c r="Z93" s="567"/>
      <c r="AA93" s="567"/>
      <c r="AB93" s="567"/>
      <c r="AC93" s="567"/>
      <c r="AD93" s="567"/>
      <c r="AE93" s="567"/>
      <c r="AF93" s="567"/>
    </row>
    <row r="94" spans="1:37">
      <c r="A94" s="567" t="s">
        <v>670</v>
      </c>
      <c r="B94" s="567"/>
      <c r="C94" s="567"/>
      <c r="D94" s="567"/>
      <c r="E94" s="567"/>
      <c r="F94" s="567"/>
      <c r="G94" s="567"/>
      <c r="H94" s="567"/>
      <c r="I94" s="567"/>
      <c r="J94" s="567"/>
      <c r="K94" s="567"/>
      <c r="L94" s="567"/>
      <c r="M94" s="567"/>
      <c r="N94" s="567"/>
      <c r="O94" s="567"/>
      <c r="P94" s="567"/>
      <c r="Q94" s="567"/>
      <c r="R94" s="567"/>
      <c r="S94" s="567"/>
      <c r="T94" s="567"/>
      <c r="U94" s="567"/>
      <c r="V94" s="567"/>
      <c r="W94" s="567"/>
      <c r="X94" s="567"/>
      <c r="Y94" s="567"/>
      <c r="Z94" s="567"/>
      <c r="AA94" s="567"/>
      <c r="AB94" s="567"/>
      <c r="AC94" s="567"/>
      <c r="AD94" s="567"/>
      <c r="AE94" s="567"/>
      <c r="AF94" s="567"/>
    </row>
    <row r="95" spans="1:37">
      <c r="A95" s="567" t="s">
        <v>671</v>
      </c>
      <c r="B95" s="567"/>
      <c r="C95" s="567"/>
      <c r="D95" s="567"/>
      <c r="E95" s="567"/>
      <c r="F95" s="567"/>
      <c r="G95" s="567"/>
      <c r="H95" s="567"/>
      <c r="I95" s="567"/>
      <c r="J95" s="567"/>
      <c r="K95" s="567"/>
      <c r="L95" s="567"/>
      <c r="M95" s="567"/>
      <c r="N95" s="567"/>
      <c r="O95" s="567"/>
      <c r="P95" s="567"/>
      <c r="Q95" s="567"/>
      <c r="R95" s="567"/>
      <c r="S95" s="567"/>
      <c r="T95" s="567"/>
      <c r="U95" s="567"/>
      <c r="V95" s="567"/>
      <c r="W95" s="567"/>
      <c r="X95" s="567"/>
      <c r="Y95" s="567"/>
      <c r="Z95" s="567"/>
      <c r="AA95" s="567"/>
      <c r="AB95" s="567"/>
      <c r="AC95" s="567"/>
      <c r="AD95" s="567"/>
      <c r="AE95" s="567"/>
      <c r="AF95" s="567"/>
    </row>
    <row r="96" spans="1:37">
      <c r="A96" s="567" t="s">
        <v>672</v>
      </c>
      <c r="B96" s="567"/>
      <c r="C96" s="567"/>
      <c r="D96" s="567"/>
      <c r="E96" s="567"/>
      <c r="F96" s="567"/>
      <c r="G96" s="567"/>
      <c r="H96" s="567"/>
      <c r="I96" s="567"/>
      <c r="J96" s="567"/>
      <c r="K96" s="567"/>
      <c r="L96" s="567"/>
      <c r="M96" s="567"/>
      <c r="N96" s="567"/>
      <c r="O96" s="567"/>
      <c r="P96" s="567"/>
      <c r="Q96" s="567"/>
      <c r="R96" s="567"/>
      <c r="S96" s="567"/>
      <c r="T96" s="567"/>
      <c r="U96" s="567"/>
      <c r="V96" s="567"/>
      <c r="W96" s="567"/>
      <c r="X96" s="567"/>
      <c r="Y96" s="567"/>
      <c r="Z96" s="567"/>
      <c r="AA96" s="567"/>
      <c r="AB96" s="567"/>
      <c r="AC96" s="567"/>
      <c r="AD96" s="567"/>
      <c r="AE96" s="567"/>
      <c r="AF96" s="567"/>
    </row>
    <row r="97" spans="1:32">
      <c r="A97" s="567" t="s">
        <v>673</v>
      </c>
      <c r="B97" s="567"/>
      <c r="C97" s="567"/>
      <c r="D97" s="567"/>
      <c r="E97" s="567"/>
      <c r="F97" s="567"/>
      <c r="G97" s="567"/>
      <c r="H97" s="567"/>
      <c r="I97" s="567"/>
      <c r="J97" s="567"/>
      <c r="K97" s="567"/>
      <c r="L97" s="567"/>
      <c r="M97" s="567"/>
      <c r="N97" s="567"/>
      <c r="O97" s="567"/>
      <c r="P97" s="567"/>
      <c r="Q97" s="567"/>
      <c r="R97" s="567"/>
      <c r="S97" s="567"/>
      <c r="T97" s="567"/>
      <c r="U97" s="567"/>
      <c r="V97" s="567"/>
      <c r="W97" s="567"/>
      <c r="X97" s="567"/>
      <c r="Y97" s="567"/>
      <c r="Z97" s="567"/>
      <c r="AA97" s="567"/>
      <c r="AB97" s="567"/>
      <c r="AC97" s="567"/>
      <c r="AD97" s="567"/>
      <c r="AE97" s="567"/>
      <c r="AF97" s="567"/>
    </row>
    <row r="98" spans="1:32">
      <c r="A98" s="567" t="s">
        <v>674</v>
      </c>
      <c r="B98" s="567"/>
      <c r="C98" s="567"/>
      <c r="D98" s="567"/>
      <c r="E98" s="567"/>
      <c r="F98" s="567"/>
      <c r="G98" s="567"/>
      <c r="H98" s="567"/>
      <c r="I98" s="567"/>
      <c r="J98" s="567"/>
      <c r="K98" s="567"/>
      <c r="L98" s="567"/>
      <c r="M98" s="567"/>
      <c r="N98" s="567"/>
      <c r="O98" s="567"/>
      <c r="P98" s="567"/>
      <c r="Q98" s="567"/>
      <c r="R98" s="567"/>
      <c r="S98" s="567"/>
      <c r="T98" s="567"/>
      <c r="U98" s="567"/>
      <c r="V98" s="567"/>
      <c r="W98" s="567"/>
      <c r="X98" s="567"/>
      <c r="Y98" s="567"/>
      <c r="Z98" s="567"/>
      <c r="AA98" s="567"/>
      <c r="AB98" s="567"/>
      <c r="AC98" s="567"/>
      <c r="AD98" s="567"/>
      <c r="AE98" s="567"/>
      <c r="AF98" s="567"/>
    </row>
    <row r="99" spans="1:32">
      <c r="A99" s="567" t="s">
        <v>675</v>
      </c>
      <c r="B99" s="567"/>
      <c r="C99" s="567"/>
      <c r="D99" s="567"/>
      <c r="E99" s="567"/>
      <c r="F99" s="567"/>
      <c r="G99" s="567"/>
      <c r="H99" s="567"/>
      <c r="I99" s="567"/>
      <c r="J99" s="567"/>
      <c r="K99" s="567"/>
      <c r="L99" s="567"/>
      <c r="M99" s="567"/>
      <c r="N99" s="567"/>
      <c r="O99" s="567"/>
      <c r="P99" s="567"/>
      <c r="Q99" s="567"/>
      <c r="R99" s="567"/>
      <c r="S99" s="567"/>
      <c r="T99" s="567"/>
      <c r="U99" s="567"/>
      <c r="V99" s="567"/>
      <c r="W99" s="567"/>
      <c r="X99" s="567"/>
      <c r="Y99" s="567"/>
      <c r="Z99" s="567"/>
      <c r="AA99" s="567"/>
      <c r="AB99" s="567"/>
      <c r="AC99" s="567"/>
      <c r="AD99" s="567"/>
      <c r="AE99" s="567"/>
      <c r="AF99" s="567"/>
    </row>
    <row r="100" spans="1:32">
      <c r="A100" s="567" t="s">
        <v>676</v>
      </c>
      <c r="B100" s="567"/>
      <c r="C100" s="567"/>
      <c r="D100" s="567"/>
      <c r="E100" s="567"/>
      <c r="F100" s="567"/>
      <c r="G100" s="567"/>
      <c r="H100" s="567"/>
      <c r="I100" s="567"/>
      <c r="J100" s="567"/>
      <c r="K100" s="567"/>
      <c r="L100" s="567"/>
      <c r="M100" s="567"/>
      <c r="N100" s="567"/>
      <c r="O100" s="567"/>
      <c r="P100" s="567"/>
      <c r="Q100" s="567"/>
      <c r="R100" s="567"/>
      <c r="S100" s="567"/>
      <c r="T100" s="567"/>
      <c r="U100" s="567"/>
      <c r="V100" s="567"/>
      <c r="W100" s="567"/>
      <c r="X100" s="567"/>
      <c r="Y100" s="567"/>
      <c r="Z100" s="567"/>
      <c r="AA100" s="567"/>
      <c r="AB100" s="567"/>
      <c r="AC100" s="567"/>
      <c r="AD100" s="567"/>
      <c r="AE100" s="567"/>
      <c r="AF100" s="567"/>
    </row>
    <row r="101" spans="1:32">
      <c r="A101" s="567" t="s">
        <v>677</v>
      </c>
      <c r="B101" s="567"/>
      <c r="C101" s="567"/>
      <c r="D101" s="567"/>
      <c r="E101" s="567"/>
      <c r="F101" s="567"/>
      <c r="G101" s="567"/>
      <c r="H101" s="567"/>
      <c r="I101" s="567"/>
      <c r="J101" s="567"/>
      <c r="K101" s="567"/>
      <c r="L101" s="567"/>
      <c r="M101" s="567"/>
      <c r="N101" s="567"/>
      <c r="O101" s="567"/>
      <c r="P101" s="567"/>
      <c r="Q101" s="567"/>
      <c r="R101" s="567"/>
      <c r="S101" s="567"/>
      <c r="T101" s="567"/>
      <c r="U101" s="567"/>
      <c r="V101" s="567"/>
      <c r="W101" s="567"/>
      <c r="X101" s="567"/>
      <c r="Y101" s="567"/>
      <c r="Z101" s="567"/>
      <c r="AA101" s="567"/>
      <c r="AB101" s="567"/>
      <c r="AC101" s="567"/>
      <c r="AD101" s="567"/>
      <c r="AE101" s="567"/>
      <c r="AF101" s="567"/>
    </row>
    <row r="102" spans="1:32">
      <c r="A102" s="567" t="s">
        <v>678</v>
      </c>
      <c r="B102" s="567"/>
      <c r="C102" s="567"/>
      <c r="D102" s="567"/>
      <c r="E102" s="567"/>
      <c r="F102" s="567"/>
      <c r="G102" s="567"/>
      <c r="H102" s="567"/>
      <c r="I102" s="567"/>
      <c r="J102" s="567"/>
      <c r="K102" s="567"/>
      <c r="L102" s="567"/>
      <c r="M102" s="567"/>
      <c r="N102" s="567"/>
      <c r="O102" s="567"/>
      <c r="P102" s="567"/>
      <c r="Q102" s="567"/>
      <c r="R102" s="567"/>
      <c r="S102" s="567"/>
      <c r="T102" s="567"/>
      <c r="U102" s="567"/>
      <c r="V102" s="567"/>
      <c r="W102" s="567"/>
      <c r="X102" s="567"/>
      <c r="Y102" s="567"/>
      <c r="Z102" s="567"/>
      <c r="AA102" s="567"/>
      <c r="AB102" s="567"/>
      <c r="AC102" s="567"/>
      <c r="AD102" s="567"/>
      <c r="AE102" s="567"/>
      <c r="AF102" s="567"/>
    </row>
    <row r="103" spans="1:32">
      <c r="A103" s="567" t="s">
        <v>679</v>
      </c>
      <c r="B103" s="567"/>
      <c r="C103" s="567"/>
      <c r="D103" s="567"/>
      <c r="E103" s="567"/>
      <c r="F103" s="567"/>
      <c r="G103" s="567"/>
      <c r="H103" s="567"/>
      <c r="I103" s="567"/>
      <c r="J103" s="567"/>
      <c r="K103" s="567"/>
      <c r="L103" s="567"/>
      <c r="M103" s="567"/>
      <c r="N103" s="567"/>
      <c r="O103" s="567"/>
      <c r="P103" s="567"/>
      <c r="Q103" s="567"/>
      <c r="R103" s="567"/>
      <c r="S103" s="567"/>
      <c r="T103" s="567"/>
      <c r="U103" s="567"/>
      <c r="V103" s="567"/>
      <c r="W103" s="567"/>
      <c r="X103" s="567"/>
      <c r="Y103" s="567"/>
      <c r="Z103" s="567"/>
      <c r="AA103" s="567"/>
      <c r="AB103" s="567"/>
      <c r="AC103" s="567"/>
      <c r="AD103" s="567"/>
      <c r="AE103" s="567"/>
      <c r="AF103" s="567"/>
    </row>
    <row r="104" spans="1:32">
      <c r="A104" s="567" t="s">
        <v>680</v>
      </c>
      <c r="B104" s="567"/>
      <c r="C104" s="567"/>
      <c r="D104" s="567"/>
      <c r="E104" s="567"/>
      <c r="F104" s="567"/>
      <c r="G104" s="567"/>
      <c r="H104" s="567"/>
      <c r="I104" s="567"/>
      <c r="J104" s="567"/>
      <c r="K104" s="567"/>
      <c r="L104" s="567"/>
      <c r="M104" s="567"/>
      <c r="N104" s="567"/>
      <c r="O104" s="567"/>
      <c r="P104" s="567"/>
      <c r="Q104" s="567"/>
      <c r="R104" s="567"/>
      <c r="S104" s="567"/>
      <c r="T104" s="567"/>
      <c r="U104" s="567"/>
      <c r="V104" s="567"/>
      <c r="W104" s="567"/>
      <c r="X104" s="567"/>
      <c r="Y104" s="567"/>
      <c r="Z104" s="567"/>
      <c r="AA104" s="567"/>
      <c r="AB104" s="567"/>
      <c r="AC104" s="567"/>
      <c r="AD104" s="567"/>
      <c r="AE104" s="567"/>
      <c r="AF104" s="567"/>
    </row>
    <row r="105" spans="1:32">
      <c r="A105" s="567" t="s">
        <v>681</v>
      </c>
      <c r="B105" s="567"/>
      <c r="C105" s="567"/>
      <c r="D105" s="567"/>
      <c r="E105" s="567"/>
      <c r="F105" s="567"/>
      <c r="G105" s="567"/>
      <c r="H105" s="567"/>
      <c r="I105" s="567"/>
      <c r="J105" s="567"/>
      <c r="K105" s="567"/>
      <c r="L105" s="567"/>
      <c r="M105" s="567"/>
      <c r="N105" s="567"/>
      <c r="O105" s="567"/>
      <c r="P105" s="567"/>
      <c r="Q105" s="567"/>
      <c r="R105" s="567"/>
      <c r="S105" s="567"/>
      <c r="T105" s="567"/>
      <c r="U105" s="567"/>
      <c r="V105" s="567"/>
      <c r="W105" s="567"/>
      <c r="X105" s="567"/>
      <c r="Y105" s="567"/>
      <c r="Z105" s="567"/>
      <c r="AA105" s="567"/>
      <c r="AB105" s="567"/>
      <c r="AC105" s="567"/>
      <c r="AD105" s="567"/>
      <c r="AE105" s="567"/>
      <c r="AF105" s="567"/>
    </row>
    <row r="106" spans="1:32">
      <c r="A106" s="567" t="s">
        <v>682</v>
      </c>
      <c r="B106" s="567"/>
      <c r="C106" s="567"/>
      <c r="D106" s="567"/>
      <c r="E106" s="567"/>
      <c r="F106" s="567"/>
      <c r="G106" s="567"/>
      <c r="H106" s="567"/>
      <c r="I106" s="567"/>
      <c r="J106" s="567"/>
      <c r="K106" s="567"/>
      <c r="L106" s="567"/>
      <c r="M106" s="567"/>
      <c r="N106" s="567"/>
      <c r="O106" s="567"/>
      <c r="P106" s="567"/>
      <c r="Q106" s="567"/>
      <c r="R106" s="567"/>
      <c r="S106" s="567"/>
      <c r="T106" s="567"/>
      <c r="U106" s="567"/>
      <c r="V106" s="567"/>
      <c r="W106" s="567"/>
      <c r="X106" s="567"/>
      <c r="Y106" s="567"/>
      <c r="Z106" s="567"/>
      <c r="AA106" s="567"/>
      <c r="AB106" s="567"/>
      <c r="AC106" s="567"/>
      <c r="AD106" s="567"/>
      <c r="AE106" s="567"/>
      <c r="AF106" s="567"/>
    </row>
    <row r="107" spans="1:32">
      <c r="A107" s="567" t="s">
        <v>683</v>
      </c>
      <c r="B107" s="567"/>
      <c r="C107" s="567"/>
      <c r="D107" s="567"/>
      <c r="E107" s="567"/>
      <c r="F107" s="567"/>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row>
    <row r="108" spans="1:32">
      <c r="A108" s="567" t="s">
        <v>635</v>
      </c>
      <c r="B108" s="567"/>
      <c r="C108" s="567"/>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row>
    <row r="109" spans="1:32">
      <c r="A109" s="567" t="s">
        <v>684</v>
      </c>
      <c r="B109" s="567"/>
      <c r="C109" s="567"/>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67"/>
      <c r="AD109" s="567"/>
      <c r="AE109" s="567"/>
      <c r="AF109" s="567"/>
    </row>
    <row r="110" spans="1:32">
      <c r="A110" s="567" t="s">
        <v>685</v>
      </c>
      <c r="B110" s="567"/>
      <c r="C110" s="567"/>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7"/>
      <c r="AD110" s="567"/>
      <c r="AE110" s="567"/>
      <c r="AF110" s="567"/>
    </row>
    <row r="111" spans="1:32">
      <c r="A111" s="567" t="s">
        <v>642</v>
      </c>
      <c r="B111" s="567"/>
      <c r="C111" s="567"/>
      <c r="D111" s="567"/>
      <c r="E111" s="567"/>
      <c r="F111" s="567"/>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row>
    <row r="112" spans="1:32">
      <c r="A112" s="567" t="s">
        <v>643</v>
      </c>
      <c r="B112" s="567"/>
      <c r="C112" s="567"/>
      <c r="D112" s="567"/>
      <c r="E112" s="567"/>
      <c r="F112" s="567"/>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row>
    <row r="113" spans="1:32">
      <c r="A113" s="567" t="s">
        <v>644</v>
      </c>
      <c r="B113" s="567"/>
      <c r="C113" s="567"/>
      <c r="D113" s="567"/>
      <c r="E113" s="567"/>
      <c r="F113" s="567"/>
      <c r="G113" s="567"/>
      <c r="H113" s="567"/>
      <c r="I113" s="567"/>
      <c r="J113" s="567"/>
      <c r="K113" s="567"/>
      <c r="L113" s="567"/>
      <c r="M113" s="567"/>
      <c r="N113" s="567"/>
      <c r="O113" s="567"/>
      <c r="P113" s="567"/>
      <c r="Q113" s="567"/>
      <c r="R113" s="567"/>
      <c r="S113" s="567"/>
      <c r="T113" s="567"/>
      <c r="U113" s="567"/>
      <c r="V113" s="567"/>
      <c r="W113" s="567"/>
      <c r="X113" s="567"/>
      <c r="Y113" s="567"/>
      <c r="Z113" s="567"/>
      <c r="AA113" s="567"/>
      <c r="AB113" s="567"/>
      <c r="AC113" s="567"/>
      <c r="AD113" s="567"/>
      <c r="AE113" s="567"/>
      <c r="AF113" s="567"/>
    </row>
    <row r="114" spans="1:32">
      <c r="A114" s="567" t="s">
        <v>686</v>
      </c>
      <c r="B114" s="567"/>
      <c r="C114" s="567"/>
      <c r="D114" s="567"/>
      <c r="E114" s="567"/>
      <c r="F114" s="567"/>
      <c r="G114" s="567"/>
      <c r="H114" s="567"/>
      <c r="I114" s="567"/>
      <c r="J114" s="567"/>
      <c r="K114" s="567"/>
      <c r="L114" s="567"/>
      <c r="M114" s="567"/>
      <c r="N114" s="567"/>
      <c r="O114" s="567"/>
      <c r="P114" s="567"/>
      <c r="Q114" s="567"/>
      <c r="R114" s="567"/>
      <c r="S114" s="567"/>
      <c r="T114" s="567"/>
      <c r="U114" s="567"/>
      <c r="V114" s="567"/>
      <c r="W114" s="567"/>
      <c r="X114" s="567"/>
      <c r="Y114" s="567"/>
      <c r="Z114" s="567"/>
      <c r="AA114" s="567"/>
      <c r="AB114" s="567"/>
      <c r="AC114" s="567"/>
      <c r="AD114" s="567"/>
      <c r="AE114" s="567"/>
      <c r="AF114" s="567"/>
    </row>
    <row r="115" spans="1:32">
      <c r="A115" s="567" t="s">
        <v>687</v>
      </c>
      <c r="B115" s="567"/>
      <c r="C115" s="567"/>
      <c r="D115" s="567"/>
      <c r="E115" s="567"/>
      <c r="F115" s="567"/>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row>
    <row r="116" spans="1:32">
      <c r="A116" s="567" t="s">
        <v>619</v>
      </c>
      <c r="B116" s="567"/>
      <c r="C116" s="567"/>
      <c r="D116" s="567"/>
      <c r="E116" s="567"/>
      <c r="F116" s="567"/>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row>
    <row r="117" spans="1:32">
      <c r="A117" s="567" t="s">
        <v>620</v>
      </c>
      <c r="B117" s="567"/>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row>
    <row r="118" spans="1:32">
      <c r="A118" s="567" t="s">
        <v>621</v>
      </c>
      <c r="B118" s="567"/>
      <c r="C118" s="567"/>
      <c r="D118" s="567"/>
      <c r="E118" s="567"/>
      <c r="F118" s="567"/>
      <c r="G118" s="567"/>
      <c r="H118" s="567"/>
      <c r="I118" s="567"/>
      <c r="J118" s="567"/>
      <c r="K118" s="567"/>
      <c r="L118" s="567"/>
      <c r="M118" s="567"/>
      <c r="N118" s="567"/>
      <c r="O118" s="567"/>
      <c r="P118" s="567"/>
      <c r="Q118" s="567"/>
      <c r="R118" s="567"/>
      <c r="S118" s="567"/>
      <c r="T118" s="567"/>
      <c r="U118" s="567"/>
      <c r="V118" s="567"/>
      <c r="W118" s="567"/>
      <c r="X118" s="567"/>
      <c r="Y118" s="567"/>
      <c r="Z118" s="567"/>
      <c r="AA118" s="567"/>
      <c r="AB118" s="567"/>
      <c r="AC118" s="567"/>
      <c r="AD118" s="567"/>
      <c r="AE118" s="567"/>
      <c r="AF118" s="567"/>
    </row>
    <row r="119" spans="1:32">
      <c r="A119" s="567" t="s">
        <v>688</v>
      </c>
      <c r="B119" s="567"/>
      <c r="C119" s="567"/>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row>
    <row r="120" spans="1:32">
      <c r="A120" s="567" t="s">
        <v>689</v>
      </c>
      <c r="B120" s="567"/>
      <c r="C120" s="567"/>
      <c r="D120" s="567"/>
      <c r="E120" s="567"/>
      <c r="F120" s="567"/>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row>
    <row r="121" spans="1:32">
      <c r="A121" s="567" t="s">
        <v>623</v>
      </c>
      <c r="B121" s="567"/>
      <c r="C121" s="567"/>
      <c r="D121" s="567"/>
      <c r="E121" s="567"/>
      <c r="F121" s="567"/>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row>
    <row r="122" spans="1:32">
      <c r="A122" s="567" t="s">
        <v>626</v>
      </c>
      <c r="B122" s="567"/>
      <c r="C122" s="567"/>
      <c r="D122" s="567"/>
      <c r="E122" s="567"/>
      <c r="F122" s="567"/>
      <c r="G122" s="567"/>
      <c r="H122" s="567"/>
      <c r="I122" s="567"/>
      <c r="J122" s="567"/>
      <c r="K122" s="567"/>
      <c r="L122" s="567"/>
      <c r="M122" s="567"/>
      <c r="N122" s="567"/>
      <c r="O122" s="567"/>
      <c r="P122" s="567"/>
      <c r="Q122" s="567"/>
      <c r="R122" s="567"/>
      <c r="S122" s="567"/>
      <c r="T122" s="567"/>
      <c r="U122" s="567"/>
      <c r="V122" s="567"/>
      <c r="W122" s="567"/>
      <c r="X122" s="567"/>
      <c r="Y122" s="567"/>
      <c r="Z122" s="567"/>
      <c r="AA122" s="567"/>
      <c r="AB122" s="567"/>
      <c r="AC122" s="567"/>
      <c r="AD122" s="567"/>
      <c r="AE122" s="567"/>
      <c r="AF122" s="567"/>
    </row>
  </sheetData>
  <mergeCells count="36">
    <mergeCell ref="A122:AF122"/>
    <mergeCell ref="A117:AF117"/>
    <mergeCell ref="A118:AF118"/>
    <mergeCell ref="A119:AF119"/>
    <mergeCell ref="A120:AF120"/>
    <mergeCell ref="A121:AF121"/>
    <mergeCell ref="A112:AF112"/>
    <mergeCell ref="A113:AF113"/>
    <mergeCell ref="A114:AF114"/>
    <mergeCell ref="A115:AF115"/>
    <mergeCell ref="A116:AF116"/>
    <mergeCell ref="A107:AF107"/>
    <mergeCell ref="A108:AF108"/>
    <mergeCell ref="A109:AF109"/>
    <mergeCell ref="A110:AF110"/>
    <mergeCell ref="A111:AF111"/>
    <mergeCell ref="A102:AF102"/>
    <mergeCell ref="A103:AF103"/>
    <mergeCell ref="A104:AF104"/>
    <mergeCell ref="A105:AF105"/>
    <mergeCell ref="A106:AF106"/>
    <mergeCell ref="A97:AF97"/>
    <mergeCell ref="A98:AF98"/>
    <mergeCell ref="A99:AF99"/>
    <mergeCell ref="A100:AF100"/>
    <mergeCell ref="A101:AF101"/>
    <mergeCell ref="A92:AF92"/>
    <mergeCell ref="A93:AF93"/>
    <mergeCell ref="A94:AF94"/>
    <mergeCell ref="A95:AF95"/>
    <mergeCell ref="A96:AF96"/>
    <mergeCell ref="A87:AF87"/>
    <mergeCell ref="A88:AF88"/>
    <mergeCell ref="A89:AF89"/>
    <mergeCell ref="A90:AF90"/>
    <mergeCell ref="A91:AF9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2015-02-19T01:02:20Z</dcterms:modified>
</cp:coreProperties>
</file>