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0" yWindow="0" windowWidth="25600" windowHeight="15400" tabRatio="923" activeTab="4"/>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40" i="27" l="1"/>
  <c r="E39" i="27"/>
  <c r="H39" i="27"/>
  <c r="J39" i="27"/>
  <c r="L39" i="27"/>
  <c r="F39" i="27"/>
  <c r="I39" i="27"/>
  <c r="K39" i="27"/>
  <c r="M39" i="27"/>
  <c r="N39" i="27"/>
  <c r="O37" i="27"/>
  <c r="H36" i="27"/>
  <c r="J36" i="27"/>
  <c r="L36" i="27"/>
  <c r="I36" i="27"/>
  <c r="K36" i="27"/>
  <c r="M36" i="27"/>
  <c r="N36" i="27"/>
  <c r="O36" i="27"/>
  <c r="H35" i="27"/>
  <c r="J35" i="27"/>
  <c r="L35" i="27"/>
  <c r="K35" i="27"/>
  <c r="M35" i="27"/>
  <c r="N35" i="27"/>
  <c r="O35" i="27"/>
  <c r="H34" i="27"/>
  <c r="J34" i="27"/>
  <c r="L34" i="27"/>
  <c r="I34" i="27"/>
  <c r="K34" i="27"/>
  <c r="M34" i="27"/>
  <c r="N34" i="27"/>
  <c r="O34" i="27"/>
  <c r="O33" i="27"/>
  <c r="H32" i="27"/>
  <c r="J32" i="27"/>
  <c r="L32" i="27"/>
  <c r="I32" i="27"/>
  <c r="K32" i="27"/>
  <c r="M32" i="27"/>
  <c r="N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O28" i="27"/>
  <c r="H27" i="27"/>
  <c r="J27" i="27"/>
  <c r="L27" i="27"/>
  <c r="I27" i="27"/>
  <c r="K27" i="27"/>
  <c r="M27" i="27"/>
  <c r="N27" i="27"/>
  <c r="H26" i="27"/>
  <c r="J26" i="27"/>
  <c r="L26" i="27"/>
  <c r="I26" i="27"/>
  <c r="K26" i="27"/>
  <c r="M26" i="27"/>
  <c r="N26" i="27"/>
  <c r="E25" i="27"/>
  <c r="H25" i="27"/>
  <c r="J25" i="27"/>
  <c r="L25" i="27"/>
  <c r="I25" i="27"/>
  <c r="K25" i="27"/>
  <c r="M25" i="27"/>
  <c r="N25" i="27"/>
  <c r="O25" i="27"/>
  <c r="H24" i="27"/>
  <c r="J24" i="27"/>
  <c r="L24" i="27"/>
  <c r="I24" i="27"/>
  <c r="K24" i="27"/>
  <c r="M24" i="27"/>
  <c r="N24" i="27"/>
  <c r="H23" i="27"/>
  <c r="J23" i="27"/>
  <c r="L23" i="27"/>
  <c r="I23" i="27"/>
  <c r="K23" i="27"/>
  <c r="M23" i="27"/>
  <c r="N23" i="27"/>
  <c r="O22" i="27"/>
  <c r="H22" i="27"/>
  <c r="J22" i="27"/>
  <c r="L22" i="27"/>
  <c r="I22" i="27"/>
  <c r="K22" i="27"/>
  <c r="M22" i="27"/>
  <c r="N22" i="27"/>
  <c r="H21" i="27"/>
  <c r="J21" i="27"/>
  <c r="L21" i="27"/>
  <c r="I21" i="27"/>
  <c r="K21" i="27"/>
  <c r="M21" i="27"/>
  <c r="N21" i="27"/>
  <c r="O21" i="27"/>
  <c r="H20" i="27"/>
  <c r="J20" i="27"/>
  <c r="L20" i="27"/>
  <c r="I20" i="27"/>
  <c r="K20" i="27"/>
  <c r="M20" i="27"/>
  <c r="N20" i="27"/>
  <c r="H19" i="27"/>
  <c r="J19" i="27"/>
  <c r="L19" i="27"/>
  <c r="I19" i="27"/>
  <c r="K19" i="27"/>
  <c r="M19" i="27"/>
  <c r="N19" i="27"/>
  <c r="O19" i="27"/>
  <c r="H18" i="27"/>
  <c r="J18" i="27"/>
  <c r="L18" i="27"/>
  <c r="I18" i="27"/>
  <c r="K18" i="27"/>
  <c r="M18" i="27"/>
  <c r="N18" i="27"/>
  <c r="H17" i="27"/>
  <c r="J17" i="27"/>
  <c r="L17" i="27"/>
  <c r="I17" i="27"/>
  <c r="K17" i="27"/>
  <c r="M17" i="27"/>
  <c r="N17" i="27"/>
  <c r="E16" i="27"/>
  <c r="H16" i="27"/>
  <c r="J16" i="27"/>
  <c r="L16" i="27"/>
  <c r="F16" i="27"/>
  <c r="I16" i="27"/>
  <c r="K16" i="27"/>
  <c r="M16" i="27"/>
  <c r="N16" i="27"/>
  <c r="O16" i="27"/>
  <c r="H15" i="27"/>
  <c r="J15" i="27"/>
  <c r="L15" i="27"/>
  <c r="I15" i="27"/>
  <c r="K15" i="27"/>
  <c r="M15" i="27"/>
  <c r="N15" i="27"/>
  <c r="H14" i="27"/>
  <c r="J14" i="27"/>
  <c r="L14" i="27"/>
  <c r="I14" i="27"/>
  <c r="K14" i="27"/>
  <c r="M14" i="27"/>
  <c r="N14" i="27"/>
  <c r="O14" i="27"/>
  <c r="H79" i="8"/>
  <c r="I79" i="8"/>
  <c r="J79" i="8"/>
  <c r="K79" i="8"/>
  <c r="L79" i="8"/>
  <c r="M79" i="8"/>
  <c r="N79" i="8"/>
  <c r="O79" i="8"/>
  <c r="P79" i="8"/>
  <c r="Q79" i="8"/>
  <c r="R79" i="8"/>
  <c r="S79" i="8"/>
  <c r="T79" i="8"/>
  <c r="U79" i="8"/>
  <c r="V79" i="8"/>
  <c r="W79" i="8"/>
  <c r="X79" i="8"/>
  <c r="Y79" i="8"/>
  <c r="Z79" i="8"/>
  <c r="AA79" i="8"/>
  <c r="AB79" i="8"/>
  <c r="AC79" i="8"/>
  <c r="AD79" i="8"/>
  <c r="AE79" i="8"/>
  <c r="AF79" i="8"/>
  <c r="AG79" i="8"/>
  <c r="AH79" i="8"/>
  <c r="AI79" i="8"/>
  <c r="AJ79" i="8"/>
  <c r="G79" i="8"/>
  <c r="J73" i="8"/>
  <c r="H7" i="9"/>
  <c r="H31" i="15"/>
  <c r="H102" i="15"/>
  <c r="J54" i="11"/>
  <c r="J58" i="11"/>
  <c r="H13" i="15"/>
  <c r="H14" i="15"/>
  <c r="H29" i="15"/>
  <c r="H100" i="15"/>
  <c r="H30" i="15"/>
  <c r="H101" i="15"/>
  <c r="H108" i="15"/>
  <c r="H113" i="15"/>
  <c r="H43" i="15"/>
  <c r="H47" i="15"/>
  <c r="H116" i="15"/>
  <c r="H48" i="15"/>
  <c r="H117" i="15"/>
  <c r="H118" i="15"/>
  <c r="H129" i="15"/>
  <c r="H127" i="15"/>
  <c r="H128" i="15"/>
  <c r="H135" i="15"/>
  <c r="H140" i="15"/>
  <c r="H143" i="15"/>
  <c r="H144" i="15"/>
  <c r="H145" i="15"/>
  <c r="H249" i="15"/>
  <c r="H252" i="15"/>
  <c r="H179" i="15"/>
  <c r="H42" i="9"/>
  <c r="H47" i="9"/>
  <c r="H52" i="9"/>
  <c r="H55" i="9"/>
  <c r="H60" i="9"/>
  <c r="H65" i="9"/>
  <c r="H70" i="9"/>
  <c r="H73" i="9"/>
  <c r="H176" i="15"/>
  <c r="H182" i="15"/>
  <c r="H185" i="15"/>
  <c r="AJ73" i="8"/>
  <c r="AH7" i="9"/>
  <c r="AJ54" i="11"/>
  <c r="AJ58" i="11"/>
  <c r="AH13" i="15"/>
  <c r="AH14" i="15"/>
  <c r="D30" i="5"/>
  <c r="C30" i="5"/>
  <c r="P73" i="8"/>
  <c r="N7" i="9"/>
  <c r="N18" i="9"/>
  <c r="P54" i="11"/>
  <c r="P58" i="11"/>
  <c r="N13" i="15"/>
  <c r="N14" i="15"/>
  <c r="D11" i="5"/>
  <c r="D17" i="5"/>
  <c r="C17" i="5"/>
  <c r="F17" i="5"/>
  <c r="I17" i="5"/>
  <c r="AH34" i="15"/>
  <c r="D19" i="5"/>
  <c r="C19" i="5"/>
  <c r="F19" i="5"/>
  <c r="I19" i="5"/>
  <c r="AH35" i="15"/>
  <c r="D20" i="5"/>
  <c r="C20" i="5"/>
  <c r="F20" i="5"/>
  <c r="I20" i="5"/>
  <c r="AH37" i="15"/>
  <c r="D21" i="5"/>
  <c r="C21" i="5"/>
  <c r="F21" i="5"/>
  <c r="I21" i="5"/>
  <c r="AH38" i="15"/>
  <c r="D22" i="5"/>
  <c r="C22" i="5"/>
  <c r="F22" i="5"/>
  <c r="I22" i="5"/>
  <c r="AH39" i="15"/>
  <c r="D18" i="5"/>
  <c r="C18" i="5"/>
  <c r="F18" i="5"/>
  <c r="I18" i="5"/>
  <c r="AH40" i="15"/>
  <c r="D23" i="5"/>
  <c r="C23" i="5"/>
  <c r="F23" i="5"/>
  <c r="I23" i="5"/>
  <c r="AH42" i="15"/>
  <c r="D35" i="5"/>
  <c r="C35" i="5"/>
  <c r="Z73" i="8"/>
  <c r="X7" i="9"/>
  <c r="Z54" i="11"/>
  <c r="Z58" i="11"/>
  <c r="X13" i="15"/>
  <c r="X14" i="15"/>
  <c r="D29" i="5"/>
  <c r="C29" i="5"/>
  <c r="D28" i="5"/>
  <c r="C28" i="5"/>
  <c r="F35" i="5"/>
  <c r="H35" i="5"/>
  <c r="AH26" i="15"/>
  <c r="AH31" i="15"/>
  <c r="D36" i="5"/>
  <c r="C36" i="5"/>
  <c r="F36" i="5"/>
  <c r="H36" i="5"/>
  <c r="AH18" i="15"/>
  <c r="AH32" i="15"/>
  <c r="AH43" i="15"/>
  <c r="F34" i="5"/>
  <c r="H34" i="5"/>
  <c r="AH24" i="15"/>
  <c r="AH30" i="15"/>
  <c r="AH47" i="15"/>
  <c r="AH48" i="15"/>
  <c r="AH49" i="15"/>
  <c r="AH86" i="15"/>
  <c r="X34" i="15"/>
  <c r="X26" i="15"/>
  <c r="X31" i="15"/>
  <c r="X18" i="15"/>
  <c r="X32" i="15"/>
  <c r="X35" i="15"/>
  <c r="X37" i="15"/>
  <c r="X38" i="15"/>
  <c r="X39" i="15"/>
  <c r="X40" i="15"/>
  <c r="X42" i="15"/>
  <c r="X43" i="15"/>
  <c r="X24" i="15"/>
  <c r="X30" i="15"/>
  <c r="X47" i="15"/>
  <c r="X48" i="15"/>
  <c r="X49" i="15"/>
  <c r="X86" i="15"/>
  <c r="AH71" i="15"/>
  <c r="X58" i="15"/>
  <c r="Y58" i="15"/>
  <c r="Z58" i="15"/>
  <c r="AB54" i="11"/>
  <c r="AB58" i="11"/>
  <c r="Z13" i="15"/>
  <c r="Z14" i="15"/>
  <c r="Z34" i="15"/>
  <c r="AH87" i="15"/>
  <c r="X87" i="15"/>
  <c r="AH72" i="15"/>
  <c r="X59" i="15"/>
  <c r="Y59" i="15"/>
  <c r="Z59" i="15"/>
  <c r="Z35" i="15"/>
  <c r="AH89" i="15"/>
  <c r="X89" i="15"/>
  <c r="AH74" i="15"/>
  <c r="X61" i="15"/>
  <c r="Y61" i="15"/>
  <c r="Z61" i="15"/>
  <c r="Z37" i="15"/>
  <c r="AH90" i="15"/>
  <c r="X90" i="15"/>
  <c r="AH75" i="15"/>
  <c r="X62" i="15"/>
  <c r="Y62" i="15"/>
  <c r="Z62" i="15"/>
  <c r="Z38" i="15"/>
  <c r="AH91" i="15"/>
  <c r="X91" i="15"/>
  <c r="AH76" i="15"/>
  <c r="X63" i="15"/>
  <c r="Y63" i="15"/>
  <c r="Z63" i="15"/>
  <c r="Z39" i="15"/>
  <c r="AH92" i="15"/>
  <c r="X92" i="15"/>
  <c r="AH77" i="15"/>
  <c r="X64" i="15"/>
  <c r="Y64" i="15"/>
  <c r="Z64" i="15"/>
  <c r="Z40" i="15"/>
  <c r="AH94" i="15"/>
  <c r="X94" i="15"/>
  <c r="AH79" i="15"/>
  <c r="X66" i="15"/>
  <c r="Y66" i="15"/>
  <c r="Z66" i="15"/>
  <c r="Z42" i="15"/>
  <c r="Y26" i="15"/>
  <c r="Z26" i="15"/>
  <c r="Z31" i="15"/>
  <c r="Y18" i="15"/>
  <c r="Z18" i="15"/>
  <c r="Z32" i="15"/>
  <c r="Z43" i="15"/>
  <c r="Y24" i="15"/>
  <c r="Z24" i="15"/>
  <c r="Z30" i="15"/>
  <c r="Z47" i="15"/>
  <c r="Z48" i="15"/>
  <c r="Z49" i="15"/>
  <c r="Z86" i="15"/>
  <c r="Z87" i="15"/>
  <c r="Z88" i="15"/>
  <c r="Z89" i="15"/>
  <c r="Z90" i="15"/>
  <c r="Z91" i="15"/>
  <c r="Z92" i="15"/>
  <c r="Z93" i="15"/>
  <c r="Z94" i="15"/>
  <c r="Z95" i="15"/>
  <c r="Z16" i="15"/>
  <c r="AA58" i="15"/>
  <c r="AC54" i="11"/>
  <c r="AC58" i="11"/>
  <c r="AA13" i="15"/>
  <c r="AA14" i="15"/>
  <c r="AA34" i="15"/>
  <c r="AA59" i="15"/>
  <c r="AA35" i="15"/>
  <c r="AA61" i="15"/>
  <c r="AA37" i="15"/>
  <c r="AA62" i="15"/>
  <c r="AA38" i="15"/>
  <c r="AA63" i="15"/>
  <c r="AA39" i="15"/>
  <c r="AA64" i="15"/>
  <c r="AA40" i="15"/>
  <c r="AA66" i="15"/>
  <c r="AA42" i="15"/>
  <c r="AA26" i="15"/>
  <c r="AA31" i="15"/>
  <c r="AA18" i="15"/>
  <c r="AA32" i="15"/>
  <c r="AA43" i="15"/>
  <c r="AA24" i="15"/>
  <c r="AA30" i="15"/>
  <c r="AA47" i="15"/>
  <c r="AA48" i="15"/>
  <c r="AA49" i="15"/>
  <c r="AA86" i="15"/>
  <c r="AA87" i="15"/>
  <c r="AA88" i="15"/>
  <c r="AA89" i="15"/>
  <c r="AA90" i="15"/>
  <c r="AA91" i="15"/>
  <c r="AA92" i="15"/>
  <c r="AA93" i="15"/>
  <c r="AA94" i="15"/>
  <c r="AA95" i="15"/>
  <c r="AA16" i="15"/>
  <c r="AB58" i="15"/>
  <c r="AD54" i="11"/>
  <c r="AD58" i="11"/>
  <c r="AB13" i="15"/>
  <c r="AB14" i="15"/>
  <c r="AB34" i="15"/>
  <c r="AB59" i="15"/>
  <c r="AB35" i="15"/>
  <c r="AB61" i="15"/>
  <c r="AB37" i="15"/>
  <c r="AB62" i="15"/>
  <c r="AB38" i="15"/>
  <c r="AB63" i="15"/>
  <c r="AB39" i="15"/>
  <c r="AB64" i="15"/>
  <c r="AB40" i="15"/>
  <c r="AB66" i="15"/>
  <c r="AB42" i="15"/>
  <c r="AB26" i="15"/>
  <c r="AB31" i="15"/>
  <c r="AB18" i="15"/>
  <c r="AB32" i="15"/>
  <c r="AB43" i="15"/>
  <c r="AB24" i="15"/>
  <c r="AB30" i="15"/>
  <c r="AB47" i="15"/>
  <c r="AB48" i="15"/>
  <c r="AB49" i="15"/>
  <c r="AB86" i="15"/>
  <c r="AB87" i="15"/>
  <c r="AB88" i="15"/>
  <c r="AB89" i="15"/>
  <c r="AB90" i="15"/>
  <c r="AB91" i="15"/>
  <c r="AB92" i="15"/>
  <c r="AB93" i="15"/>
  <c r="AB94" i="15"/>
  <c r="AB95" i="15"/>
  <c r="AB16" i="15"/>
  <c r="AC58" i="15"/>
  <c r="AE54" i="11"/>
  <c r="AE58" i="11"/>
  <c r="AC13" i="15"/>
  <c r="AC14" i="15"/>
  <c r="AC34" i="15"/>
  <c r="AC59" i="15"/>
  <c r="AC35" i="15"/>
  <c r="AC61" i="15"/>
  <c r="AC37" i="15"/>
  <c r="AC62" i="15"/>
  <c r="AC38" i="15"/>
  <c r="AC63" i="15"/>
  <c r="AC39" i="15"/>
  <c r="AC64" i="15"/>
  <c r="AC40" i="15"/>
  <c r="AC66" i="15"/>
  <c r="AC42" i="15"/>
  <c r="AC26" i="15"/>
  <c r="AC31" i="15"/>
  <c r="AC18" i="15"/>
  <c r="AC32" i="15"/>
  <c r="AC43" i="15"/>
  <c r="AC24" i="15"/>
  <c r="AC30" i="15"/>
  <c r="AC47" i="15"/>
  <c r="AC48" i="15"/>
  <c r="AC49" i="15"/>
  <c r="AC86" i="15"/>
  <c r="AC87" i="15"/>
  <c r="AC88" i="15"/>
  <c r="AC89" i="15"/>
  <c r="AC90" i="15"/>
  <c r="AC91" i="15"/>
  <c r="AC92" i="15"/>
  <c r="AC93" i="15"/>
  <c r="AC94" i="15"/>
  <c r="AC95" i="15"/>
  <c r="AC16" i="15"/>
  <c r="AD58" i="15"/>
  <c r="AF54" i="11"/>
  <c r="AF58" i="11"/>
  <c r="AD13" i="15"/>
  <c r="AD14" i="15"/>
  <c r="AD34" i="15"/>
  <c r="AD59" i="15"/>
  <c r="AD35" i="15"/>
  <c r="AD61" i="15"/>
  <c r="AD37" i="15"/>
  <c r="AD62" i="15"/>
  <c r="AD38" i="15"/>
  <c r="AD63" i="15"/>
  <c r="AD39" i="15"/>
  <c r="AD64" i="15"/>
  <c r="AD40" i="15"/>
  <c r="AD66" i="15"/>
  <c r="AD42" i="15"/>
  <c r="AD26" i="15"/>
  <c r="AD31" i="15"/>
  <c r="AD18" i="15"/>
  <c r="AD32" i="15"/>
  <c r="AD43" i="15"/>
  <c r="AD24" i="15"/>
  <c r="AD30" i="15"/>
  <c r="AD47" i="15"/>
  <c r="AD48" i="15"/>
  <c r="AD49" i="15"/>
  <c r="AD86" i="15"/>
  <c r="AD87" i="15"/>
  <c r="AD88" i="15"/>
  <c r="AD89" i="15"/>
  <c r="AD90" i="15"/>
  <c r="AD91" i="15"/>
  <c r="AD92" i="15"/>
  <c r="AD93" i="15"/>
  <c r="AD94" i="15"/>
  <c r="AD95" i="15"/>
  <c r="AD16" i="15"/>
  <c r="AE58" i="15"/>
  <c r="AG54" i="11"/>
  <c r="AG58" i="11"/>
  <c r="AE13" i="15"/>
  <c r="AE14" i="15"/>
  <c r="AE34" i="15"/>
  <c r="AE59" i="15"/>
  <c r="AE35" i="15"/>
  <c r="AE61" i="15"/>
  <c r="AE37" i="15"/>
  <c r="AE62" i="15"/>
  <c r="AE38" i="15"/>
  <c r="AE63" i="15"/>
  <c r="AE39" i="15"/>
  <c r="AE64" i="15"/>
  <c r="AE40" i="15"/>
  <c r="AE66" i="15"/>
  <c r="AE42" i="15"/>
  <c r="AE26" i="15"/>
  <c r="AE31" i="15"/>
  <c r="AE18" i="15"/>
  <c r="AE32" i="15"/>
  <c r="AE43" i="15"/>
  <c r="AE24" i="15"/>
  <c r="AE30" i="15"/>
  <c r="AE47" i="15"/>
  <c r="AE48" i="15"/>
  <c r="AE49" i="15"/>
  <c r="AE86" i="15"/>
  <c r="AE87" i="15"/>
  <c r="AE88" i="15"/>
  <c r="AE89" i="15"/>
  <c r="AE90" i="15"/>
  <c r="AE91" i="15"/>
  <c r="AE92" i="15"/>
  <c r="AE93" i="15"/>
  <c r="AE94" i="15"/>
  <c r="AE95" i="15"/>
  <c r="AE16" i="15"/>
  <c r="AF58" i="15"/>
  <c r="AH54" i="11"/>
  <c r="AH58" i="11"/>
  <c r="AF13" i="15"/>
  <c r="AF14" i="15"/>
  <c r="AF34" i="15"/>
  <c r="AF59" i="15"/>
  <c r="AF35" i="15"/>
  <c r="AF61" i="15"/>
  <c r="AF37" i="15"/>
  <c r="AF62" i="15"/>
  <c r="AF38" i="15"/>
  <c r="AF63" i="15"/>
  <c r="AF39" i="15"/>
  <c r="AF64" i="15"/>
  <c r="AF40" i="15"/>
  <c r="AF66" i="15"/>
  <c r="AF42" i="15"/>
  <c r="AF26" i="15"/>
  <c r="AF31" i="15"/>
  <c r="AF18" i="15"/>
  <c r="AF32" i="15"/>
  <c r="AF43" i="15"/>
  <c r="AF24" i="15"/>
  <c r="AF30" i="15"/>
  <c r="AF47" i="15"/>
  <c r="AF48" i="15"/>
  <c r="AF49" i="15"/>
  <c r="AF86" i="15"/>
  <c r="AF87" i="15"/>
  <c r="AF88" i="15"/>
  <c r="AF89" i="15"/>
  <c r="AF90" i="15"/>
  <c r="AF91" i="15"/>
  <c r="AF92" i="15"/>
  <c r="AF93" i="15"/>
  <c r="AF94" i="15"/>
  <c r="AF95" i="15"/>
  <c r="AF16" i="15"/>
  <c r="AG58" i="15"/>
  <c r="AI54" i="11"/>
  <c r="AI58" i="11"/>
  <c r="AG13" i="15"/>
  <c r="AG14" i="15"/>
  <c r="AG34" i="15"/>
  <c r="AG59" i="15"/>
  <c r="AG35" i="15"/>
  <c r="AG61" i="15"/>
  <c r="AG37" i="15"/>
  <c r="AG62" i="15"/>
  <c r="AG38" i="15"/>
  <c r="AG63" i="15"/>
  <c r="AG39" i="15"/>
  <c r="AG64" i="15"/>
  <c r="AG40" i="15"/>
  <c r="AG66" i="15"/>
  <c r="AG42" i="15"/>
  <c r="AG26" i="15"/>
  <c r="AG31" i="15"/>
  <c r="AG18" i="15"/>
  <c r="AG32" i="15"/>
  <c r="AG43" i="15"/>
  <c r="AG24" i="15"/>
  <c r="AG30" i="15"/>
  <c r="AG47" i="15"/>
  <c r="AG48" i="15"/>
  <c r="AG49" i="15"/>
  <c r="AG86" i="15"/>
  <c r="AG87" i="15"/>
  <c r="AG88" i="15"/>
  <c r="AG89" i="15"/>
  <c r="AG90" i="15"/>
  <c r="AG91" i="15"/>
  <c r="AG92" i="15"/>
  <c r="AG93" i="15"/>
  <c r="AG94" i="15"/>
  <c r="AG95" i="15"/>
  <c r="AG16" i="15"/>
  <c r="AH88" i="15"/>
  <c r="AH93" i="15"/>
  <c r="AH95" i="15"/>
  <c r="AH16" i="15"/>
  <c r="AA54" i="11"/>
  <c r="AA58" i="11"/>
  <c r="Y13" i="15"/>
  <c r="Y14" i="15"/>
  <c r="Y34" i="15"/>
  <c r="Y35" i="15"/>
  <c r="Y37" i="15"/>
  <c r="Y38" i="15"/>
  <c r="Y39" i="15"/>
  <c r="Y40" i="15"/>
  <c r="Y42" i="15"/>
  <c r="Y31" i="15"/>
  <c r="Y32" i="15"/>
  <c r="Y43" i="15"/>
  <c r="Y30" i="15"/>
  <c r="Y47" i="15"/>
  <c r="Y48" i="15"/>
  <c r="Y49" i="15"/>
  <c r="Y86" i="15"/>
  <c r="Y87" i="15"/>
  <c r="Y88" i="15"/>
  <c r="Y89" i="15"/>
  <c r="Y90" i="15"/>
  <c r="Y91" i="15"/>
  <c r="Y92" i="15"/>
  <c r="Y93" i="15"/>
  <c r="Y94" i="15"/>
  <c r="Y95" i="15"/>
  <c r="Y16" i="15"/>
  <c r="X93" i="15"/>
  <c r="AH78" i="15"/>
  <c r="N26" i="15"/>
  <c r="N31" i="15"/>
  <c r="C24" i="5"/>
  <c r="E17" i="5"/>
  <c r="N20" i="15"/>
  <c r="N19" i="15"/>
  <c r="N21" i="15"/>
  <c r="N34" i="15"/>
  <c r="E19" i="5"/>
  <c r="N35" i="15"/>
  <c r="E20" i="5"/>
  <c r="N37" i="15"/>
  <c r="E21" i="5"/>
  <c r="N38" i="15"/>
  <c r="E22" i="5"/>
  <c r="N39" i="15"/>
  <c r="E18" i="5"/>
  <c r="N40" i="15"/>
  <c r="E23" i="5"/>
  <c r="N42" i="15"/>
  <c r="N18" i="15"/>
  <c r="N32" i="15"/>
  <c r="N43" i="15"/>
  <c r="N30" i="15"/>
  <c r="N47" i="15"/>
  <c r="N48" i="15"/>
  <c r="N49" i="15"/>
  <c r="N93" i="15"/>
  <c r="X78" i="15"/>
  <c r="N94" i="15"/>
  <c r="X79" i="15"/>
  <c r="N87" i="15"/>
  <c r="X72" i="15"/>
  <c r="P74" i="8"/>
  <c r="N11" i="9"/>
  <c r="P78" i="8"/>
  <c r="N16" i="9"/>
  <c r="J74" i="8"/>
  <c r="H11" i="9"/>
  <c r="H35" i="15"/>
  <c r="J78" i="8"/>
  <c r="H16" i="9"/>
  <c r="H42" i="15"/>
  <c r="H49" i="15"/>
  <c r="H93" i="15"/>
  <c r="N78" i="15"/>
  <c r="H94" i="15"/>
  <c r="N79" i="15"/>
  <c r="H87" i="15"/>
  <c r="N72" i="15"/>
  <c r="H54" i="11"/>
  <c r="H58" i="11"/>
  <c r="H56" i="11"/>
  <c r="I54" i="11"/>
  <c r="I58" i="11"/>
  <c r="I56" i="11"/>
  <c r="J56" i="11"/>
  <c r="K54" i="11"/>
  <c r="K58" i="11"/>
  <c r="K56" i="11"/>
  <c r="L54" i="11"/>
  <c r="L58" i="11"/>
  <c r="L56" i="11"/>
  <c r="M54" i="11"/>
  <c r="M58" i="11"/>
  <c r="M56" i="11"/>
  <c r="N54" i="11"/>
  <c r="N58" i="11"/>
  <c r="N56" i="11"/>
  <c r="O54" i="11"/>
  <c r="O58" i="11"/>
  <c r="O56" i="11"/>
  <c r="P56" i="11"/>
  <c r="Q54" i="11"/>
  <c r="Q58" i="11"/>
  <c r="Q56" i="11"/>
  <c r="R54" i="11"/>
  <c r="R58" i="11"/>
  <c r="R56" i="11"/>
  <c r="S54" i="11"/>
  <c r="S58" i="11"/>
  <c r="S56" i="11"/>
  <c r="T54" i="11"/>
  <c r="T58" i="11"/>
  <c r="T56" i="11"/>
  <c r="U54" i="11"/>
  <c r="U58" i="11"/>
  <c r="U56" i="11"/>
  <c r="V54" i="11"/>
  <c r="V58" i="11"/>
  <c r="V56" i="11"/>
  <c r="W54" i="11"/>
  <c r="W58" i="11"/>
  <c r="W56" i="11"/>
  <c r="X54" i="11"/>
  <c r="X58" i="11"/>
  <c r="X56" i="11"/>
  <c r="Y54" i="11"/>
  <c r="Y58" i="11"/>
  <c r="Y56" i="11"/>
  <c r="Z56" i="11"/>
  <c r="AA56" i="11"/>
  <c r="AB56" i="11"/>
  <c r="AC56" i="11"/>
  <c r="AD56" i="11"/>
  <c r="AE56" i="11"/>
  <c r="AF56" i="11"/>
  <c r="AG56" i="11"/>
  <c r="AH56" i="11"/>
  <c r="AI56" i="11"/>
  <c r="AJ56" i="11"/>
  <c r="G54" i="11"/>
  <c r="G58" i="11"/>
  <c r="G56" i="11"/>
  <c r="G11" i="5"/>
  <c r="E11" i="5"/>
  <c r="H78" i="8"/>
  <c r="I78" i="8"/>
  <c r="K78" i="8"/>
  <c r="L78" i="8"/>
  <c r="M78" i="8"/>
  <c r="N78" i="8"/>
  <c r="O78" i="8"/>
  <c r="Q78" i="8"/>
  <c r="R78" i="8"/>
  <c r="S78" i="8"/>
  <c r="T78" i="8"/>
  <c r="U78" i="8"/>
  <c r="V78" i="8"/>
  <c r="W78" i="8"/>
  <c r="X78" i="8"/>
  <c r="Y78" i="8"/>
  <c r="Z78" i="8"/>
  <c r="AA78" i="8"/>
  <c r="AB78" i="8"/>
  <c r="AC78" i="8"/>
  <c r="AD78" i="8"/>
  <c r="AE78" i="8"/>
  <c r="AF78" i="8"/>
  <c r="AG78" i="8"/>
  <c r="AH78" i="8"/>
  <c r="AI78" i="8"/>
  <c r="AJ78" i="8"/>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8" i="8"/>
  <c r="G77" i="8"/>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H75" i="8"/>
  <c r="I75" i="8"/>
  <c r="J75" i="8"/>
  <c r="K75" i="8"/>
  <c r="L75" i="8"/>
  <c r="M75" i="8"/>
  <c r="N75" i="8"/>
  <c r="O75" i="8"/>
  <c r="P75" i="8"/>
  <c r="Q75" i="8"/>
  <c r="R75" i="8"/>
  <c r="S75" i="8"/>
  <c r="T75" i="8"/>
  <c r="U75" i="8"/>
  <c r="V75" i="8"/>
  <c r="W75" i="8"/>
  <c r="X75" i="8"/>
  <c r="Y75" i="8"/>
  <c r="Z75" i="8"/>
  <c r="AA75" i="8"/>
  <c r="AB75" i="8"/>
  <c r="AC75" i="8"/>
  <c r="AD75" i="8"/>
  <c r="AE75" i="8"/>
  <c r="AF75" i="8"/>
  <c r="AG75" i="8"/>
  <c r="AH75" i="8"/>
  <c r="AI75" i="8"/>
  <c r="AJ75" i="8"/>
  <c r="G75" i="8"/>
  <c r="H74" i="8"/>
  <c r="I74" i="8"/>
  <c r="K74" i="8"/>
  <c r="L74" i="8"/>
  <c r="M74" i="8"/>
  <c r="N74" i="8"/>
  <c r="O74" i="8"/>
  <c r="Q74" i="8"/>
  <c r="R74" i="8"/>
  <c r="S74" i="8"/>
  <c r="T74" i="8"/>
  <c r="U74" i="8"/>
  <c r="V74" i="8"/>
  <c r="W74" i="8"/>
  <c r="X74" i="8"/>
  <c r="Y74" i="8"/>
  <c r="Z74" i="8"/>
  <c r="AA74" i="8"/>
  <c r="AB74" i="8"/>
  <c r="AC74" i="8"/>
  <c r="AD74" i="8"/>
  <c r="AE74" i="8"/>
  <c r="AF74" i="8"/>
  <c r="AG74" i="8"/>
  <c r="AH74" i="8"/>
  <c r="AI74" i="8"/>
  <c r="AJ74" i="8"/>
  <c r="G74" i="8"/>
  <c r="H73" i="8"/>
  <c r="I73" i="8"/>
  <c r="K73" i="8"/>
  <c r="L73" i="8"/>
  <c r="M73" i="8"/>
  <c r="N73" i="8"/>
  <c r="O73" i="8"/>
  <c r="Q73" i="8"/>
  <c r="R73" i="8"/>
  <c r="S73" i="8"/>
  <c r="T73" i="8"/>
  <c r="U73" i="8"/>
  <c r="V73" i="8"/>
  <c r="W73" i="8"/>
  <c r="X73" i="8"/>
  <c r="Y73" i="8"/>
  <c r="AA73" i="8"/>
  <c r="AB73" i="8"/>
  <c r="AC73" i="8"/>
  <c r="AD73" i="8"/>
  <c r="AE73" i="8"/>
  <c r="AF73" i="8"/>
  <c r="AG73" i="8"/>
  <c r="AH73" i="8"/>
  <c r="AI73" i="8"/>
  <c r="G73" i="8"/>
  <c r="G52" i="11"/>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H49" i="11"/>
  <c r="I49" i="11"/>
  <c r="J49" i="11"/>
  <c r="K49" i="11"/>
  <c r="L49" i="11"/>
  <c r="M49" i="11"/>
  <c r="N49" i="11"/>
  <c r="O49" i="11"/>
  <c r="P49" i="11"/>
  <c r="Q49" i="11"/>
  <c r="R49" i="11"/>
  <c r="S49" i="11"/>
  <c r="T49" i="11"/>
  <c r="U49" i="11"/>
  <c r="V49" i="11"/>
  <c r="W49" i="11"/>
  <c r="X49" i="11"/>
  <c r="Y49" i="11"/>
  <c r="Z49" i="11"/>
  <c r="AA49" i="11"/>
  <c r="AB49" i="11"/>
  <c r="AC49" i="11"/>
  <c r="AD49" i="11"/>
  <c r="AE49" i="11"/>
  <c r="AF49" i="11"/>
  <c r="AG49" i="11"/>
  <c r="AH49" i="11"/>
  <c r="AI49" i="11"/>
  <c r="AJ49" i="11"/>
  <c r="H50" i="11"/>
  <c r="I50" i="11"/>
  <c r="J50" i="11"/>
  <c r="K50" i="11"/>
  <c r="L50" i="11"/>
  <c r="M50" i="11"/>
  <c r="N50" i="11"/>
  <c r="O50" i="11"/>
  <c r="P50" i="11"/>
  <c r="Q50" i="11"/>
  <c r="R50" i="11"/>
  <c r="S50" i="11"/>
  <c r="T50" i="11"/>
  <c r="U50" i="11"/>
  <c r="V50" i="11"/>
  <c r="W50" i="11"/>
  <c r="X50" i="11"/>
  <c r="Y50" i="11"/>
  <c r="Z50" i="11"/>
  <c r="AA50" i="11"/>
  <c r="AB50" i="11"/>
  <c r="AC50" i="11"/>
  <c r="AD50" i="11"/>
  <c r="AE50" i="11"/>
  <c r="AF50" i="11"/>
  <c r="AG50" i="11"/>
  <c r="AH50" i="11"/>
  <c r="AI50" i="11"/>
  <c r="AJ50" i="11"/>
  <c r="H51" i="11"/>
  <c r="I51" i="11"/>
  <c r="J51" i="11"/>
  <c r="K51" i="11"/>
  <c r="L51" i="11"/>
  <c r="M51" i="11"/>
  <c r="N51" i="11"/>
  <c r="O51" i="11"/>
  <c r="P51" i="11"/>
  <c r="Q51" i="11"/>
  <c r="R51" i="11"/>
  <c r="S51" i="11"/>
  <c r="T51" i="11"/>
  <c r="U51" i="11"/>
  <c r="V51" i="11"/>
  <c r="W51" i="11"/>
  <c r="X51" i="11"/>
  <c r="Y51" i="11"/>
  <c r="Z51" i="11"/>
  <c r="AA51" i="11"/>
  <c r="AB51" i="11"/>
  <c r="AC51" i="11"/>
  <c r="AD51" i="11"/>
  <c r="AE51" i="11"/>
  <c r="AF51" i="11"/>
  <c r="AG51" i="11"/>
  <c r="AH51" i="11"/>
  <c r="AI51" i="11"/>
  <c r="AJ51" i="11"/>
  <c r="G50" i="11"/>
  <c r="G51" i="11"/>
  <c r="G49" i="11"/>
  <c r="B58" i="11"/>
  <c r="C58" i="11"/>
  <c r="D58" i="11"/>
  <c r="E58" i="11"/>
  <c r="F58" i="11"/>
  <c r="X8" i="9"/>
  <c r="X10" i="9"/>
  <c r="X11" i="9"/>
  <c r="X12" i="9"/>
  <c r="X13" i="9"/>
  <c r="X14" i="9"/>
  <c r="X16" i="9"/>
  <c r="X18" i="9"/>
  <c r="D12" i="5"/>
  <c r="N8" i="9"/>
  <c r="N10" i="9"/>
  <c r="N12" i="9"/>
  <c r="N13" i="9"/>
  <c r="N14" i="9"/>
  <c r="E12" i="5"/>
  <c r="AH8" i="9"/>
  <c r="AH10" i="9"/>
  <c r="AH11" i="9"/>
  <c r="AH12" i="9"/>
  <c r="AH13"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Z60" i="11"/>
  <c r="AA60" i="11"/>
  <c r="AB60" i="11"/>
  <c r="AC60" i="11"/>
  <c r="AD60" i="11"/>
  <c r="AE60" i="11"/>
  <c r="AF60" i="11"/>
  <c r="AG60" i="11"/>
  <c r="AH60" i="11"/>
  <c r="AI60" i="11"/>
  <c r="AJ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16" i="15"/>
  <c r="N46" i="15"/>
  <c r="N86" i="15"/>
  <c r="H32" i="15"/>
  <c r="H13" i="9"/>
  <c r="H38" i="15"/>
  <c r="H14" i="9"/>
  <c r="H39" i="15"/>
  <c r="H10" i="9"/>
  <c r="H34" i="15"/>
  <c r="H12" i="9"/>
  <c r="H37" i="15"/>
  <c r="H40" i="15"/>
  <c r="H46"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X46" i="15"/>
  <c r="Y46" i="15"/>
  <c r="Z46" i="15"/>
  <c r="AA46" i="15"/>
  <c r="AB46" i="15"/>
  <c r="AC46" i="15"/>
  <c r="AD46" i="15"/>
  <c r="AE46" i="15"/>
  <c r="AF46" i="15"/>
  <c r="AG46" i="15"/>
  <c r="AH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AG16" i="9"/>
  <c r="AF16" i="9"/>
  <c r="AE16" i="9"/>
  <c r="AD16" i="9"/>
  <c r="AC16" i="9"/>
  <c r="AB16" i="9"/>
  <c r="AA16" i="9"/>
  <c r="Z16" i="9"/>
  <c r="Y16" i="9"/>
  <c r="AG14" i="9"/>
  <c r="AF14" i="9"/>
  <c r="AE14" i="9"/>
  <c r="AD14" i="9"/>
  <c r="AC14" i="9"/>
  <c r="AB14" i="9"/>
  <c r="AA14" i="9"/>
  <c r="Z14" i="9"/>
  <c r="Y14" i="9"/>
  <c r="AG13" i="9"/>
  <c r="AF13" i="9"/>
  <c r="AE13" i="9"/>
  <c r="AD13" i="9"/>
  <c r="AC13" i="9"/>
  <c r="AB13" i="9"/>
  <c r="AA13" i="9"/>
  <c r="Z13" i="9"/>
  <c r="Y13" i="9"/>
  <c r="AG12" i="9"/>
  <c r="AF12" i="9"/>
  <c r="AE12" i="9"/>
  <c r="AD12" i="9"/>
  <c r="AC12" i="9"/>
  <c r="AB12" i="9"/>
  <c r="AA12" i="9"/>
  <c r="Z12" i="9"/>
  <c r="Y12" i="9"/>
  <c r="AG11" i="9"/>
  <c r="AF11" i="9"/>
  <c r="AE11" i="9"/>
  <c r="AD11" i="9"/>
  <c r="AC11" i="9"/>
  <c r="AB11" i="9"/>
  <c r="AA11" i="9"/>
  <c r="Z11" i="9"/>
  <c r="Y11" i="9"/>
  <c r="AG10" i="9"/>
  <c r="AF10" i="9"/>
  <c r="AE10" i="9"/>
  <c r="AD10" i="9"/>
  <c r="AC10" i="9"/>
  <c r="AB10" i="9"/>
  <c r="AA10" i="9"/>
  <c r="Z10" i="9"/>
  <c r="Y10" i="9"/>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50" i="15"/>
  <c r="H251" i="15"/>
  <c r="H253" i="15"/>
  <c r="H254"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5" i="15"/>
  <c r="H214" i="15"/>
  <c r="H131"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4" authorId="0">
      <text>
        <r>
          <rPr>
            <b/>
            <sz val="9"/>
            <color indexed="81"/>
            <rFont val="Tahoma"/>
            <family val="2"/>
          </rPr>
          <t>Max:</t>
        </r>
        <r>
          <rPr>
            <sz val="9"/>
            <color indexed="81"/>
            <rFont val="Tahoma"/>
            <family val="2"/>
          </rPr>
          <t xml:space="preserve">
Kammen04 and 08</t>
        </r>
      </text>
    </comment>
    <comment ref="G14" authorId="0">
      <text>
        <r>
          <rPr>
            <b/>
            <sz val="9"/>
            <color indexed="81"/>
            <rFont val="Tahoma"/>
            <family val="2"/>
          </rPr>
          <t>Max:</t>
        </r>
        <r>
          <rPr>
            <sz val="9"/>
            <color indexed="81"/>
            <rFont val="Tahoma"/>
            <family val="2"/>
          </rPr>
          <t xml:space="preserve">
not specified
</t>
        </r>
      </text>
    </comment>
    <comment ref="F15"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6" authorId="0">
      <text>
        <r>
          <rPr>
            <b/>
            <sz val="9"/>
            <color indexed="81"/>
            <rFont val="Tahoma"/>
            <family val="2"/>
          </rPr>
          <t>Max:</t>
        </r>
        <r>
          <rPr>
            <sz val="9"/>
            <color indexed="81"/>
            <rFont val="Tahoma"/>
            <family val="2"/>
          </rPr>
          <t xml:space="preserve">
not sure about this, conservative assumption for jobs
</t>
        </r>
      </text>
    </comment>
    <comment ref="C18" authorId="0">
      <text>
        <r>
          <rPr>
            <b/>
            <sz val="9"/>
            <color indexed="81"/>
            <rFont val="Tahoma"/>
            <family val="2"/>
          </rPr>
          <t>Max:</t>
        </r>
        <r>
          <rPr>
            <sz val="9"/>
            <color indexed="81"/>
            <rFont val="Tahoma"/>
            <family val="2"/>
          </rPr>
          <t xml:space="preserve">
EPRI 01 capacity 90%
</t>
        </r>
      </text>
    </comment>
    <comment ref="C19" authorId="0">
      <text>
        <r>
          <rPr>
            <b/>
            <sz val="9"/>
            <color indexed="81"/>
            <rFont val="Tahoma"/>
            <family val="2"/>
          </rPr>
          <t>Max:</t>
        </r>
        <r>
          <rPr>
            <sz val="9"/>
            <color indexed="81"/>
            <rFont val="Tahoma"/>
            <family val="2"/>
          </rPr>
          <t xml:space="preserve">
Kammen 08 presentation</t>
        </r>
      </text>
    </comment>
    <comment ref="C21" authorId="0">
      <text>
        <r>
          <rPr>
            <b/>
            <sz val="9"/>
            <color indexed="81"/>
            <rFont val="Tahoma"/>
            <family val="2"/>
          </rPr>
          <t>Max:</t>
        </r>
        <r>
          <rPr>
            <sz val="9"/>
            <color indexed="81"/>
            <rFont val="Tahoma"/>
            <family val="2"/>
          </rPr>
          <t xml:space="preserve">
EPRI 01 cap 55%
</t>
        </r>
      </text>
    </comment>
    <comment ref="O22" authorId="0">
      <text>
        <r>
          <rPr>
            <sz val="9"/>
            <color indexed="81"/>
            <rFont val="Tahoma"/>
            <family val="2"/>
          </rPr>
          <t xml:space="preserve">Karim:
New update from the solar foundation assuming that all other jobs are O&amp;M
</t>
        </r>
      </text>
    </comment>
    <comment ref="C23" authorId="0">
      <text>
        <r>
          <rPr>
            <b/>
            <sz val="9"/>
            <color indexed="81"/>
            <rFont val="Tahoma"/>
            <family val="2"/>
          </rPr>
          <t>Max:</t>
        </r>
        <r>
          <rPr>
            <sz val="9"/>
            <color indexed="81"/>
            <rFont val="Tahoma"/>
            <family val="2"/>
          </rPr>
          <t xml:space="preserve">
Kammen 08 presentation</t>
        </r>
      </text>
    </comment>
    <comment ref="C25" authorId="0">
      <text>
        <r>
          <rPr>
            <b/>
            <sz val="9"/>
            <color indexed="81"/>
            <rFont val="Tahoma"/>
            <family val="2"/>
          </rPr>
          <t>Max:</t>
        </r>
        <r>
          <rPr>
            <sz val="9"/>
            <color indexed="81"/>
            <rFont val="Tahoma"/>
            <family val="2"/>
          </rPr>
          <t xml:space="preserve">
NREL08 cap 40%</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A27" authorId="0">
      <text>
        <r>
          <rPr>
            <b/>
            <sz val="9"/>
            <color indexed="81"/>
            <rFont val="Tahoma"/>
            <family val="2"/>
          </rPr>
          <t>Max:</t>
        </r>
        <r>
          <rPr>
            <sz val="9"/>
            <color indexed="81"/>
            <rFont val="Tahoma"/>
            <family val="2"/>
          </rPr>
          <t xml:space="preserve">
100 MW parabolic trough plant with 6 hours of storage</t>
        </r>
      </text>
    </comment>
    <comment ref="E28" authorId="0">
      <text>
        <r>
          <rPr>
            <b/>
            <sz val="9"/>
            <color indexed="81"/>
            <rFont val="Tahoma"/>
            <family val="2"/>
          </rPr>
          <t>Max:</t>
        </r>
        <r>
          <rPr>
            <sz val="9"/>
            <color indexed="81"/>
            <rFont val="Tahoma"/>
            <family val="2"/>
          </rPr>
          <t xml:space="preserve">
direct CIM; Another 5 is indirect manufacturing
</t>
        </r>
      </text>
    </comment>
    <comment ref="F28" authorId="0">
      <text>
        <r>
          <rPr>
            <b/>
            <sz val="9"/>
            <color indexed="81"/>
            <rFont val="Tahoma"/>
            <family val="2"/>
          </rPr>
          <t>Max:</t>
        </r>
        <r>
          <rPr>
            <sz val="9"/>
            <color indexed="81"/>
            <rFont val="Tahoma"/>
            <family val="2"/>
          </rPr>
          <t xml:space="preserve">
includes 0.07 jobs/MWp for consultants, researchers, financial services</t>
        </r>
      </text>
    </comment>
    <comment ref="E29" authorId="0">
      <text>
        <r>
          <rPr>
            <b/>
            <sz val="9"/>
            <color indexed="81"/>
            <rFont val="Tahoma"/>
            <family val="2"/>
          </rPr>
          <t>Max:</t>
        </r>
        <r>
          <rPr>
            <sz val="9"/>
            <color indexed="81"/>
            <rFont val="Tahoma"/>
            <family val="2"/>
          </rPr>
          <t xml:space="preserve">
direct CIM; Another 5 is indirect manufacturing
</t>
        </r>
      </text>
    </comment>
    <comment ref="C33" authorId="0">
      <text>
        <r>
          <rPr>
            <b/>
            <sz val="9"/>
            <color indexed="81"/>
            <rFont val="Tahoma"/>
            <family val="2"/>
          </rPr>
          <t>Max:</t>
        </r>
        <r>
          <rPr>
            <sz val="9"/>
            <color indexed="81"/>
            <rFont val="Tahoma"/>
            <family val="2"/>
          </rPr>
          <t xml:space="preserve">
take same as Coal</t>
        </r>
      </text>
    </comment>
    <comment ref="C35" authorId="0">
      <text>
        <r>
          <rPr>
            <b/>
            <sz val="9"/>
            <color indexed="81"/>
            <rFont val="Tahoma"/>
            <family val="2"/>
          </rPr>
          <t>Max:</t>
        </r>
        <r>
          <rPr>
            <sz val="9"/>
            <color indexed="81"/>
            <rFont val="Tahoma"/>
            <family val="2"/>
          </rPr>
          <t xml:space="preserve">
kammen 08
</t>
        </r>
      </text>
    </comment>
    <comment ref="C36" authorId="0">
      <text>
        <r>
          <rPr>
            <b/>
            <sz val="9"/>
            <color indexed="81"/>
            <rFont val="Tahoma"/>
            <family val="2"/>
          </rPr>
          <t>Max:</t>
        </r>
        <r>
          <rPr>
            <sz val="9"/>
            <color indexed="81"/>
            <rFont val="Tahoma"/>
            <family val="2"/>
          </rPr>
          <t xml:space="preserve">
page 15
Also Kammen08 ref</t>
        </r>
      </text>
    </comment>
    <comment ref="F36" authorId="0">
      <text>
        <r>
          <rPr>
            <b/>
            <sz val="9"/>
            <color indexed="81"/>
            <rFont val="Tahoma"/>
            <family val="2"/>
          </rPr>
          <t>Max:</t>
        </r>
        <r>
          <rPr>
            <sz val="9"/>
            <color indexed="81"/>
            <rFont val="Tahoma"/>
            <family val="2"/>
          </rPr>
          <t xml:space="preserve">
Non-Fuel O&amp;M only
</t>
        </r>
      </text>
    </comment>
    <comment ref="C37"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<sst xmlns="http://schemas.openxmlformats.org/spreadsheetml/2006/main" count="1297" uniqueCount="749">
  <si>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</si>
  <si>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</si>
  <si>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</si>
  <si>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</si>
  <si>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</si>
  <si>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</si>
  <si>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</si>
  <si>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</si>
  <si>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</si>
  <si>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</si>
  <si>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</si>
  <si>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</si>
  <si>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</si>
  <si>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</si>
  <si>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</si>
  <si>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</si>
  <si>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</si>
  <si>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</si>
  <si>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</si>
  <si>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</si>
  <si>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</si>
  <si>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</si>
  <si>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</si>
  <si>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</si>
  <si>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</si>
  <si>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</si>
  <si>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</si>
  <si>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</si>
  <si>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</si>
  <si>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</si>
  <si>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</si>
  <si>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</si>
  <si>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</si>
  <si>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</si>
  <si>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</si>
  <si>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</si>
  <si>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</si>
  <si>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</si>
  <si>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</si>
  <si>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</si>
  <si>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</si>
  <si>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</si>
  <si>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</si>
  <si>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</si>
  <si>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</si>
  <si>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</si>
  <si>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</si>
  <si>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</si>
  <si>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</si>
  <si>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</si>
  <si>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</si>
  <si>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</si>
  <si>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</si>
  <si>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</si>
  <si>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</si>
  <si>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</si>
  <si>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</si>
  <si>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</si>
  <si>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</si>
  <si>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</si>
  <si>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</si>
  <si>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</si>
  <si>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</si>
  <si>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</si>
  <si>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</si>
  <si>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</si>
  <si>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</si>
  <si>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</si>
  <si>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</si>
  <si>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</si>
  <si>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</si>
  <si>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</si>
  <si>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</si>
  <si>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</si>
  <si>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</si>
  <si>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</si>
  <si>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</si>
  <si>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</si>
  <si>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</si>
  <si>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</si>
  <si>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</si>
  <si>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</si>
  <si>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</si>
  <si>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</si>
  <si>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</si>
  <si>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</si>
  <si>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</si>
  <si>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</si>
  <si>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</si>
  <si>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</si>
  <si>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</si>
  <si>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</si>
  <si>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</si>
  <si>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</si>
  <si>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</si>
  <si>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</si>
  <si>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</si>
  <si>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</si>
  <si>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</si>
  <si>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</si>
  <si>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</si>
  <si>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</si>
  <si>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</si>
  <si>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</si>
  <si>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</si>
  <si>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</si>
  <si>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</si>
  <si>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</si>
  <si>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</si>
  <si>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</si>
  <si>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</si>
  <si>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</si>
  <si>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</si>
  <si>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</si>
  <si>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</si>
  <si>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</si>
  <si>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</si>
  <si>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</si>
  <si>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</si>
  <si>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</si>
  <si>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</si>
  <si>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</si>
  <si>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</si>
  <si>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</si>
  <si>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</si>
  <si>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</si>
  <si>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</si>
  <si>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</si>
  <si>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</si>
  <si>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</si>
  <si>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</si>
  <si>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</si>
  <si>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</si>
  <si>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</si>
  <si>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</si>
  <si>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</si>
  <si>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</si>
  <si>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</si>
  <si>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</si>
  <si>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</si>
  <si>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</si>
  <si>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</si>
  <si>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</si>
  <si>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</si>
  <si>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</si>
  <si>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</si>
  <si>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</si>
  <si>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</si>
  <si>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</si>
  <si>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</si>
  <si>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</si>
  <si>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</si>
  <si>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</si>
  <si>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</si>
  <si>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</si>
  <si>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</si>
  <si>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</si>
  <si>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</si>
  <si>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</si>
  <si>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</si>
  <si>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</si>
  <si>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</si>
  <si>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</si>
  <si>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</si>
  <si>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</si>
  <si>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</si>
  <si>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</si>
  <si>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</si>
  <si>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</si>
  <si>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</si>
  <si>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</si>
  <si>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</si>
  <si>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</si>
  <si>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</si>
  <si>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</si>
  <si>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</si>
  <si>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</si>
  <si>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</si>
  <si>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</si>
  <si>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</si>
  <si>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</si>
  <si>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</si>
  <si>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</si>
  <si>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</si>
  <si>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</si>
  <si>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</si>
  <si>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</si>
  <si>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</si>
  <si>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</si>
  <si>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</si>
  <si>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</si>
  <si>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</si>
  <si>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</si>
  <si>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</si>
  <si>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</si>
  <si>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</si>
  <si>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</si>
  <si>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</si>
  <si>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</si>
  <si>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</si>
  <si>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</si>
  <si>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</si>
  <si>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</si>
  <si>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</si>
  <si>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</si>
  <si>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</si>
  <si>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</si>
  <si>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</si>
  <si>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</si>
  <si>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</si>
  <si>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</si>
  <si>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</si>
  <si>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</si>
  <si>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</si>
  <si>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</si>
  <si>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</si>
  <si>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</si>
  <si>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</si>
  <si>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</si>
  <si>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</si>
  <si>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</si>
  <si>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</si>
  <si>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</si>
  <si>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</si>
  <si>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</si>
  <si>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</si>
  <si>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</si>
  <si>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</si>
  <si>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</si>
  <si>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</si>
  <si>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</si>
  <si>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</si>
  <si>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</si>
  <si>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</si>
  <si>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</si>
  <si>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</si>
  <si>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</si>
  <si>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</si>
  <si>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</si>
  <si>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</si>
  <si>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</si>
  <si>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</si>
  <si>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</si>
  <si>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</si>
  <si>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</si>
  <si>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</si>
  <si>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</si>
  <si>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</si>
  <si>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</si>
  <si>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</si>
  <si>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</si>
  <si>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</si>
  <si>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</si>
  <si>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</si>
  <si>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</si>
  <si>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</si>
  <si>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</si>
  <si>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</si>
  <si>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</si>
  <si>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</si>
  <si>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</si>
  <si>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</si>
  <si>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</si>
  <si>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</si>
  <si>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</si>
  <si>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</si>
  <si>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</si>
  <si>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</si>
  <si>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</si>
  <si>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</si>
  <si>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</si>
  <si>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</si>
  <si>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</si>
  <si>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</si>
  <si>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</si>
  <si>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</si>
  <si>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</si>
  <si>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</si>
  <si>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</si>
  <si>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</si>
  <si>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</si>
  <si>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</si>
  <si>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</si>
  <si>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</si>
  <si>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</si>
  <si>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</si>
  <si>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</si>
  <si>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</si>
  <si>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</si>
  <si>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</si>
  <si>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</si>
  <si>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</si>
  <si>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</si>
  <si>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</si>
  <si>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</si>
  <si>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</si>
  <si>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</si>
  <si>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</si>
  <si>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</si>
  <si>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</si>
  <si>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</si>
  <si>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</si>
  <si>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</si>
  <si>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</si>
  <si>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</si>
  <si>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</si>
  <si>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</si>
  <si>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</si>
  <si>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</si>
  <si>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</si>
  <si>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</si>
  <si>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</si>
  <si>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</si>
  <si>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</si>
  <si>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</si>
  <si>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</si>
  <si>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</si>
  <si>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</si>
  <si>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</si>
  <si>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</si>
  <si>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</si>
  <si>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</si>
  <si>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</si>
  <si>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</si>
  <si>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</si>
  <si>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</si>
  <si>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</si>
  <si>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</si>
  <si>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</si>
  <si>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</si>
  <si>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</si>
  <si>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</si>
  <si>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</si>
  <si>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</si>
  <si>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</si>
  <si>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</si>
  <si>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</si>
  <si>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</si>
  <si>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</si>
  <si>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</si>
  <si>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</si>
  <si>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</si>
  <si>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</si>
  <si>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</si>
  <si>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</si>
  <si>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</si>
  <si>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</si>
  <si>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</si>
  <si>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</si>
  <si>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</si>
  <si>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</si>
  <si>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</si>
  <si>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</si>
  <si>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</si>
  <si>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</si>
  <si>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</si>
  <si>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</si>
  <si>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</si>
  <si>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</si>
  <si>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</si>
  <si>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</si>
  <si>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</si>
  <si>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</si>
  <si>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</si>
  <si>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</si>
  <si>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</si>
  <si>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</si>
  <si>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</si>
  <si>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</si>
  <si>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</si>
  <si>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</si>
  <si>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</si>
  <si>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</si>
  <si>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</si>
  <si>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</si>
  <si>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</si>
  <si>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</si>
  <si>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</si>
  <si>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</si>
  <si>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</si>
  <si>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</si>
  <si>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</si>
  <si>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</si>
  <si>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</si>
  <si>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</si>
  <si>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</si>
  <si>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</si>
  <si>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</si>
  <si>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</si>
  <si>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</si>
  <si>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</si>
  <si>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</si>
  <si>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</si>
  <si>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</si>
  <si>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</si>
  <si>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</si>
  <si>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</si>
  <si>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</si>
  <si>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</si>
  <si>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</si>
  <si>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</si>
  <si>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</si>
  <si>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</si>
  <si>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</si>
  <si>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</si>
  <si>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</si>
  <si>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</si>
  <si>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</si>
  <si>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</si>
  <si>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</si>
  <si>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</si>
  <si>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</si>
  <si>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</si>
  <si>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</si>
  <si>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</si>
  <si>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</si>
  <si>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</si>
  <si>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</si>
  <si>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</si>
  <si>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</si>
  <si>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</si>
  <si>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</si>
  <si>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</si>
  <si>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</si>
  <si>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</si>
  <si>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</si>
  <si>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</si>
  <si>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</si>
  <si>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</si>
  <si>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</si>
  <si>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</si>
  <si>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</si>
  <si>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</si>
  <si>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</si>
  <si>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</si>
  <si>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</si>
  <si>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</si>
  <si>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</si>
  <si>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</si>
  <si>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</si>
  <si>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</si>
  <si>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</si>
  <si>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</si>
  <si>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</si>
  <si>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</si>
  <si>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</si>
  <si>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</si>
  <si>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</si>
  <si>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</si>
  <si>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</si>
  <si>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</si>
  <si>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</si>
  <si>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</si>
  <si>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</si>
  <si>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</si>
  <si>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</si>
  <si>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</si>
  <si>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</si>
  <si>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</si>
  <si>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</si>
  <si>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</si>
  <si>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</si>
  <si>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</si>
  <si>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</si>
  <si>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</si>
  <si>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</si>
  <si>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</si>
  <si>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</si>
  <si>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</si>
  <si>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</si>
  <si>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</si>
  <si>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</si>
  <si>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</si>
  <si>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</si>
  <si>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</si>
  <si>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</si>
  <si>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</si>
  <si>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</si>
  <si>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</si>
  <si>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</si>
  <si>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</si>
  <si>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</si>
  <si>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</si>
  <si>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</si>
  <si>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</si>
  <si>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</si>
  <si>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</si>
  <si>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</si>
  <si>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</si>
  <si>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</si>
  <si>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</si>
  <si>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</si>
  <si>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</si>
  <si>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</si>
  <si>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</si>
  <si>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</si>
  <si>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</si>
  <si>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</si>
  <si>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</si>
  <si>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</si>
  <si>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</si>
  <si>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</si>
  <si>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</si>
  <si>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</si>
  <si>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</si>
  <si>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</si>
  <si>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</si>
  <si>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</si>
  <si>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</si>
  <si>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</si>
  <si>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</si>
  <si>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</si>
  <si>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</si>
  <si>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</si>
  <si>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</si>
  <si>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</si>
  <si>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</si>
  <si>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</si>
  <si>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</si>
  <si>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</si>
  <si>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</si>
  <si>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</si>
  <si>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</si>
  <si>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</si>
  <si>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</si>
  <si>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</si>
  <si>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</si>
  <si>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</si>
  <si>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</si>
  <si>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</si>
  <si>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</si>
  <si>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</si>
  <si>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</si>
  <si>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</si>
  <si>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</si>
  <si>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</si>
  <si>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</si>
  <si>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</si>
  <si>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</si>
  <si>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</si>
  <si>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</si>
  <si>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</si>
  <si>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</si>
  <si>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</si>
  <si>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</si>
  <si>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</si>
  <si>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</si>
  <si>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</si>
  <si>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</si>
  <si>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</si>
  <si>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</si>
  <si>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</si>
  <si>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</si>
  <si>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</si>
  <si>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</si>
  <si>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</si>
  <si>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</si>
  <si>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</si>
  <si>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</si>
  <si>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</si>
  <si>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</si>
  <si>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</si>
  <si>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</si>
  <si>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</si>
  <si>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</si>
  <si>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</si>
  <si>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</si>
  <si>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</si>
  <si>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</si>
  <si>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</si>
  <si>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</si>
  <si>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</si>
  <si>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</si>
  <si>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</si>
  <si>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</si>
  <si>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</si>
  <si>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</si>
  <si>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</si>
  <si>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</si>
  <si>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</si>
  <si>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</si>
  <si>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</si>
  <si>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</si>
  <si>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</si>
  <si>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</si>
  <si>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</si>
  <si>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</si>
  <si>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</si>
  <si>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</si>
  <si>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</si>
  <si>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</si>
  <si>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</si>
  <si>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</si>
  <si>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</si>
  <si>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</si>
  <si>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</si>
  <si>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</si>
  <si>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</si>
  <si>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</si>
  <si>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</si>
  <si>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</si>
  <si>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</si>
  <si>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</si>
  <si>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</si>
  <si>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</si>
  <si>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</si>
  <si>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</si>
  <si>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</si>
  <si>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</si>
  <si>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</si>
  <si>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</si>
  <si>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</si>
  <si>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</si>
  <si>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</si>
  <si>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</si>
  <si>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</si>
  <si>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</si>
  <si>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</si>
  <si>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</si>
  <si>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</si>
  <si>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</si>
  <si>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</si>
  <si>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</si>
  <si>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</si>
  <si>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</si>
  <si>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</si>
  <si>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</si>
  <si>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</si>
  <si>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</si>
  <si>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</si>
  <si>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</si>
  <si>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</si>
  <si>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</si>
  <si>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</si>
  <si>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</si>
  <si>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</si>
  <si>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</si>
  <si>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</si>
  <si>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</si>
  <si>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</si>
  <si>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</si>
  <si>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</si>
  <si>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</si>
  <si>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</si>
  <si>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</si>
  <si>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</si>
  <si>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</si>
  <si>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</si>
  <si>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</si>
  <si>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</si>
  <si>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</si>
  <si>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</si>
  <si>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</si>
  <si>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</si>
  <si>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</si>
  <si>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</si>
  <si>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</si>
  <si>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</si>
  <si>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</si>
  <si>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</si>
  <si>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</si>
  <si>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</si>
  <si>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</si>
  <si>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</si>
  <si>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</si>
  <si>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</si>
  <si>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</si>
  <si>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</si>
  <si>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</si>
  <si>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</si>
  <si>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</si>
  <si>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</si>
  <si>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</si>
  <si>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</si>
  <si>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</si>
  <si>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</si>
  <si>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</si>
  <si>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</si>
  <si>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</si>
  <si>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</si>
  <si>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</si>
  <si>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</si>
  <si>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</si>
  <si>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</si>
  <si>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</si>
  <si>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</si>
  <si>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</si>
  <si>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</si>
  <si>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</si>
  <si>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</si>
  <si>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</si>
  <si>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</si>
  <si>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</si>
  <si>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</si>
  <si>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</si>
  <si>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</si>
  <si>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</si>
  <si>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</si>
  <si>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</si>
  <si>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</si>
  <si>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</si>
  <si>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</si>
  <si>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</si>
  <si>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</si>
  <si>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</si>
  <si>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</si>
  <si>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</si>
  <si>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</si>
  <si>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</si>
  <si>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</si>
  <si>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</si>
  <si>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</si>
  <si>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</si>
  <si>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</si>
  <si>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</si>
  <si>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</si>
  <si>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</si>
  <si>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</si>
  <si>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</si>
  <si>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</si>
  <si>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</si>
  <si>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</si>
  <si>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</si>
  <si>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</si>
  <si>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</si>
  <si>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</si>
  <si>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</si>
  <si>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Total Electricity Generation by Fuel from EIA for Carolina-Virginia</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</si>
  <si>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</si>
  <si>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</si>
  <si>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</si>
  <si>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</si>
  <si>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</si>
  <si>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</si>
  <si>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</si>
  <si>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</si>
  <si>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</si>
  <si>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</si>
  <si>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</si>
  <si>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</si>
  <si>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</si>
  <si>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Generation from EIA Virginia-Carolina from EIA</t>
  </si>
  <si>
    <t>Energy</t>
  </si>
  <si>
    <t>Proportion for North Carolina</t>
  </si>
  <si>
    <t>Contribution of South Carolina</t>
  </si>
  <si>
    <t>Total Electricity Generation by Fuel by computation for South Carolina</t>
  </si>
  <si>
    <t>Solar percentage no solar</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</si>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</sst>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s>
  <cellStyleXfs count="1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68">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67" fontId="21" fillId="2" borderId="1" xfId="10" applyNumberFormat="1" applyFont="1" applyFill="1" applyBorder="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2" fillId="7" borderId="0" xfId="0" applyFont="1" applyFill="1"/>
    <xf numFmtId="0" fontId="22" fillId="7" borderId="0" xfId="0" applyFont="1" applyFill="1" applyAlignment="1">
      <alignment horizontal="center"/>
    </xf>
    <xf numFmtId="165" fontId="22" fillId="7" borderId="0" xfId="0" applyNumberFormat="1" applyFont="1" applyFill="1" applyAlignment="1">
      <alignment horizontal="center"/>
    </xf>
    <xf numFmtId="165" fontId="22" fillId="7" borderId="0" xfId="0" applyNumberFormat="1" applyFont="1" applyFill="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65" fontId="22" fillId="7" borderId="5" xfId="0" applyNumberFormat="1" applyFont="1" applyFill="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10" fontId="2" fillId="0" borderId="0" xfId="4" applyNumberFormat="1" applyFont="1" applyFill="1"/>
    <xf numFmtId="2" fontId="43" fillId="2" borderId="52" xfId="0" applyNumberFormat="1" applyFont="1" applyFill="1" applyBorder="1" applyAlignment="1">
      <alignment horizontal="right" vertical="center"/>
    </xf>
    <xf numFmtId="2" fontId="43" fillId="2" borderId="54"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2" fontId="44" fillId="2" borderId="0" xfId="0" applyNumberFormat="1" applyFont="1" applyFill="1" applyAlignment="1">
      <alignment horizontal="right" vertical="center"/>
    </xf>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168" fontId="28" fillId="2" borderId="53" xfId="0" applyNumberFormat="1" applyFont="1" applyFill="1" applyBorder="1" applyAlignment="1">
      <alignment wrapText="1"/>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0" fontId="0" fillId="0" borderId="0" xfId="0" applyAlignment="1">
      <alignment horizontal="center"/>
    </xf>
    <xf numFmtId="0" fontId="1" fillId="0" borderId="0" xfId="6" applyFont="1"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9" fontId="1" fillId="0" borderId="0" xfId="6" applyNumberFormat="1" applyFont="1"/>
    <xf numFmtId="2" fontId="1" fillId="0" borderId="0" xfId="6" applyNumberFormat="1" applyFont="1"/>
  </cellXfs>
  <cellStyles count="16">
    <cellStyle name="Comma" xfId="1" builtinId="3"/>
    <cellStyle name="Comma 2" xfId="2"/>
    <cellStyle name="Followed Hyperlink" xfId="13" builtinId="9" hidden="1"/>
    <cellStyle name="Followed Hyperlink" xfId="15" builtinId="9" hidden="1"/>
    <cellStyle name="Hyperlink" xfId="12" builtinId="8" hidden="1"/>
    <cellStyle name="Hyperlink" xfId="1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08435896"/>
        <c:axId val="2108438760"/>
      </c:lineChart>
      <c:catAx>
        <c:axId val="2108435896"/>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08438760"/>
        <c:crosses val="autoZero"/>
        <c:auto val="1"/>
        <c:lblAlgn val="ctr"/>
        <c:lblOffset val="100"/>
        <c:noMultiLvlLbl val="0"/>
      </c:catAx>
      <c:valAx>
        <c:axId val="2108438760"/>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08435896"/>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112510488"/>
        <c:axId val="2112513544"/>
      </c:lineChart>
      <c:catAx>
        <c:axId val="211251048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2513544"/>
        <c:crosses val="autoZero"/>
        <c:auto val="1"/>
        <c:lblAlgn val="ctr"/>
        <c:lblOffset val="100"/>
        <c:noMultiLvlLbl val="0"/>
      </c:catAx>
      <c:valAx>
        <c:axId val="2112513544"/>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2510488"/>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opLeftCell="A18"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2"/>
      <c r="B1" s="532"/>
      <c r="C1" s="532"/>
      <c r="D1" s="532"/>
      <c r="E1" s="532"/>
      <c r="F1" s="532"/>
      <c r="G1" s="532"/>
      <c r="H1" s="532"/>
      <c r="I1" s="532"/>
      <c r="J1" s="532"/>
      <c r="K1" s="532"/>
      <c r="L1" s="532"/>
      <c r="M1" s="532"/>
      <c r="N1" s="532"/>
      <c r="O1" s="532"/>
      <c r="P1" s="532"/>
      <c r="Q1" s="532"/>
      <c r="R1" s="532"/>
      <c r="S1" s="532"/>
      <c r="T1" s="532"/>
    </row>
    <row r="2" spans="1:20" ht="113.25" customHeight="1">
      <c r="A2" s="532"/>
      <c r="B2" s="532"/>
      <c r="C2" s="532"/>
      <c r="D2" s="532"/>
      <c r="E2" s="532"/>
      <c r="F2" s="532"/>
      <c r="G2" s="532"/>
      <c r="H2" s="532"/>
      <c r="I2" s="532"/>
      <c r="J2" s="532"/>
      <c r="K2" s="532"/>
      <c r="L2" s="532"/>
      <c r="M2" s="532"/>
      <c r="N2" s="532"/>
      <c r="O2" s="532"/>
      <c r="P2" s="119"/>
      <c r="Q2" s="119"/>
      <c r="R2" s="119"/>
      <c r="S2" s="119"/>
      <c r="T2" s="119"/>
    </row>
    <row r="3" spans="1:20" ht="15" thickBot="1">
      <c r="C3" s="110"/>
      <c r="D3"/>
      <c r="E3" s="110"/>
      <c r="F3" s="110"/>
      <c r="G3" s="110"/>
      <c r="H3" s="110"/>
      <c r="I3" s="248"/>
      <c r="J3" s="248"/>
      <c r="K3" s="248"/>
      <c r="L3" s="172"/>
      <c r="M3" s="7" t="s">
        <v>0</v>
      </c>
    </row>
    <row r="4" spans="1:20" ht="15" thickBot="1">
      <c r="C4" s="117" t="s">
        <v>141</v>
      </c>
      <c r="D4" s="124"/>
      <c r="E4" s="119"/>
      <c r="F4" s="110"/>
      <c r="G4" s="110"/>
      <c r="H4" s="163" t="s">
        <v>0</v>
      </c>
      <c r="I4" s="248"/>
      <c r="J4" s="248"/>
      <c r="K4" s="248"/>
      <c r="L4" s="172"/>
      <c r="M4" t="s">
        <v>0</v>
      </c>
      <c r="Q4" t="s">
        <v>0</v>
      </c>
      <c r="R4" t="s">
        <v>0</v>
      </c>
    </row>
    <row r="5" spans="1:20">
      <c r="B5" s="1" t="s">
        <v>1</v>
      </c>
      <c r="C5" s="110" t="s">
        <v>707</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382</v>
      </c>
      <c r="C7" s="211" t="s">
        <v>554</v>
      </c>
      <c r="D7" s="114">
        <f>'Output - Jobs vs Yr (BAU)'!X4/'Output - Jobs vs Yr (BAU)'!C4-1</f>
        <v>0.28043978644690792</v>
      </c>
      <c r="E7" s="92" t="s">
        <v>518</v>
      </c>
      <c r="F7" s="109"/>
      <c r="G7" s="109"/>
      <c r="H7" s="29" t="s">
        <v>0</v>
      </c>
      <c r="I7" s="29"/>
      <c r="J7" s="29"/>
      <c r="K7" s="29"/>
      <c r="L7" s="29"/>
      <c r="M7" s="7" t="s">
        <v>0</v>
      </c>
      <c r="N7" t="s">
        <v>0</v>
      </c>
      <c r="O7" t="s">
        <v>0</v>
      </c>
      <c r="P7" t="s">
        <v>0</v>
      </c>
    </row>
    <row r="8" spans="1:20" ht="15" thickBot="1">
      <c r="B8" s="1" t="s">
        <v>367</v>
      </c>
      <c r="C8" s="109"/>
      <c r="D8" s="104" t="s">
        <v>342</v>
      </c>
      <c r="E8" s="504" t="s">
        <v>717</v>
      </c>
      <c r="F8" s="109"/>
      <c r="G8" s="504" t="s">
        <v>718</v>
      </c>
      <c r="H8"/>
      <c r="I8"/>
      <c r="J8"/>
      <c r="K8"/>
      <c r="L8"/>
      <c r="M8" t="s">
        <v>0</v>
      </c>
      <c r="N8" t="s">
        <v>0</v>
      </c>
      <c r="O8" s="111" t="s">
        <v>0</v>
      </c>
      <c r="P8" s="31" t="s">
        <v>0</v>
      </c>
    </row>
    <row r="9" spans="1:20" ht="15.75" hidden="1" customHeight="1" thickBot="1">
      <c r="B9" s="43" t="s">
        <v>367</v>
      </c>
      <c r="C9" s="110"/>
      <c r="D9" s="114" t="e">
        <f>'Output - Jobs vs Yr (BAU)'!X6/'Output - Jobs vs Yr (BAU)'!C6-1</f>
        <v>#DIV/0!</v>
      </c>
      <c r="E9" s="109"/>
      <c r="F9" s="109"/>
      <c r="G9" s="109"/>
      <c r="H9"/>
      <c r="I9"/>
      <c r="J9"/>
      <c r="K9"/>
      <c r="L9"/>
      <c r="M9"/>
      <c r="O9" s="102"/>
    </row>
    <row r="10" spans="1:20" ht="15.75" hidden="1" customHeight="1" thickBot="1">
      <c r="B10" s="93" t="s">
        <v>351</v>
      </c>
      <c r="C10" s="110"/>
      <c r="D10" s="43"/>
      <c r="E10" s="109"/>
      <c r="F10" s="109"/>
      <c r="G10" s="109"/>
      <c r="H10"/>
      <c r="I10"/>
      <c r="J10"/>
      <c r="K10"/>
      <c r="L10"/>
      <c r="M10"/>
      <c r="O10" s="102"/>
    </row>
    <row r="11" spans="1:20" ht="15" thickBot="1">
      <c r="B11" t="s">
        <v>379</v>
      </c>
      <c r="C11" s="126">
        <v>0.05</v>
      </c>
      <c r="D11" s="125">
        <f>'Output - Jobs vs Yr (BAU)'!N18/'Output -Jobs vs Yr'!N14</f>
        <v>4.0094744249716013E-2</v>
      </c>
      <c r="E11" s="503">
        <f>(7.7/3)^(1/6)</f>
        <v>1.1701141873017888</v>
      </c>
      <c r="F11" s="109"/>
      <c r="G11" s="500">
        <f>(12.5/3)^(1/6)</f>
        <v>1.2685223586294079</v>
      </c>
      <c r="H11"/>
      <c r="I11"/>
      <c r="J11"/>
      <c r="K11"/>
      <c r="L11"/>
      <c r="M11" t="s">
        <v>0</v>
      </c>
      <c r="N11" t="s">
        <v>0</v>
      </c>
      <c r="O11" s="111" t="s">
        <v>0</v>
      </c>
      <c r="P11" s="31" t="s">
        <v>0</v>
      </c>
    </row>
    <row r="12" spans="1:20" ht="15" thickBot="1">
      <c r="B12" t="s">
        <v>380</v>
      </c>
      <c r="C12" s="210">
        <v>7.0000000000000007E-2</v>
      </c>
      <c r="D12" s="125">
        <f>'Output - Jobs vs Yr (BAU)'!X18/'Output -Jobs vs Yr'!X14</f>
        <v>5.0651929752488278E-2</v>
      </c>
      <c r="E12" s="503">
        <f>(D12/D11)^(1/10)</f>
        <v>1.0236485010628933</v>
      </c>
      <c r="F12" s="109"/>
      <c r="G12" s="501">
        <f>(C12/C11)^(1/10)</f>
        <v>1.0342196941293802</v>
      </c>
      <c r="H12"/>
      <c r="I12"/>
      <c r="J12"/>
      <c r="K12"/>
      <c r="L12"/>
      <c r="M12" t="s">
        <v>0</v>
      </c>
      <c r="N12" t="s">
        <v>0</v>
      </c>
      <c r="O12" s="111" t="s">
        <v>0</v>
      </c>
      <c r="P12" s="31" t="s">
        <v>0</v>
      </c>
    </row>
    <row r="13" spans="1:20" ht="15" thickBot="1">
      <c r="B13" t="s">
        <v>577</v>
      </c>
      <c r="C13" s="211">
        <v>7.0000000000000007E-2</v>
      </c>
      <c r="D13" s="173">
        <f>'Output - Jobs vs Yr (BAU)'!AH18/'Output -Jobs vs Yr'!AH14</f>
        <v>4.9300152043848015E-2</v>
      </c>
      <c r="E13" s="503">
        <f>(D13/D12)^(1/10)</f>
        <v>0.9972986387980125</v>
      </c>
      <c r="F13" s="109"/>
      <c r="G13" s="502">
        <f>(C13/C12)^(1/10)</f>
        <v>1</v>
      </c>
      <c r="H13"/>
      <c r="I13"/>
      <c r="J13"/>
      <c r="K13"/>
      <c r="L13"/>
      <c r="M13"/>
      <c r="O13" s="111"/>
      <c r="P13" s="31"/>
    </row>
    <row r="14" spans="1:20">
      <c r="B14" t="s">
        <v>578</v>
      </c>
      <c r="C14" s="247"/>
      <c r="D14" s="173"/>
      <c r="E14" s="109"/>
      <c r="F14" s="109"/>
      <c r="G14" s="109"/>
      <c r="H14"/>
      <c r="I14"/>
      <c r="J14"/>
      <c r="K14"/>
      <c r="L14"/>
      <c r="M14"/>
      <c r="O14" s="111"/>
      <c r="P14" s="31"/>
    </row>
    <row r="15" spans="1:20" ht="15" thickBot="1">
      <c r="C15" s="4" t="s">
        <v>0</v>
      </c>
      <c r="D15" s="32"/>
      <c r="E15" s="4"/>
      <c r="F15" s="95" t="s">
        <v>0</v>
      </c>
      <c r="G15" s="95"/>
      <c r="H15" s="4"/>
      <c r="I15" s="4"/>
      <c r="J15" s="4"/>
      <c r="K15" s="4"/>
      <c r="L15" s="4"/>
      <c r="N15" t="s">
        <v>712</v>
      </c>
      <c r="O15" s="31" t="s">
        <v>712</v>
      </c>
      <c r="P15" s="31" t="s">
        <v>713</v>
      </c>
      <c r="Q15" t="s">
        <v>710</v>
      </c>
    </row>
    <row r="16" spans="1:20" ht="15" thickBot="1">
      <c r="B16" s="32" t="s">
        <v>362</v>
      </c>
      <c r="C16" s="106" t="s">
        <v>365</v>
      </c>
      <c r="D16" s="104" t="s">
        <v>534</v>
      </c>
      <c r="E16" s="104" t="s">
        <v>363</v>
      </c>
      <c r="F16" s="104" t="s">
        <v>358</v>
      </c>
      <c r="G16" s="104" t="s">
        <v>544</v>
      </c>
      <c r="H16" s="104" t="s">
        <v>363</v>
      </c>
      <c r="I16" s="104" t="s">
        <v>706</v>
      </c>
      <c r="J16" s="104" t="s">
        <v>705</v>
      </c>
      <c r="K16" s="104" t="s">
        <v>363</v>
      </c>
      <c r="L16" s="104"/>
      <c r="M16" s="44" t="s">
        <v>257</v>
      </c>
      <c r="N16" s="296">
        <v>2020</v>
      </c>
      <c r="O16" s="296">
        <v>2030</v>
      </c>
      <c r="P16" s="296">
        <v>2040</v>
      </c>
      <c r="Q16" s="199">
        <v>2031</v>
      </c>
    </row>
    <row r="17" spans="2:17" ht="15" thickBot="1">
      <c r="B17" t="s">
        <v>352</v>
      </c>
      <c r="C17" s="196">
        <f>D17*$C$11/$D$11</f>
        <v>4.840211189355656E-2</v>
      </c>
      <c r="D17" s="127">
        <f>'Output - Jobs vs Yr (BAU)'!N10/'Output -Jobs vs Yr'!$N$14</f>
        <v>3.8813405950365761E-2</v>
      </c>
      <c r="E17" s="105">
        <f t="shared" ref="E17:E23" si="0">IF($C$24&lt;&gt;0,C17/$C$24,0)</f>
        <v>0.96804223787113119</v>
      </c>
      <c r="F17" s="173">
        <f>C17*$C$12/$C$11</f>
        <v>6.7762956650979186E-2</v>
      </c>
      <c r="G17" s="105">
        <f>'Output - Jobs vs Yr (BAU)'!X10/'Output - Jobs vs Yr (BAU)'!X24</f>
        <v>4.952054429998233E-2</v>
      </c>
      <c r="H17" s="105">
        <f t="shared" ref="H17:H23" si="1">G17/$G$24</f>
        <v>0.97766579281837496</v>
      </c>
      <c r="I17" s="173">
        <f>F17*$C$13/$C$12</f>
        <v>6.7762956650979186E-2</v>
      </c>
      <c r="J17" s="105">
        <f>'Output - Jobs vs Yr (BAU)'!AH10/'Output - Jobs vs Yr (BAU)'!AH24</f>
        <v>4.8256161967700863E-2</v>
      </c>
      <c r="K17" s="105">
        <f>J17/$J$24</f>
        <v>0.97882450758800499</v>
      </c>
      <c r="L17" s="105"/>
      <c r="M17" s="45" t="s">
        <v>259</v>
      </c>
      <c r="N17" s="86">
        <f>HLOOKUP(N16,'Output -Jobs vs Yr'!$H$175:$AH$184,9)</f>
        <v>111.83955381748638</v>
      </c>
      <c r="O17" s="86">
        <f>HLOOKUP(O16,'Output -Jobs vs Yr'!$H$175:$AH$184,9)</f>
        <v>240.10902648876072</v>
      </c>
      <c r="P17" s="86">
        <f>HLOOKUP(P16,'Output -Jobs vs Yr'!$H$175:$AH$184,9)</f>
        <v>272.31672418760718</v>
      </c>
      <c r="Q17" s="86">
        <f>HLOOKUP(Q16,'Output -Jobs vs Yr'!$H$175:$AH$184,9)</f>
        <v>224.52078313018137</v>
      </c>
    </row>
    <row r="18" spans="2:17" ht="15" thickBot="1">
      <c r="B18" s="4" t="s">
        <v>353</v>
      </c>
      <c r="C18" s="196">
        <f>D18*$C$11/$D$11</f>
        <v>1.0758908745270214E-7</v>
      </c>
      <c r="D18" s="127">
        <f>'Output - Jobs vs Yr (BAU)'!N15/'Output -Jobs vs Yr'!$N$14</f>
        <v>8.6275138909528449E-8</v>
      </c>
      <c r="E18" s="105">
        <f t="shared" si="0"/>
        <v>2.1517817490540429E-6</v>
      </c>
      <c r="F18" s="173">
        <f t="shared" ref="F18:F23" si="2">C18*$C$12/$C$11</f>
        <v>1.50624722433783E-7</v>
      </c>
      <c r="G18" s="105">
        <f>'Output - Jobs vs Yr (BAU)'!X15/'Output - Jobs vs Yr (BAU)'!X24</f>
        <v>7.7246726869997085E-8</v>
      </c>
      <c r="H18" s="105">
        <f t="shared" si="1"/>
        <v>1.5250535618205456E-6</v>
      </c>
      <c r="I18" s="173">
        <f t="shared" ref="I18:I24" si="3">F18*$C$13/$C$12</f>
        <v>1.50624722433783E-7</v>
      </c>
      <c r="J18" s="105">
        <f>'Output - Jobs vs Yr (BAU)'!AH15/'Output - Jobs vs Yr (BAU)'!AH24</f>
        <v>7.2696637073540697E-8</v>
      </c>
      <c r="K18" s="105">
        <f t="shared" ref="K18:K24" si="4">J18/$J$24</f>
        <v>1.474573341212669E-6</v>
      </c>
      <c r="L18" s="105"/>
      <c r="M18" s="46" t="s">
        <v>260</v>
      </c>
      <c r="N18" s="87">
        <f>HLOOKUP(N16,'Output -Jobs vs Yr'!$H$175:$AH$184,10)</f>
        <v>100.65526173325452</v>
      </c>
      <c r="O18" s="87">
        <f>HLOOKUP(O16,'Output -Jobs vs Yr'!$H$175:$AH$184,10)</f>
        <v>216.09759736345222</v>
      </c>
      <c r="P18" s="87">
        <f>HLOOKUP(P16,'Output -Jobs vs Yr'!$H$175:$AH$184,10)</f>
        <v>245.08449233931242</v>
      </c>
      <c r="Q18" s="87">
        <f>HLOOKUP(Q16,'Output -Jobs vs Yr'!$H$175:$AH$184,10)</f>
        <v>202.06817886349927</v>
      </c>
    </row>
    <row r="19" spans="2:17" ht="15" thickBot="1">
      <c r="B19" s="4" t="s">
        <v>354</v>
      </c>
      <c r="C19" s="196">
        <f>D19*$C$11/$D$11</f>
        <v>1.0758908745270216E-9</v>
      </c>
      <c r="D19" s="127">
        <f>'Output - Jobs vs Yr (BAU)'!N11/'Output -Jobs vs Yr'!$N$14</f>
        <v>8.6275138909528458E-10</v>
      </c>
      <c r="E19" s="105">
        <f t="shared" si="0"/>
        <v>2.151781749054043E-8</v>
      </c>
      <c r="F19" s="173">
        <f t="shared" si="2"/>
        <v>1.5062472243378303E-9</v>
      </c>
      <c r="G19" s="105">
        <f>'Output - Jobs vs Yr (BAU)'!X11/'Output - Jobs vs Yr (BAU)'!X24</f>
        <v>7.7246726869997096E-10</v>
      </c>
      <c r="H19" s="105">
        <f t="shared" si="1"/>
        <v>1.5250535618205457E-8</v>
      </c>
      <c r="I19" s="173">
        <f t="shared" si="3"/>
        <v>1.5062472243378303E-9</v>
      </c>
      <c r="J19" s="105">
        <f>'Output - Jobs vs Yr (BAU)'!AH11/'Output - Jobs vs Yr (BAU)'!AH24</f>
        <v>7.2696637073540708E-10</v>
      </c>
      <c r="K19" s="105">
        <f t="shared" si="4"/>
        <v>1.4745733412126692E-8</v>
      </c>
      <c r="L19" s="105"/>
      <c r="M19" s="46" t="s">
        <v>261</v>
      </c>
      <c r="N19" s="87">
        <f>HLOOKUP(N16,'Output -Jobs vs Yr'!$H$175:$AH$184,8)</f>
        <v>212.4948155507409</v>
      </c>
      <c r="O19" s="87">
        <f>HLOOKUP(O16,'Output -Jobs vs Yr'!$H$175:$AH$184,8)</f>
        <v>456.20662385221658</v>
      </c>
      <c r="P19" s="87">
        <f>HLOOKUP(P16,'Output -Jobs vs Yr'!$H$175:$AH$184,8)</f>
        <v>517.40121652691596</v>
      </c>
      <c r="Q19" s="87">
        <f>HLOOKUP(Q16,'Output -Jobs vs Yr'!$H$175:$AH$184,8)</f>
        <v>426.58896199368246</v>
      </c>
    </row>
    <row r="20" spans="2:17" ht="15" thickBot="1">
      <c r="B20" s="4" t="s">
        <v>51</v>
      </c>
      <c r="C20" s="196">
        <f>D20*$C$11/$D$11</f>
        <v>1.594510759808395E-3</v>
      </c>
      <c r="D20" s="127">
        <f>'Output - Jobs vs Yr (BAU)'!N12/'Output -Jobs vs Yr'!$N$14</f>
        <v>1.2786300223587589E-3</v>
      </c>
      <c r="E20" s="105">
        <f t="shared" si="0"/>
        <v>3.1890215196167894E-2</v>
      </c>
      <c r="F20" s="173">
        <f t="shared" si="2"/>
        <v>2.2323150637317533E-3</v>
      </c>
      <c r="G20" s="105">
        <f>'Output - Jobs vs Yr (BAU)'!X12/'Output - Jobs vs Yr (BAU)'!X24</f>
        <v>1.1288410182906687E-3</v>
      </c>
      <c r="H20" s="105">
        <f t="shared" si="1"/>
        <v>2.2286290765052074E-2</v>
      </c>
      <c r="I20" s="173">
        <f t="shared" si="3"/>
        <v>2.2323150637317533E-3</v>
      </c>
      <c r="J20" s="105">
        <f>'Output - Jobs vs Yr (BAU)'!AH12/'Output - Jobs vs Yr (BAU)'!AH24</f>
        <v>1.0431169471886194E-3</v>
      </c>
      <c r="K20" s="105">
        <f t="shared" si="4"/>
        <v>2.11585088940974E-2</v>
      </c>
      <c r="L20" s="105"/>
      <c r="M20" s="47" t="s">
        <v>458</v>
      </c>
      <c r="N20" s="88">
        <f>HLOOKUP(N16,'Output -Jobs vs Yr'!$H$175:$AH$188,11)-HLOOKUP(N16,'Output -Jobs vs Yr'!$H$175:$AH$188,14)</f>
        <v>812.05844646633705</v>
      </c>
      <c r="O20" s="88">
        <f>HLOOKUP(O16,'Output -Jobs vs Yr'!$H$175:$AH$188,11)-HLOOKUP(O16,'Output -Jobs vs Yr'!$H$175:$AH$188,14)</f>
        <v>2789.3361278673474</v>
      </c>
      <c r="P20" s="88">
        <f>HLOOKUP(P16,'Output -Jobs vs Yr'!$H$175:$AH$188,11)-HLOOKUP(P16,'Output -Jobs vs Yr'!$H$175:$AH$188,14)</f>
        <v>7332.7761599609403</v>
      </c>
      <c r="Q20" s="88">
        <f>HLOOKUP(Q16,'Output -Jobs vs Yr'!$H$175:$AH$188,11)-HLOOKUP(Q16,'Output -Jobs vs Yr'!$H$175:$AH$188,14)</f>
        <v>3215.9250898610298</v>
      </c>
    </row>
    <row r="21" spans="2:17" ht="15" thickBot="1">
      <c r="B21" t="s">
        <v>355</v>
      </c>
      <c r="C21" s="196">
        <f t="shared" ref="C21:C23" si="5">D21*$C$11/$D$11</f>
        <v>2.1517817490540433E-6</v>
      </c>
      <c r="D21" s="127">
        <f>'Output - Jobs vs Yr (BAU)'!N13/'Output -Jobs vs Yr'!$N$14</f>
        <v>1.7255027781905692E-6</v>
      </c>
      <c r="E21" s="105">
        <f t="shared" si="0"/>
        <v>4.3035634981080863E-5</v>
      </c>
      <c r="F21" s="173">
        <f t="shared" si="2"/>
        <v>3.012494448675661E-6</v>
      </c>
      <c r="G21" s="105">
        <f>'Output - Jobs vs Yr (BAU)'!X13/'Output - Jobs vs Yr (BAU)'!X24</f>
        <v>1.5449345373999419E-6</v>
      </c>
      <c r="H21" s="105">
        <f t="shared" si="1"/>
        <v>3.0501071236410916E-5</v>
      </c>
      <c r="I21" s="173">
        <f t="shared" si="3"/>
        <v>3.012494448675661E-6</v>
      </c>
      <c r="J21" s="105">
        <f>'Output - Jobs vs Yr (BAU)'!AH13/'Output - Jobs vs Yr (BAU)'!AH24</f>
        <v>0</v>
      </c>
      <c r="K21" s="105">
        <f t="shared" si="4"/>
        <v>0</v>
      </c>
      <c r="L21" s="105"/>
      <c r="N21" s="161"/>
    </row>
    <row r="22" spans="2:17" ht="15" thickBot="1">
      <c r="B22" s="4" t="s">
        <v>356</v>
      </c>
      <c r="C22" s="196">
        <f t="shared" si="5"/>
        <v>1.0758908745270217E-6</v>
      </c>
      <c r="D22" s="127">
        <f>'Output - Jobs vs Yr (BAU)'!N14/'Output -Jobs vs Yr'!$N$14</f>
        <v>8.6275138909528462E-7</v>
      </c>
      <c r="E22" s="105">
        <f t="shared" si="0"/>
        <v>2.1517817490540431E-5</v>
      </c>
      <c r="F22" s="173">
        <f t="shared" si="2"/>
        <v>1.5062472243378305E-6</v>
      </c>
      <c r="G22" s="105">
        <f>'Output - Jobs vs Yr (BAU)'!X14/'Output - Jobs vs Yr (BAU)'!X24</f>
        <v>7.7246726869997095E-7</v>
      </c>
      <c r="H22" s="105">
        <f t="shared" si="1"/>
        <v>1.5250535618205458E-5</v>
      </c>
      <c r="I22" s="173">
        <f t="shared" si="3"/>
        <v>1.5062472243378305E-6</v>
      </c>
      <c r="J22" s="105">
        <f>'Output - Jobs vs Yr (BAU)'!AH14/'Output - Jobs vs Yr (BAU)'!AH24</f>
        <v>7.2696637073540699E-7</v>
      </c>
      <c r="K22" s="105">
        <f t="shared" si="4"/>
        <v>1.474573341212669E-5</v>
      </c>
      <c r="L22" s="105"/>
      <c r="O22" t="s">
        <v>0</v>
      </c>
    </row>
    <row r="23" spans="2:17" ht="15" thickBot="1">
      <c r="B23" t="s">
        <v>357</v>
      </c>
      <c r="C23" s="196">
        <f t="shared" si="5"/>
        <v>4.1009033135278025E-8</v>
      </c>
      <c r="D23" s="127">
        <f>'Output - Jobs vs Yr (BAU)'!N16/'Output -Jobs vs Yr'!$N$14</f>
        <v>3.288493390974204E-8</v>
      </c>
      <c r="E23" s="105">
        <f t="shared" si="0"/>
        <v>8.2018066270556049E-7</v>
      </c>
      <c r="F23" s="173">
        <f t="shared" si="2"/>
        <v>5.7412646389389237E-8</v>
      </c>
      <c r="G23" s="105">
        <f>'Output - Jobs vs Yr (BAU)'!X16/'Output - Jobs vs Yr (BAU)'!X24</f>
        <v>3.1632341536446633E-8</v>
      </c>
      <c r="H23" s="105">
        <f t="shared" si="1"/>
        <v>6.2450562093160894E-7</v>
      </c>
      <c r="I23" s="173">
        <f t="shared" si="3"/>
        <v>5.7412646389389237E-8</v>
      </c>
      <c r="J23" s="105">
        <f>'Output - Jobs vs Yr (BAU)'!AH16/'Output - Jobs vs Yr (BAU)'!AH24</f>
        <v>3.6899431742424855E-8</v>
      </c>
      <c r="K23" s="105">
        <f t="shared" si="4"/>
        <v>7.4846541110606759E-7</v>
      </c>
      <c r="L23" s="105"/>
      <c r="M23" s="44"/>
      <c r="N23" s="198"/>
      <c r="O23" t="s">
        <v>0</v>
      </c>
    </row>
    <row r="24" spans="2:17">
      <c r="B24" s="108" t="s">
        <v>369</v>
      </c>
      <c r="C24" s="138">
        <f t="shared" ref="C24:H24" si="6">SUM(C17:C23)</f>
        <v>0.05</v>
      </c>
      <c r="D24" s="206">
        <f t="shared" si="6"/>
        <v>4.0094744249716006E-2</v>
      </c>
      <c r="E24" s="201">
        <f t="shared" si="6"/>
        <v>0.99999999999999989</v>
      </c>
      <c r="F24" s="201">
        <f t="shared" si="6"/>
        <v>6.9999999999999993E-2</v>
      </c>
      <c r="G24" s="201">
        <f t="shared" si="6"/>
        <v>5.0651812371614771E-2</v>
      </c>
      <c r="H24" s="105">
        <f t="shared" si="6"/>
        <v>0.99999999999999989</v>
      </c>
      <c r="I24" s="173">
        <f t="shared" si="3"/>
        <v>6.9999999999999993E-2</v>
      </c>
      <c r="J24" s="105">
        <f>SUM(J17:J23)</f>
        <v>4.9300116204295391E-2</v>
      </c>
      <c r="K24" s="105">
        <f t="shared" si="4"/>
        <v>1</v>
      </c>
      <c r="L24" s="105"/>
      <c r="M24" s="44"/>
      <c r="N24" s="44"/>
      <c r="O24" t="s">
        <v>0</v>
      </c>
    </row>
    <row r="25" spans="2:17">
      <c r="B25" s="108"/>
      <c r="C25" s="138" t="str">
        <f>IF(ROUND(C24,3)=ROUND(C11,3),"Great, "&amp;ROUND(C24,3)*100&amp;"% agrees with 2020 RPS % entered above","Please re-adust RPS portfolio to total "&amp;ROUND(C11,3)*100&amp;"% or change 2020 RPS % entered above")</f>
        <v>Great, 5%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372</v>
      </c>
      <c r="C27" s="107"/>
      <c r="D27" s="201" t="s">
        <v>342</v>
      </c>
      <c r="E27" s="107"/>
      <c r="F27" s="98"/>
      <c r="G27" s="135" t="s">
        <v>0</v>
      </c>
      <c r="H27" s="136" t="s">
        <v>0</v>
      </c>
      <c r="I27" s="136"/>
      <c r="J27" s="136"/>
      <c r="K27" s="136"/>
      <c r="L27" s="136"/>
      <c r="M27"/>
    </row>
    <row r="28" spans="2:17" ht="15" thickBot="1">
      <c r="B28" t="s">
        <v>370</v>
      </c>
      <c r="C28" s="209">
        <f>D28</f>
        <v>0.54710000198260356</v>
      </c>
      <c r="D28" s="105">
        <f>('Output - Jobs vs Yr (BAU)'!N8+'Output - Jobs vs Yr (BAU)'!N7)/'Output -Jobs vs Yr'!N14</f>
        <v>0.54710000198260356</v>
      </c>
      <c r="E28" s="137" t="s">
        <v>0</v>
      </c>
      <c r="F28" s="98"/>
      <c r="G28" s="98" t="s">
        <v>0</v>
      </c>
      <c r="H28" s="136" t="s">
        <v>0</v>
      </c>
      <c r="I28" s="136"/>
      <c r="J28" s="136"/>
      <c r="K28" s="136"/>
      <c r="L28" s="136"/>
      <c r="M28"/>
    </row>
    <row r="29" spans="2:17" ht="15" thickBot="1">
      <c r="B29" t="s">
        <v>371</v>
      </c>
      <c r="C29" s="279">
        <f>D29</f>
        <v>0.48984895907559767</v>
      </c>
      <c r="D29" s="105">
        <f>('Output - Jobs vs Yr (BAU)'!X8+'Output - Jobs vs Yr (BAU)'!X7)/'Output -Jobs vs Yr'!X14</f>
        <v>0.48984895907559767</v>
      </c>
      <c r="E29" s="107"/>
      <c r="F29" s="98"/>
      <c r="G29" s="96"/>
      <c r="H29"/>
      <c r="I29"/>
      <c r="J29"/>
      <c r="K29"/>
      <c r="L29"/>
    </row>
    <row r="30" spans="2:17" ht="15" thickBot="1">
      <c r="B30" t="s">
        <v>579</v>
      </c>
      <c r="C30" s="211">
        <f>D30</f>
        <v>0.46696988409282914</v>
      </c>
      <c r="D30" s="105">
        <f>('Output - Jobs vs Yr (BAU)'!AH8+'Output - Jobs vs Yr (BAU)'!AH7)/'Output -Jobs vs Yr'!AH14</f>
        <v>0.46696988409282914</v>
      </c>
      <c r="E30" s="107"/>
      <c r="F30" s="98"/>
      <c r="G30" s="96"/>
      <c r="H30"/>
      <c r="I30"/>
      <c r="J30"/>
      <c r="K30"/>
      <c r="L30"/>
    </row>
    <row r="31" spans="2:17">
      <c r="B31" t="s">
        <v>580</v>
      </c>
      <c r="C31" s="247"/>
      <c r="D31" s="105"/>
      <c r="E31" s="107"/>
      <c r="F31" s="98"/>
      <c r="G31" s="96"/>
      <c r="H31"/>
      <c r="I31"/>
      <c r="J31"/>
      <c r="K31"/>
      <c r="L31"/>
    </row>
    <row r="32" spans="2:17">
      <c r="B32" s="108"/>
      <c r="C32" s="107" t="s">
        <v>0</v>
      </c>
      <c r="D32" s="107"/>
      <c r="E32" s="107"/>
      <c r="F32" s="98"/>
      <c r="G32" s="96"/>
      <c r="H32"/>
      <c r="I32"/>
      <c r="J32"/>
      <c r="K32"/>
      <c r="L32"/>
    </row>
    <row r="33" spans="1:18" ht="15" thickBot="1">
      <c r="B33" s="108" t="s">
        <v>373</v>
      </c>
      <c r="C33" s="107"/>
      <c r="D33" s="201" t="s">
        <v>342</v>
      </c>
      <c r="E33" s="201" t="s">
        <v>536</v>
      </c>
      <c r="F33" s="202" t="s">
        <v>358</v>
      </c>
      <c r="G33" s="203" t="s">
        <v>342</v>
      </c>
      <c r="H33" s="202" t="s">
        <v>706</v>
      </c>
      <c r="I33" s="203" t="s">
        <v>342</v>
      </c>
      <c r="J33" s="164"/>
      <c r="K33" s="164"/>
      <c r="L33" s="164"/>
      <c r="M33" s="7" t="s">
        <v>0</v>
      </c>
    </row>
    <row r="34" spans="1:18" ht="15" thickBot="1">
      <c r="B34" s="4" t="s">
        <v>366</v>
      </c>
      <c r="C34" s="210">
        <f>D34</f>
        <v>0</v>
      </c>
      <c r="D34" s="105">
        <v>0</v>
      </c>
      <c r="E34" s="204">
        <f>'Output -Jobs vs Yr'!N30/'Output -Jobs vs Yr'!N49</f>
        <v>0</v>
      </c>
      <c r="F34" s="201">
        <f>C34*$C$29/$C$28</f>
        <v>0</v>
      </c>
      <c r="G34" s="205">
        <v>0</v>
      </c>
      <c r="H34" s="201">
        <f>F34*$C$30/$C$29</f>
        <v>0</v>
      </c>
      <c r="I34" s="205">
        <v>0</v>
      </c>
      <c r="J34" s="139"/>
      <c r="K34" s="139"/>
      <c r="L34" s="139"/>
    </row>
    <row r="35" spans="1:18" ht="15" thickBot="1">
      <c r="B35" s="4" t="s">
        <v>49</v>
      </c>
      <c r="C35" s="210">
        <f>D35</f>
        <v>2.5725583038143207E-2</v>
      </c>
      <c r="D35" s="105">
        <f>'Output - Jobs vs Yr (BAU)'!N7/'Output -Jobs vs Yr'!N14</f>
        <v>2.5725583038143207E-2</v>
      </c>
      <c r="E35" s="204">
        <f>C35</f>
        <v>2.5725583038143207E-2</v>
      </c>
      <c r="F35" s="201">
        <f>C35*$C$29/$C$28</f>
        <v>2.3033540535881782E-2</v>
      </c>
      <c r="G35" s="205">
        <f>'Output - Jobs vs Yr (BAU)'!X7/'Output - Jobs vs Yr (BAU)'!X24</f>
        <v>2.3033484635739076E-2</v>
      </c>
      <c r="H35" s="201">
        <f>F35*$C$30/$C$29</f>
        <v>2.1957727080988334E-2</v>
      </c>
      <c r="I35" s="205">
        <f>'Output - Jobs vs Yr (BAU)'!AH7/'Output - Jobs vs Yr (BAU)'!AH24</f>
        <v>2.186534555512162E-2</v>
      </c>
      <c r="J35"/>
      <c r="K35"/>
      <c r="L35"/>
    </row>
    <row r="36" spans="1:18" ht="15" thickBot="1">
      <c r="B36" s="4" t="s">
        <v>364</v>
      </c>
      <c r="C36" s="210">
        <f>D36</f>
        <v>0.52137441894446035</v>
      </c>
      <c r="D36" s="105">
        <f>'Output - Jobs vs Yr (BAU)'!N8/'Output -Jobs vs Yr'!N14</f>
        <v>0.52137441894446035</v>
      </c>
      <c r="E36" s="204">
        <f>C36</f>
        <v>0.52137441894446035</v>
      </c>
      <c r="F36" s="201">
        <f>C36*$C$29/$C$28</f>
        <v>0.46681541853971587</v>
      </c>
      <c r="G36" s="205">
        <f>'Output - Jobs vs Yr (BAU)'!X8/'Output - Jobs vs Yr (BAU)'!X24</f>
        <v>0.46681433926299604</v>
      </c>
      <c r="H36" s="201">
        <f>F36*$C$30/$C$29</f>
        <v>0.44501215701184077</v>
      </c>
      <c r="I36" s="205">
        <f>'Output - Jobs vs Yr (BAU)'!AH8/'Output - Jobs vs Yr (BAU)'!AH24</f>
        <v>0.44510419906630561</v>
      </c>
      <c r="J36"/>
      <c r="K36"/>
      <c r="L36"/>
    </row>
    <row r="37" spans="1:18">
      <c r="B37" s="4" t="s">
        <v>368</v>
      </c>
      <c r="C37" s="139">
        <f>SUM(C35:C36)+'Output -Jobs vs Yr'!N30/'Output -Jobs vs Yr'!N49</f>
        <v>0.54710000198260356</v>
      </c>
      <c r="D37" s="105">
        <f>SUM(D34:D36)</f>
        <v>0.54710000198260356</v>
      </c>
      <c r="E37" s="204">
        <f>SUM(E34:E36)</f>
        <v>0.54710000198260356</v>
      </c>
      <c r="F37" s="204">
        <f>SUM(F34:F36)</f>
        <v>0.48984895907559767</v>
      </c>
      <c r="G37" s="204">
        <f>SUM(G34:G36)</f>
        <v>0.4898478238987351</v>
      </c>
      <c r="H37" s="201">
        <f>C37*$C$30/$C$28</f>
        <v>0.46696988409282914</v>
      </c>
      <c r="I37" s="204">
        <f>SUM(I34:I36)</f>
        <v>0.4669695446214272</v>
      </c>
      <c r="J37" s="139"/>
      <c r="K37" s="139"/>
      <c r="L37" s="139"/>
    </row>
    <row r="38" spans="1:18">
      <c r="B38" s="4"/>
      <c r="C38" s="138" t="str">
        <f>IF(ROUND(C37,3)=ROUND(C28,3), "Great, " &amp; ROUND(C37,3)*100 &amp; "% agrees with 2020 Low Carbon % entered above", "Please re-adust Low Carbon portfolio to " &amp; ROUND(C28,3)*100 &amp; "% or change 2020 Low Carbon % above" )</f>
        <v>Great, 54,7%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375</v>
      </c>
      <c r="C40" s="105">
        <f>C24</f>
        <v>0.05</v>
      </c>
      <c r="D40" s="105" t="s">
        <v>0</v>
      </c>
      <c r="E40" s="105" t="s">
        <v>0</v>
      </c>
      <c r="F40" s="105" t="s">
        <v>0</v>
      </c>
      <c r="G40" s="103" t="s">
        <v>0</v>
      </c>
      <c r="H40"/>
      <c r="I40"/>
      <c r="J40"/>
      <c r="K40"/>
      <c r="L40"/>
    </row>
    <row r="41" spans="1:18">
      <c r="B41" s="4" t="s">
        <v>374</v>
      </c>
      <c r="C41" s="105">
        <f>C24+C37</f>
        <v>0.5971000019826036</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522</v>
      </c>
      <c r="F44" s="28"/>
      <c r="G44" s="1"/>
      <c r="H44" s="49">
        <v>9</v>
      </c>
      <c r="I44" s="278"/>
      <c r="J44" s="278"/>
      <c r="K44" s="278"/>
      <c r="L44"/>
      <c r="M44" s="12">
        <f t="shared" ref="M44:M61" si="7">C44+H44*C44</f>
        <v>0.37999999999999995</v>
      </c>
      <c r="N44" s="28" t="s">
        <v>522</v>
      </c>
    </row>
    <row r="45" spans="1:18" ht="15.75" hidden="1" customHeight="1" thickBot="1">
      <c r="B45" s="4" t="s">
        <v>210</v>
      </c>
      <c r="C45" s="41" t="e">
        <f>0.1*#REF!</f>
        <v>#REF!</v>
      </c>
      <c r="D45" s="4"/>
      <c r="E45" s="28" t="s">
        <v>206</v>
      </c>
      <c r="F45" s="28"/>
      <c r="G45" s="110"/>
      <c r="H45" s="49">
        <v>9</v>
      </c>
      <c r="I45" s="278"/>
      <c r="J45" s="278"/>
      <c r="K45" s="278"/>
      <c r="L45"/>
      <c r="M45" s="12" t="e">
        <f t="shared" si="7"/>
        <v>#REF!</v>
      </c>
      <c r="N45" s="28" t="s">
        <v>522</v>
      </c>
    </row>
    <row r="46" spans="1:18" s="1" customFormat="1" ht="15" thickBot="1">
      <c r="A46"/>
      <c r="B46" s="4" t="s">
        <v>121</v>
      </c>
      <c r="C46" s="84">
        <v>0.21</v>
      </c>
      <c r="D46" s="4" t="s">
        <v>0</v>
      </c>
      <c r="E46" s="28" t="s">
        <v>523</v>
      </c>
      <c r="F46" s="28"/>
      <c r="H46" s="49">
        <v>0.9</v>
      </c>
      <c r="I46" s="278"/>
      <c r="J46" s="278"/>
      <c r="K46" s="278"/>
      <c r="L46"/>
      <c r="M46" s="12">
        <f t="shared" si="7"/>
        <v>0.39900000000000002</v>
      </c>
      <c r="N46" s="28" t="s">
        <v>523</v>
      </c>
      <c r="O46"/>
      <c r="P46"/>
      <c r="Q46"/>
      <c r="R46"/>
    </row>
    <row r="47" spans="1:18" s="1" customFormat="1" ht="15" thickBot="1">
      <c r="A47"/>
      <c r="B47" s="4" t="s">
        <v>118</v>
      </c>
      <c r="C47" s="42">
        <v>0.18</v>
      </c>
      <c r="D47" s="4"/>
      <c r="E47" s="28" t="s">
        <v>523</v>
      </c>
      <c r="F47" s="28"/>
      <c r="H47" s="49">
        <v>0.9</v>
      </c>
      <c r="I47" s="278"/>
      <c r="J47" s="278"/>
      <c r="K47" s="278"/>
      <c r="L47"/>
      <c r="M47" s="12">
        <f t="shared" si="7"/>
        <v>0.34199999999999997</v>
      </c>
      <c r="N47" s="28" t="s">
        <v>523</v>
      </c>
      <c r="O47"/>
      <c r="P47"/>
      <c r="Q47"/>
    </row>
    <row r="48" spans="1:18" ht="15" thickBot="1">
      <c r="B48" s="4" t="s">
        <v>49</v>
      </c>
      <c r="C48" s="42">
        <v>0.15</v>
      </c>
      <c r="D48" s="4"/>
      <c r="E48" s="28" t="s">
        <v>523</v>
      </c>
      <c r="F48" s="28"/>
      <c r="G48" s="1"/>
      <c r="H48" s="49">
        <v>0.9</v>
      </c>
      <c r="I48" s="278"/>
      <c r="J48" s="278"/>
      <c r="K48" s="278"/>
      <c r="L48"/>
      <c r="M48" s="12">
        <f t="shared" si="7"/>
        <v>0.28500000000000003</v>
      </c>
      <c r="N48" s="28" t="s">
        <v>523</v>
      </c>
    </row>
    <row r="49" spans="1:17" s="1" customFormat="1" ht="15" thickBot="1">
      <c r="A49"/>
      <c r="B49" s="4" t="s">
        <v>50</v>
      </c>
      <c r="C49" s="42">
        <v>0.25</v>
      </c>
      <c r="D49" s="4" t="s">
        <v>0</v>
      </c>
      <c r="E49" s="28" t="s">
        <v>523</v>
      </c>
      <c r="F49" s="28"/>
      <c r="H49" s="49">
        <v>0.9</v>
      </c>
      <c r="I49" s="278"/>
      <c r="J49" s="278"/>
      <c r="K49" s="278"/>
      <c r="L49"/>
      <c r="M49" s="12">
        <f t="shared" si="7"/>
        <v>0.47499999999999998</v>
      </c>
      <c r="N49" s="28" t="s">
        <v>523</v>
      </c>
      <c r="O49" t="s">
        <v>0</v>
      </c>
      <c r="P49"/>
      <c r="Q49"/>
    </row>
    <row r="50" spans="1:17" s="1" customFormat="1" ht="15.75" hidden="1" customHeight="1" thickBot="1">
      <c r="A50"/>
      <c r="B50" s="4" t="s">
        <v>119</v>
      </c>
      <c r="C50" s="42">
        <v>0.11</v>
      </c>
      <c r="D50" s="4"/>
      <c r="E50" s="28" t="s">
        <v>523</v>
      </c>
      <c r="F50" s="28"/>
      <c r="G50" s="110"/>
      <c r="H50" s="49">
        <v>0.8</v>
      </c>
      <c r="I50" s="278"/>
      <c r="J50" s="278"/>
      <c r="K50" s="278"/>
      <c r="L50"/>
      <c r="M50" s="12">
        <f t="shared" si="7"/>
        <v>0.19800000000000001</v>
      </c>
      <c r="N50" s="28" t="s">
        <v>523</v>
      </c>
      <c r="O50" t="s">
        <v>0</v>
      </c>
      <c r="P50"/>
      <c r="Q50"/>
    </row>
    <row r="51" spans="1:17" s="1" customFormat="1" ht="15" thickBot="1">
      <c r="A51"/>
      <c r="B51" s="4" t="s">
        <v>343</v>
      </c>
      <c r="C51" s="42">
        <v>0.27</v>
      </c>
      <c r="D51" s="4"/>
      <c r="E51" s="28" t="s">
        <v>523</v>
      </c>
      <c r="F51" s="28"/>
      <c r="G51" s="110"/>
      <c r="H51" s="49">
        <v>0.9</v>
      </c>
      <c r="I51" s="278"/>
      <c r="J51" s="278"/>
      <c r="K51" s="278"/>
      <c r="L51"/>
      <c r="M51" s="12">
        <f t="shared" si="7"/>
        <v>0.51300000000000001</v>
      </c>
      <c r="N51" s="28" t="s">
        <v>523</v>
      </c>
      <c r="O51" t="s">
        <v>0</v>
      </c>
      <c r="P51"/>
      <c r="Q51"/>
    </row>
    <row r="52" spans="1:17" s="1" customFormat="1" ht="15" thickBot="1">
      <c r="A52"/>
      <c r="B52" s="4" t="s">
        <v>51</v>
      </c>
      <c r="C52" s="42">
        <v>0.15</v>
      </c>
      <c r="D52" s="4"/>
      <c r="E52" s="28" t="s">
        <v>523</v>
      </c>
      <c r="F52" s="28"/>
      <c r="G52" s="110"/>
      <c r="H52" s="49">
        <v>0.9</v>
      </c>
      <c r="I52" s="278"/>
      <c r="J52" s="278"/>
      <c r="K52" s="278"/>
      <c r="L52"/>
      <c r="M52" s="12">
        <f t="shared" si="7"/>
        <v>0.28500000000000003</v>
      </c>
      <c r="N52" s="28" t="s">
        <v>523</v>
      </c>
      <c r="O52" t="s">
        <v>0</v>
      </c>
      <c r="P52"/>
      <c r="Q52"/>
    </row>
    <row r="53" spans="1:17" ht="15" thickBot="1">
      <c r="B53" s="4" t="s">
        <v>59</v>
      </c>
      <c r="C53" s="42">
        <v>0.14000000000000001</v>
      </c>
      <c r="D53" s="4"/>
      <c r="E53" s="28" t="s">
        <v>523</v>
      </c>
      <c r="F53" s="28"/>
      <c r="G53" s="110"/>
      <c r="H53" s="49">
        <v>0.9</v>
      </c>
      <c r="I53" s="278"/>
      <c r="J53" s="278"/>
      <c r="K53" s="278"/>
      <c r="L53"/>
      <c r="M53" s="162">
        <f t="shared" si="7"/>
        <v>0.26600000000000001</v>
      </c>
      <c r="N53" s="28" t="s">
        <v>523</v>
      </c>
    </row>
    <row r="54" spans="1:17" ht="15" thickBot="1">
      <c r="B54" s="4" t="s">
        <v>347</v>
      </c>
      <c r="C54" s="84">
        <v>0.79</v>
      </c>
      <c r="D54" s="4" t="s">
        <v>0</v>
      </c>
      <c r="E54" s="28" t="s">
        <v>523</v>
      </c>
      <c r="F54" s="28"/>
      <c r="G54" s="110"/>
      <c r="H54" s="49">
        <v>0.9</v>
      </c>
      <c r="I54" s="278"/>
      <c r="J54" s="278"/>
      <c r="K54" s="278"/>
      <c r="L54"/>
      <c r="M54" s="12">
        <f t="shared" si="7"/>
        <v>1.5010000000000001</v>
      </c>
      <c r="N54" s="28" t="s">
        <v>523</v>
      </c>
    </row>
    <row r="55" spans="1:17" ht="15" thickBot="1">
      <c r="B55" s="4" t="s">
        <v>348</v>
      </c>
      <c r="C55" s="84">
        <v>0.23</v>
      </c>
      <c r="D55" s="4"/>
      <c r="E55" s="28" t="s">
        <v>523</v>
      </c>
      <c r="F55" s="28"/>
      <c r="G55" s="110"/>
      <c r="H55" s="49">
        <v>0.9</v>
      </c>
      <c r="I55" s="278"/>
      <c r="J55" s="278"/>
      <c r="K55" s="278"/>
      <c r="L55"/>
      <c r="M55" s="12">
        <f t="shared" si="7"/>
        <v>0.43700000000000006</v>
      </c>
      <c r="N55" s="28" t="s">
        <v>523</v>
      </c>
    </row>
    <row r="56" spans="1:17" ht="15.75" hidden="1" customHeight="1" thickBot="1">
      <c r="B56" s="4" t="s">
        <v>120</v>
      </c>
      <c r="C56" s="42">
        <v>0.11</v>
      </c>
      <c r="D56" s="4"/>
      <c r="E56" s="28" t="s">
        <v>523</v>
      </c>
      <c r="F56" s="28"/>
      <c r="G56" s="110"/>
      <c r="H56" s="49">
        <v>0.8</v>
      </c>
      <c r="I56" s="278"/>
      <c r="J56" s="278"/>
      <c r="K56" s="278"/>
      <c r="L56"/>
      <c r="M56" s="12">
        <f t="shared" si="7"/>
        <v>0.19800000000000001</v>
      </c>
      <c r="N56" s="28"/>
    </row>
    <row r="57" spans="1:17" ht="15" thickBot="1">
      <c r="B57" s="4" t="s">
        <v>53</v>
      </c>
      <c r="C57" s="84">
        <v>0.17</v>
      </c>
      <c r="D57" s="4" t="s">
        <v>0</v>
      </c>
      <c r="E57" s="28" t="s">
        <v>523</v>
      </c>
      <c r="F57" s="28"/>
      <c r="G57" s="110"/>
      <c r="H57" s="49">
        <v>0.9</v>
      </c>
      <c r="I57" s="278"/>
      <c r="J57" s="278"/>
      <c r="K57" s="278"/>
      <c r="L57"/>
      <c r="M57" s="12">
        <f t="shared" si="7"/>
        <v>0.32300000000000006</v>
      </c>
      <c r="N57" s="28" t="s">
        <v>523</v>
      </c>
    </row>
    <row r="58" spans="1:17" ht="15.75" hidden="1" customHeight="1" thickBot="1">
      <c r="B58" s="4" t="s">
        <v>191</v>
      </c>
      <c r="C58" s="41" t="e">
        <f xml:space="preserve"> 0.693 *#REF!</f>
        <v>#REF!</v>
      </c>
      <c r="D58" s="4"/>
      <c r="E58" s="28" t="s">
        <v>206</v>
      </c>
      <c r="F58" s="28"/>
      <c r="G58" s="110"/>
      <c r="H58" s="49">
        <v>0.8</v>
      </c>
      <c r="I58" s="278"/>
      <c r="J58" s="278"/>
      <c r="K58" s="278"/>
      <c r="L58"/>
      <c r="M58" s="12" t="e">
        <f t="shared" si="7"/>
        <v>#REF!</v>
      </c>
      <c r="N58" s="28" t="s">
        <v>523</v>
      </c>
    </row>
    <row r="59" spans="1:17" ht="15.75" hidden="1" customHeight="1" thickBot="1">
      <c r="B59" s="4" t="s">
        <v>246</v>
      </c>
      <c r="C59" s="49" t="e">
        <f xml:space="preserve"> (1/6) *#REF!</f>
        <v>#REF!</v>
      </c>
      <c r="D59" s="4"/>
      <c r="E59" s="28" t="s">
        <v>247</v>
      </c>
      <c r="F59" s="28"/>
      <c r="G59" s="110"/>
      <c r="H59" s="49">
        <v>0.8</v>
      </c>
      <c r="I59" s="278"/>
      <c r="J59" s="278"/>
      <c r="K59" s="278"/>
      <c r="L59"/>
      <c r="M59" s="12" t="e">
        <f t="shared" si="7"/>
        <v>#REF!</v>
      </c>
      <c r="N59" s="28" t="s">
        <v>206</v>
      </c>
    </row>
    <row r="60" spans="1:17" ht="15" thickBot="1">
      <c r="B60" s="4" t="s">
        <v>68</v>
      </c>
      <c r="C60" s="42">
        <v>0.11</v>
      </c>
      <c r="D60" s="4"/>
      <c r="E60" s="28" t="s">
        <v>523</v>
      </c>
      <c r="F60" s="28"/>
      <c r="G60" s="110"/>
      <c r="H60" s="49">
        <v>0.9</v>
      </c>
      <c r="I60" s="278"/>
      <c r="J60" s="278"/>
      <c r="K60" s="278"/>
      <c r="L60"/>
      <c r="M60" s="162">
        <f t="shared" si="7"/>
        <v>0.20900000000000002</v>
      </c>
      <c r="N60" s="28" t="s">
        <v>523</v>
      </c>
    </row>
    <row r="61" spans="1:17" ht="15" thickBot="1">
      <c r="B61" s="4" t="s">
        <v>76</v>
      </c>
      <c r="C61" s="42">
        <v>0.11</v>
      </c>
      <c r="D61" s="4"/>
      <c r="E61" s="28" t="s">
        <v>523</v>
      </c>
      <c r="F61" s="28"/>
      <c r="G61" s="110"/>
      <c r="H61" s="49">
        <v>0.9</v>
      </c>
      <c r="I61" s="278"/>
      <c r="J61" s="278"/>
      <c r="K61" s="278"/>
      <c r="L61"/>
      <c r="M61" s="12">
        <f t="shared" si="7"/>
        <v>0.20900000000000002</v>
      </c>
      <c r="N61" s="28" t="s">
        <v>523</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9"/>
    <col min="6" max="6" width="12.5" style="350"/>
    <col min="7" max="37" width="12.5" style="304"/>
    <col min="38" max="16384" width="12.5" style="5"/>
  </cols>
  <sheetData>
    <row r="1" spans="1:37">
      <c r="A1" s="273" t="s">
        <v>704</v>
      </c>
    </row>
    <row r="2" spans="1:37">
      <c r="A2" s="273" t="s">
        <v>656</v>
      </c>
    </row>
    <row r="3" spans="1:37">
      <c r="A3" s="273" t="s">
        <v>657</v>
      </c>
    </row>
    <row r="5" spans="1:37">
      <c r="A5" s="6" t="s">
        <v>185</v>
      </c>
    </row>
    <row r="6" spans="1:37">
      <c r="A6" s="6" t="s">
        <v>184</v>
      </c>
    </row>
    <row r="9" spans="1:37">
      <c r="AK9" s="305" t="s">
        <v>714</v>
      </c>
    </row>
    <row r="10" spans="1:37">
      <c r="B10" s="351" t="s">
        <v>7</v>
      </c>
      <c r="C10" s="351" t="s">
        <v>8</v>
      </c>
      <c r="D10" s="351" t="s">
        <v>9</v>
      </c>
      <c r="E10" s="351" t="s">
        <v>10</v>
      </c>
      <c r="F10" s="352" t="s">
        <v>11</v>
      </c>
      <c r="G10" s="305" t="s">
        <v>12</v>
      </c>
      <c r="H10" s="305" t="s">
        <v>13</v>
      </c>
      <c r="I10" s="305" t="s">
        <v>14</v>
      </c>
      <c r="J10" s="305" t="s">
        <v>15</v>
      </c>
      <c r="K10" s="305" t="s">
        <v>16</v>
      </c>
      <c r="L10" s="305" t="s">
        <v>17</v>
      </c>
      <c r="M10" s="305" t="s">
        <v>18</v>
      </c>
      <c r="N10" s="305" t="s">
        <v>19</v>
      </c>
      <c r="O10" s="305" t="s">
        <v>20</v>
      </c>
      <c r="P10" s="305" t="s">
        <v>21</v>
      </c>
      <c r="Q10" s="305" t="s">
        <v>22</v>
      </c>
      <c r="R10" s="305" t="s">
        <v>23</v>
      </c>
      <c r="S10" s="305" t="s">
        <v>24</v>
      </c>
      <c r="T10" s="305" t="s">
        <v>25</v>
      </c>
      <c r="U10" s="305" t="s">
        <v>26</v>
      </c>
      <c r="V10" s="305" t="s">
        <v>27</v>
      </c>
      <c r="W10" s="305" t="s">
        <v>28</v>
      </c>
      <c r="X10" s="305" t="s">
        <v>29</v>
      </c>
      <c r="Y10" s="305" t="s">
        <v>30</v>
      </c>
      <c r="Z10" s="305" t="s">
        <v>31</v>
      </c>
      <c r="AA10" s="305" t="s">
        <v>581</v>
      </c>
      <c r="AB10" s="305" t="s">
        <v>582</v>
      </c>
      <c r="AC10" s="305" t="s">
        <v>583</v>
      </c>
      <c r="AD10" s="305" t="s">
        <v>584</v>
      </c>
      <c r="AE10" s="305" t="s">
        <v>585</v>
      </c>
      <c r="AF10" s="305" t="s">
        <v>586</v>
      </c>
      <c r="AG10" s="305" t="s">
        <v>587</v>
      </c>
      <c r="AH10" s="305" t="s">
        <v>588</v>
      </c>
      <c r="AI10" s="305" t="s">
        <v>589</v>
      </c>
      <c r="AJ10" s="305" t="s">
        <v>590</v>
      </c>
      <c r="AK10" s="305">
        <v>2040</v>
      </c>
    </row>
    <row r="13" spans="1:37">
      <c r="A13" s="6" t="s">
        <v>183</v>
      </c>
    </row>
    <row r="14" spans="1:37">
      <c r="A14" s="6" t="s">
        <v>182</v>
      </c>
      <c r="B14" s="353">
        <v>5.1020002365112296</v>
      </c>
      <c r="C14" s="353">
        <v>5.0669999122619602</v>
      </c>
      <c r="D14" s="353">
        <v>4.9539995193481401</v>
      </c>
      <c r="E14" s="353">
        <v>5.3799490928649902</v>
      </c>
      <c r="F14" s="354">
        <v>5.6095256805419904</v>
      </c>
      <c r="G14" s="298">
        <v>5.6580000000000004</v>
      </c>
      <c r="H14" s="298">
        <v>6.4939989999999996</v>
      </c>
      <c r="I14" s="298">
        <v>7.7220000000000004</v>
      </c>
      <c r="J14" s="298">
        <v>8.5288000000000004</v>
      </c>
      <c r="K14" s="298">
        <v>9.0378019999999992</v>
      </c>
      <c r="L14" s="298">
        <v>9.5417810000000003</v>
      </c>
      <c r="M14" s="298">
        <v>9.5568039999999996</v>
      </c>
      <c r="N14" s="298">
        <v>9.5754859999999997</v>
      </c>
      <c r="O14" s="298">
        <v>9.6082459999999994</v>
      </c>
      <c r="P14" s="298">
        <v>9.5525409999999997</v>
      </c>
      <c r="Q14" s="298">
        <v>9.4165030000000005</v>
      </c>
      <c r="R14" s="298">
        <v>9.2888249999999992</v>
      </c>
      <c r="S14" s="298">
        <v>9.1907350000000001</v>
      </c>
      <c r="T14" s="298">
        <v>9.0728480000000005</v>
      </c>
      <c r="U14" s="298">
        <v>9.0041829999999994</v>
      </c>
      <c r="V14" s="298">
        <v>8.8329439999999995</v>
      </c>
      <c r="W14" s="298">
        <v>8.6696600000000004</v>
      </c>
      <c r="X14" s="298">
        <v>8.5159219999999998</v>
      </c>
      <c r="Y14" s="298">
        <v>8.3804160000000003</v>
      </c>
      <c r="Z14" s="298">
        <v>8.3047140000000006</v>
      </c>
      <c r="AA14" s="298">
        <v>8.1595440000000004</v>
      </c>
      <c r="AB14" s="298">
        <v>8.0727349999999998</v>
      </c>
      <c r="AC14" s="298">
        <v>8.0446790000000004</v>
      </c>
      <c r="AD14" s="298">
        <v>7.984591</v>
      </c>
      <c r="AE14" s="298">
        <v>7.8722690000000002</v>
      </c>
      <c r="AF14" s="298">
        <v>7.7546290000000004</v>
      </c>
      <c r="AG14" s="298">
        <v>7.6994870000000004</v>
      </c>
      <c r="AH14" s="298">
        <v>7.5588430000000004</v>
      </c>
      <c r="AI14" s="298">
        <v>7.5302829999999998</v>
      </c>
      <c r="AJ14" s="298">
        <v>7.4801669999999998</v>
      </c>
      <c r="AK14" s="299">
        <v>5.0000000000000001E-3</v>
      </c>
    </row>
    <row r="15" spans="1:37">
      <c r="A15" s="6" t="s">
        <v>181</v>
      </c>
      <c r="B15" s="353">
        <v>0.74099999666214</v>
      </c>
      <c r="C15" s="353">
        <v>0.71899998188018799</v>
      </c>
      <c r="D15" s="353">
        <v>0.68000000715255704</v>
      </c>
      <c r="E15" s="353">
        <v>0.73478877544403098</v>
      </c>
      <c r="F15" s="354">
        <v>0.68565064668655396</v>
      </c>
      <c r="G15" s="298">
        <v>0.57199999999999995</v>
      </c>
      <c r="H15" s="298">
        <v>0.53</v>
      </c>
      <c r="I15" s="298">
        <v>0.51</v>
      </c>
      <c r="J15" s="298">
        <v>0.4738</v>
      </c>
      <c r="K15" s="298">
        <v>0.462835</v>
      </c>
      <c r="L15" s="298">
        <v>0.46215800000000001</v>
      </c>
      <c r="M15" s="298">
        <v>0.46993800000000002</v>
      </c>
      <c r="N15" s="298">
        <v>0.47195500000000001</v>
      </c>
      <c r="O15" s="298">
        <v>0.45399899999999999</v>
      </c>
      <c r="P15" s="298">
        <v>0.43714199999999998</v>
      </c>
      <c r="Q15" s="298">
        <v>0.41283700000000001</v>
      </c>
      <c r="R15" s="298">
        <v>0.388714</v>
      </c>
      <c r="S15" s="298">
        <v>0.36631000000000002</v>
      </c>
      <c r="T15" s="298">
        <v>0.34568500000000002</v>
      </c>
      <c r="U15" s="298">
        <v>0.32666899999999999</v>
      </c>
      <c r="V15" s="298">
        <v>0.30766500000000002</v>
      </c>
      <c r="W15" s="298">
        <v>0.28877399999999998</v>
      </c>
      <c r="X15" s="298">
        <v>0.27134900000000001</v>
      </c>
      <c r="Y15" s="298">
        <v>0.25525500000000001</v>
      </c>
      <c r="Z15" s="298">
        <v>0.240371</v>
      </c>
      <c r="AA15" s="298">
        <v>0.22658700000000001</v>
      </c>
      <c r="AB15" s="298">
        <v>0.273065</v>
      </c>
      <c r="AC15" s="298">
        <v>0.34021099999999999</v>
      </c>
      <c r="AD15" s="298">
        <v>0.38843800000000001</v>
      </c>
      <c r="AE15" s="298">
        <v>0.378168</v>
      </c>
      <c r="AF15" s="298">
        <v>0.36859700000000001</v>
      </c>
      <c r="AG15" s="298">
        <v>0.35966500000000001</v>
      </c>
      <c r="AH15" s="298">
        <v>0.321691</v>
      </c>
      <c r="AI15" s="298">
        <v>0.28870200000000001</v>
      </c>
      <c r="AJ15" s="298">
        <v>0.25998700000000002</v>
      </c>
      <c r="AK15" s="299">
        <v>-2.5000000000000001E-2</v>
      </c>
    </row>
    <row r="16" spans="1:37">
      <c r="A16" s="6" t="s">
        <v>180</v>
      </c>
      <c r="B16" s="353">
        <v>4.3610000610351598</v>
      </c>
      <c r="C16" s="353">
        <v>4.34800004959106</v>
      </c>
      <c r="D16" s="353">
        <v>4.2739996910095197</v>
      </c>
      <c r="E16" s="353">
        <v>4.6451601982116699</v>
      </c>
      <c r="F16" s="354">
        <v>4.9238753318786603</v>
      </c>
      <c r="G16" s="298">
        <v>5.0860000000000003</v>
      </c>
      <c r="H16" s="298">
        <v>5.9640000000000004</v>
      </c>
      <c r="I16" s="298">
        <v>7.2119999999999997</v>
      </c>
      <c r="J16" s="298">
        <v>8.0549999999999997</v>
      </c>
      <c r="K16" s="298">
        <v>8.5749659999999999</v>
      </c>
      <c r="L16" s="298">
        <v>9.0796240000000008</v>
      </c>
      <c r="M16" s="298">
        <v>9.0868660000000006</v>
      </c>
      <c r="N16" s="298">
        <v>9.1035310000000003</v>
      </c>
      <c r="O16" s="298">
        <v>9.1542469999999998</v>
      </c>
      <c r="P16" s="298">
        <v>9.1153980000000008</v>
      </c>
      <c r="Q16" s="298">
        <v>9.0036670000000001</v>
      </c>
      <c r="R16" s="298">
        <v>8.9001110000000008</v>
      </c>
      <c r="S16" s="298">
        <v>8.8244249999999997</v>
      </c>
      <c r="T16" s="298">
        <v>8.7271629999999991</v>
      </c>
      <c r="U16" s="298">
        <v>8.6775140000000004</v>
      </c>
      <c r="V16" s="298">
        <v>8.5252789999999994</v>
      </c>
      <c r="W16" s="298">
        <v>8.3808860000000003</v>
      </c>
      <c r="X16" s="298">
        <v>8.2445730000000008</v>
      </c>
      <c r="Y16" s="298">
        <v>8.1251610000000003</v>
      </c>
      <c r="Z16" s="298">
        <v>8.0643429999999992</v>
      </c>
      <c r="AA16" s="298">
        <v>7.932957</v>
      </c>
      <c r="AB16" s="298">
        <v>7.7996699999999999</v>
      </c>
      <c r="AC16" s="298">
        <v>7.7044680000000003</v>
      </c>
      <c r="AD16" s="298">
        <v>7.5961540000000003</v>
      </c>
      <c r="AE16" s="298">
        <v>7.4941009999999997</v>
      </c>
      <c r="AF16" s="298">
        <v>7.3860330000000003</v>
      </c>
      <c r="AG16" s="298">
        <v>7.3398209999999997</v>
      </c>
      <c r="AH16" s="298">
        <v>7.2371509999999999</v>
      </c>
      <c r="AI16" s="298">
        <v>7.241581</v>
      </c>
      <c r="AJ16" s="298">
        <v>7.2201810000000002</v>
      </c>
      <c r="AK16" s="299">
        <v>7.0000000000000001E-3</v>
      </c>
    </row>
    <row r="17" spans="1:38">
      <c r="A17" s="6" t="s">
        <v>179</v>
      </c>
      <c r="B17" s="353">
        <v>10.093000411987299</v>
      </c>
      <c r="C17" s="353">
        <v>10.003999710083001</v>
      </c>
      <c r="D17" s="353">
        <v>9.7010002136230504</v>
      </c>
      <c r="E17" s="353">
        <v>8.9919996261596697</v>
      </c>
      <c r="F17" s="354">
        <v>8.3191394805908203</v>
      </c>
      <c r="G17" s="298">
        <v>8.8879999999999999</v>
      </c>
      <c r="H17" s="298">
        <v>8.4319989999999994</v>
      </c>
      <c r="I17" s="298">
        <v>7.3609999999999998</v>
      </c>
      <c r="J17" s="298">
        <v>6.452</v>
      </c>
      <c r="K17" s="298">
        <v>6.1656769999999996</v>
      </c>
      <c r="L17" s="298">
        <v>5.7677230000000002</v>
      </c>
      <c r="M17" s="298">
        <v>5.8143669999999998</v>
      </c>
      <c r="N17" s="298">
        <v>5.8087150000000003</v>
      </c>
      <c r="O17" s="298">
        <v>5.7589199999999998</v>
      </c>
      <c r="P17" s="298">
        <v>5.7870730000000004</v>
      </c>
      <c r="Q17" s="298">
        <v>5.8889449999999997</v>
      </c>
      <c r="R17" s="298">
        <v>5.9421790000000003</v>
      </c>
      <c r="S17" s="298">
        <v>5.9748789999999996</v>
      </c>
      <c r="T17" s="298">
        <v>6.0359290000000003</v>
      </c>
      <c r="U17" s="298">
        <v>6.0526869999999997</v>
      </c>
      <c r="V17" s="298">
        <v>6.1879960000000001</v>
      </c>
      <c r="W17" s="298">
        <v>6.3329610000000001</v>
      </c>
      <c r="X17" s="298">
        <v>6.455387</v>
      </c>
      <c r="Y17" s="298">
        <v>6.5668860000000002</v>
      </c>
      <c r="Z17" s="298">
        <v>6.635491</v>
      </c>
      <c r="AA17" s="298">
        <v>6.7795449999999997</v>
      </c>
      <c r="AB17" s="298">
        <v>6.8623289999999999</v>
      </c>
      <c r="AC17" s="298">
        <v>6.8977040000000001</v>
      </c>
      <c r="AD17" s="298">
        <v>6.9983430000000002</v>
      </c>
      <c r="AE17" s="298">
        <v>7.1493440000000001</v>
      </c>
      <c r="AF17" s="298">
        <v>7.303795</v>
      </c>
      <c r="AG17" s="298">
        <v>7.4063970000000001</v>
      </c>
      <c r="AH17" s="298">
        <v>7.6181229999999998</v>
      </c>
      <c r="AI17" s="298">
        <v>7.6624980000000003</v>
      </c>
      <c r="AJ17" s="298">
        <v>7.742801</v>
      </c>
      <c r="AK17" s="299">
        <v>-3.0000000000000001E-3</v>
      </c>
    </row>
    <row r="18" spans="1:38">
      <c r="A18" s="6" t="s">
        <v>178</v>
      </c>
      <c r="B18" s="353">
        <v>10.118000030517599</v>
      </c>
      <c r="C18" s="353">
        <v>10.0310001373291</v>
      </c>
      <c r="D18" s="353">
        <v>9.7280006408691406</v>
      </c>
      <c r="E18" s="353">
        <v>9.0190000534057599</v>
      </c>
      <c r="F18" s="354">
        <v>8.3490304946899396</v>
      </c>
      <c r="G18" s="298">
        <v>8.9350000000000005</v>
      </c>
      <c r="H18" s="298">
        <v>8.4920000000000009</v>
      </c>
      <c r="I18" s="298">
        <v>7.4809999999999999</v>
      </c>
      <c r="J18" s="298">
        <v>6.585</v>
      </c>
      <c r="K18" s="298">
        <v>6.3116139999999996</v>
      </c>
      <c r="L18" s="298">
        <v>5.9214209999999996</v>
      </c>
      <c r="M18" s="298">
        <v>5.9680070000000001</v>
      </c>
      <c r="N18" s="298">
        <v>5.9630130000000001</v>
      </c>
      <c r="O18" s="298">
        <v>5.9123679999999998</v>
      </c>
      <c r="P18" s="298">
        <v>5.9393659999999997</v>
      </c>
      <c r="Q18" s="298">
        <v>6.0361729999999998</v>
      </c>
      <c r="R18" s="298">
        <v>6.0801559999999997</v>
      </c>
      <c r="S18" s="298">
        <v>6.1090929999999997</v>
      </c>
      <c r="T18" s="298">
        <v>6.1684799999999997</v>
      </c>
      <c r="U18" s="298">
        <v>6.1836919999999997</v>
      </c>
      <c r="V18" s="298">
        <v>6.31792</v>
      </c>
      <c r="W18" s="298">
        <v>6.4623739999999996</v>
      </c>
      <c r="X18" s="298">
        <v>6.5838710000000003</v>
      </c>
      <c r="Y18" s="298">
        <v>6.6953279999999999</v>
      </c>
      <c r="Z18" s="298">
        <v>6.7654339999999999</v>
      </c>
      <c r="AA18" s="298">
        <v>6.9090009999999999</v>
      </c>
      <c r="AB18" s="298">
        <v>6.9898129999999998</v>
      </c>
      <c r="AC18" s="298">
        <v>7.0234620000000003</v>
      </c>
      <c r="AD18" s="298">
        <v>7.1230440000000002</v>
      </c>
      <c r="AE18" s="298">
        <v>7.2727890000000004</v>
      </c>
      <c r="AF18" s="298">
        <v>7.4277439999999997</v>
      </c>
      <c r="AG18" s="298">
        <v>7.5305350000000004</v>
      </c>
      <c r="AH18" s="298">
        <v>7.7422449999999996</v>
      </c>
      <c r="AI18" s="298">
        <v>7.7863189999999998</v>
      </c>
      <c r="AJ18" s="298">
        <v>7.866511</v>
      </c>
      <c r="AK18" s="299">
        <v>-3.0000000000000001E-3</v>
      </c>
    </row>
    <row r="19" spans="1:38">
      <c r="A19" s="6" t="s">
        <v>169</v>
      </c>
      <c r="B19" s="353">
        <v>2.5000000372528999E-2</v>
      </c>
      <c r="C19" s="353">
        <v>2.70000007003546E-2</v>
      </c>
      <c r="D19" s="353">
        <v>2.70000007003546E-2</v>
      </c>
      <c r="E19" s="353">
        <v>2.70000007003546E-2</v>
      </c>
      <c r="F19" s="354">
        <v>2.9890902340412102E-2</v>
      </c>
      <c r="G19" s="298">
        <v>4.7E-2</v>
      </c>
      <c r="H19" s="298">
        <v>0.06</v>
      </c>
      <c r="I19" s="298">
        <v>0.12</v>
      </c>
      <c r="J19" s="298">
        <v>0.13300000000000001</v>
      </c>
      <c r="K19" s="298">
        <v>0.14593700000000001</v>
      </c>
      <c r="L19" s="298">
        <v>0.153697</v>
      </c>
      <c r="M19" s="298">
        <v>0.15364</v>
      </c>
      <c r="N19" s="298">
        <v>0.15429799999999999</v>
      </c>
      <c r="O19" s="298">
        <v>0.153447</v>
      </c>
      <c r="P19" s="298">
        <v>0.15229300000000001</v>
      </c>
      <c r="Q19" s="298">
        <v>0.147228</v>
      </c>
      <c r="R19" s="298">
        <v>0.13797699999999999</v>
      </c>
      <c r="S19" s="298">
        <v>0.134215</v>
      </c>
      <c r="T19" s="298">
        <v>0.132551</v>
      </c>
      <c r="U19" s="298">
        <v>0.13100500000000001</v>
      </c>
      <c r="V19" s="298">
        <v>0.12992400000000001</v>
      </c>
      <c r="W19" s="298">
        <v>0.129414</v>
      </c>
      <c r="X19" s="298">
        <v>0.12848499999999999</v>
      </c>
      <c r="Y19" s="298">
        <v>0.128441</v>
      </c>
      <c r="Z19" s="298">
        <v>0.129943</v>
      </c>
      <c r="AA19" s="298">
        <v>0.12945599999999999</v>
      </c>
      <c r="AB19" s="298">
        <v>0.12748399999999999</v>
      </c>
      <c r="AC19" s="298">
        <v>0.12575900000000001</v>
      </c>
      <c r="AD19" s="298">
        <v>0.12470100000000001</v>
      </c>
      <c r="AE19" s="298">
        <v>0.123445</v>
      </c>
      <c r="AF19" s="298">
        <v>0.123949</v>
      </c>
      <c r="AG19" s="298">
        <v>0.124137</v>
      </c>
      <c r="AH19" s="298">
        <v>0.124122</v>
      </c>
      <c r="AI19" s="298">
        <v>0.123821</v>
      </c>
      <c r="AJ19" s="298">
        <v>0.12371</v>
      </c>
      <c r="AK19" s="299">
        <v>2.5999999999999999E-2</v>
      </c>
    </row>
    <row r="20" spans="1:38">
      <c r="A20" s="6" t="s">
        <v>177</v>
      </c>
      <c r="B20" s="353">
        <v>4.80000004172325E-2</v>
      </c>
      <c r="C20" s="353">
        <v>8.79999995231628E-2</v>
      </c>
      <c r="D20" s="353">
        <v>-2.9999997466802601E-2</v>
      </c>
      <c r="E20" s="353">
        <v>1.9999999552965199E-2</v>
      </c>
      <c r="F20" s="354">
        <v>0</v>
      </c>
      <c r="G20" s="298">
        <v>0.26600000000000001</v>
      </c>
      <c r="H20" s="298">
        <v>8.6999999999999994E-2</v>
      </c>
      <c r="I20" s="298">
        <v>0.23400000000000001</v>
      </c>
      <c r="J20" s="298">
        <v>0.161</v>
      </c>
      <c r="K20" s="298">
        <v>0</v>
      </c>
      <c r="L20" s="298">
        <v>0</v>
      </c>
      <c r="M20" s="298">
        <v>0</v>
      </c>
      <c r="N20" s="298">
        <v>0</v>
      </c>
      <c r="O20" s="298">
        <v>0</v>
      </c>
      <c r="P20" s="298">
        <v>0</v>
      </c>
      <c r="Q20" s="298">
        <v>0</v>
      </c>
      <c r="R20" s="298">
        <v>0</v>
      </c>
      <c r="S20" s="298">
        <v>0</v>
      </c>
      <c r="T20" s="298">
        <v>0</v>
      </c>
      <c r="U20" s="298">
        <v>0</v>
      </c>
      <c r="V20" s="298">
        <v>0</v>
      </c>
      <c r="W20" s="298">
        <v>0</v>
      </c>
      <c r="X20" s="298">
        <v>0</v>
      </c>
      <c r="Y20" s="298">
        <v>0</v>
      </c>
      <c r="Z20" s="298">
        <v>0</v>
      </c>
      <c r="AA20" s="298">
        <v>0</v>
      </c>
      <c r="AB20" s="298">
        <v>0</v>
      </c>
      <c r="AC20" s="298">
        <v>0</v>
      </c>
      <c r="AD20" s="298">
        <v>0</v>
      </c>
      <c r="AE20" s="298">
        <v>0</v>
      </c>
      <c r="AF20" s="298">
        <v>0</v>
      </c>
      <c r="AG20" s="298">
        <v>0</v>
      </c>
      <c r="AH20" s="298">
        <v>0</v>
      </c>
      <c r="AI20" s="298">
        <v>0</v>
      </c>
      <c r="AJ20" s="298">
        <v>0</v>
      </c>
      <c r="AK20" s="298" t="s">
        <v>41</v>
      </c>
    </row>
    <row r="21" spans="1:38">
      <c r="A21" s="6" t="s">
        <v>176</v>
      </c>
      <c r="B21" s="353">
        <v>15.2430009841919</v>
      </c>
      <c r="C21" s="353">
        <v>15.158999443054199</v>
      </c>
      <c r="D21" s="353">
        <v>14.625</v>
      </c>
      <c r="E21" s="353">
        <v>14.3919486999512</v>
      </c>
      <c r="F21" s="354">
        <v>13.9286651611328</v>
      </c>
      <c r="G21" s="249">
        <v>14.811999999999999</v>
      </c>
      <c r="H21" s="249">
        <v>15.012999000000001</v>
      </c>
      <c r="I21" s="249">
        <v>15.317</v>
      </c>
      <c r="J21" s="249">
        <v>15.141800999999999</v>
      </c>
      <c r="K21" s="249">
        <v>15.203478</v>
      </c>
      <c r="L21" s="249">
        <v>15.309505</v>
      </c>
      <c r="M21" s="249">
        <v>15.371171</v>
      </c>
      <c r="N21" s="249">
        <v>15.384200999999999</v>
      </c>
      <c r="O21" s="249">
        <v>15.367167</v>
      </c>
      <c r="P21" s="249">
        <v>15.339613999999999</v>
      </c>
      <c r="Q21" s="249">
        <v>15.305448999999999</v>
      </c>
      <c r="R21" s="249">
        <v>15.231005</v>
      </c>
      <c r="S21" s="249">
        <v>15.165613</v>
      </c>
      <c r="T21" s="249">
        <v>15.108777</v>
      </c>
      <c r="U21" s="249">
        <v>15.05687</v>
      </c>
      <c r="V21" s="249">
        <v>15.020941000000001</v>
      </c>
      <c r="W21" s="249">
        <v>15.002621</v>
      </c>
      <c r="X21" s="249">
        <v>14.971308000000001</v>
      </c>
      <c r="Y21" s="249">
        <v>14.947302000000001</v>
      </c>
      <c r="Z21" s="249">
        <v>14.940206</v>
      </c>
      <c r="AA21" s="249">
        <v>14.939088999999999</v>
      </c>
      <c r="AB21" s="249">
        <v>14.935063</v>
      </c>
      <c r="AC21" s="249">
        <v>14.942383</v>
      </c>
      <c r="AD21" s="249">
        <v>14.982934999999999</v>
      </c>
      <c r="AE21" s="249">
        <v>15.021611999999999</v>
      </c>
      <c r="AF21" s="249">
        <v>15.058424</v>
      </c>
      <c r="AG21" s="249">
        <v>15.105885000000001</v>
      </c>
      <c r="AH21" s="249">
        <v>15.176966</v>
      </c>
      <c r="AI21" s="249">
        <v>15.192781</v>
      </c>
      <c r="AJ21" s="249">
        <v>15.222968</v>
      </c>
      <c r="AK21" s="250">
        <v>0</v>
      </c>
    </row>
    <row r="23" spans="1:38">
      <c r="A23" s="6" t="s">
        <v>175</v>
      </c>
    </row>
    <row r="24" spans="1:38" s="252" customFormat="1">
      <c r="A24" s="251" t="s">
        <v>174</v>
      </c>
      <c r="B24" s="353">
        <v>1.7380001544952399</v>
      </c>
      <c r="C24" s="353">
        <v>1.7829999923706099</v>
      </c>
      <c r="D24" s="353">
        <v>1.82499992847443</v>
      </c>
      <c r="E24" s="353">
        <v>1.81299996376038</v>
      </c>
      <c r="F24" s="354">
        <v>1.86609554290771</v>
      </c>
      <c r="G24" s="300">
        <v>2.2160000000000002</v>
      </c>
      <c r="H24" s="300">
        <v>2.4</v>
      </c>
      <c r="I24" s="300">
        <v>2.4900000000000002</v>
      </c>
      <c r="J24" s="300">
        <v>2.5089999999999999</v>
      </c>
      <c r="K24" s="300">
        <v>2.5561180000000001</v>
      </c>
      <c r="L24" s="300">
        <v>2.6337290000000002</v>
      </c>
      <c r="M24" s="300">
        <v>2.6633930000000001</v>
      </c>
      <c r="N24" s="300">
        <v>2.6705079999999999</v>
      </c>
      <c r="O24" s="300">
        <v>2.669905</v>
      </c>
      <c r="P24" s="300">
        <v>2.6458759999999999</v>
      </c>
      <c r="Q24" s="300">
        <v>2.60798</v>
      </c>
      <c r="R24" s="300">
        <v>2.7045080000000001</v>
      </c>
      <c r="S24" s="300">
        <v>2.7930269999999999</v>
      </c>
      <c r="T24" s="300">
        <v>2.8390249999999999</v>
      </c>
      <c r="U24" s="300">
        <v>2.8728980000000002</v>
      </c>
      <c r="V24" s="300">
        <v>2.9033150000000001</v>
      </c>
      <c r="W24" s="300">
        <v>2.9228930000000002</v>
      </c>
      <c r="X24" s="300">
        <v>2.9406509999999999</v>
      </c>
      <c r="Y24" s="300">
        <v>2.9505080000000001</v>
      </c>
      <c r="Z24" s="300">
        <v>2.978853</v>
      </c>
      <c r="AA24" s="300">
        <v>3.0103460000000002</v>
      </c>
      <c r="AB24" s="300">
        <v>3.0288490000000001</v>
      </c>
      <c r="AC24" s="300">
        <v>3.0383969999999998</v>
      </c>
      <c r="AD24" s="300">
        <v>3.0546120000000001</v>
      </c>
      <c r="AE24" s="300">
        <v>3.0492400000000002</v>
      </c>
      <c r="AF24" s="300">
        <v>3.0289980000000001</v>
      </c>
      <c r="AG24" s="300">
        <v>3.058621</v>
      </c>
      <c r="AH24" s="300">
        <v>3.037477</v>
      </c>
      <c r="AI24" s="300">
        <v>3.013617</v>
      </c>
      <c r="AJ24" s="300">
        <v>2.983552</v>
      </c>
      <c r="AK24" s="301">
        <v>8.0000000000000002E-3</v>
      </c>
    </row>
    <row r="25" spans="1:38">
      <c r="A25" s="6" t="s">
        <v>173</v>
      </c>
      <c r="B25" s="353">
        <v>2.3140001296997101</v>
      </c>
      <c r="C25" s="353">
        <v>2.0869998931884801</v>
      </c>
      <c r="D25" s="353">
        <v>1.29999995231628</v>
      </c>
      <c r="E25" s="353">
        <v>1.3280000686645499</v>
      </c>
      <c r="F25" s="354">
        <v>1.6039888858795199</v>
      </c>
      <c r="G25" s="298">
        <v>-0.252</v>
      </c>
      <c r="H25" s="298">
        <v>-0.91600000000000004</v>
      </c>
      <c r="I25" s="298">
        <v>-0.98799999999999999</v>
      </c>
      <c r="J25" s="298">
        <v>-1.0289999999999999</v>
      </c>
      <c r="K25" s="298">
        <v>-0.96462499999999995</v>
      </c>
      <c r="L25" s="298">
        <v>-0.94448699999999997</v>
      </c>
      <c r="M25" s="298">
        <v>-0.93183700000000003</v>
      </c>
      <c r="N25" s="298">
        <v>-0.91123600000000005</v>
      </c>
      <c r="O25" s="298">
        <v>-0.88706300000000005</v>
      </c>
      <c r="P25" s="298">
        <v>-0.85573100000000002</v>
      </c>
      <c r="Q25" s="298">
        <v>-0.83163799999999999</v>
      </c>
      <c r="R25" s="298">
        <v>-0.89107099999999995</v>
      </c>
      <c r="S25" s="298">
        <v>-0.94251600000000002</v>
      </c>
      <c r="T25" s="298">
        <v>-0.97565599999999997</v>
      </c>
      <c r="U25" s="298">
        <v>-1.0068220000000001</v>
      </c>
      <c r="V25" s="298">
        <v>-1.068271</v>
      </c>
      <c r="W25" s="298">
        <v>-1.122708</v>
      </c>
      <c r="X25" s="298">
        <v>-1.1588719999999999</v>
      </c>
      <c r="Y25" s="298">
        <v>-1.2142729999999999</v>
      </c>
      <c r="Z25" s="298">
        <v>-1.293569</v>
      </c>
      <c r="AA25" s="298">
        <v>-1.3683129999999999</v>
      </c>
      <c r="AB25" s="298">
        <v>-1.4270320000000001</v>
      </c>
      <c r="AC25" s="298">
        <v>-1.482378</v>
      </c>
      <c r="AD25" s="298">
        <v>-1.563064</v>
      </c>
      <c r="AE25" s="298">
        <v>-1.613156</v>
      </c>
      <c r="AF25" s="298">
        <v>-1.650264</v>
      </c>
      <c r="AG25" s="298">
        <v>-1.716191</v>
      </c>
      <c r="AH25" s="298">
        <v>-1.7615620000000001</v>
      </c>
      <c r="AI25" s="298">
        <v>-1.7771790000000001</v>
      </c>
      <c r="AJ25" s="298">
        <v>-1.816797</v>
      </c>
      <c r="AK25" s="299">
        <v>2.5000000000000001E-2</v>
      </c>
    </row>
    <row r="26" spans="1:38">
      <c r="A26" s="6" t="s">
        <v>172</v>
      </c>
      <c r="B26" s="353">
        <v>2.1710000038146999</v>
      </c>
      <c r="C26" s="353">
        <v>1.93800008296967</v>
      </c>
      <c r="D26" s="353">
        <v>1.0240000486373899</v>
      </c>
      <c r="E26" s="353">
        <v>1.06200003623962</v>
      </c>
      <c r="F26" s="354">
        <v>1.54514491558075</v>
      </c>
      <c r="G26" s="298">
        <v>1.151</v>
      </c>
      <c r="H26" s="298">
        <v>0.84799999999999998</v>
      </c>
      <c r="I26" s="298">
        <v>0.70899999999999996</v>
      </c>
      <c r="J26" s="298">
        <v>0.72</v>
      </c>
      <c r="K26" s="298">
        <v>0.81863200000000003</v>
      </c>
      <c r="L26" s="298">
        <v>0.88173000000000001</v>
      </c>
      <c r="M26" s="298">
        <v>0.906914</v>
      </c>
      <c r="N26" s="298">
        <v>0.93180099999999999</v>
      </c>
      <c r="O26" s="298">
        <v>0.95816500000000004</v>
      </c>
      <c r="P26" s="298">
        <v>0.97589599999999999</v>
      </c>
      <c r="Q26" s="298">
        <v>0.98990599999999995</v>
      </c>
      <c r="R26" s="298">
        <v>1.006778</v>
      </c>
      <c r="S26" s="298">
        <v>1.0199199999999999</v>
      </c>
      <c r="T26" s="298">
        <v>1.03091</v>
      </c>
      <c r="U26" s="298">
        <v>1.05515</v>
      </c>
      <c r="V26" s="298">
        <v>1.0587679999999999</v>
      </c>
      <c r="W26" s="298">
        <v>1.0657570000000001</v>
      </c>
      <c r="X26" s="298">
        <v>1.0659179999999999</v>
      </c>
      <c r="Y26" s="298">
        <v>1.061431</v>
      </c>
      <c r="Z26" s="298">
        <v>1.0560160000000001</v>
      </c>
      <c r="AA26" s="298">
        <v>1.05697</v>
      </c>
      <c r="AB26" s="298">
        <v>1.0702149999999999</v>
      </c>
      <c r="AC26" s="298">
        <v>1.072165</v>
      </c>
      <c r="AD26" s="298">
        <v>1.0766100000000001</v>
      </c>
      <c r="AE26" s="298">
        <v>1.0822270000000001</v>
      </c>
      <c r="AF26" s="298">
        <v>1.093154</v>
      </c>
      <c r="AG26" s="298">
        <v>1.095712</v>
      </c>
      <c r="AH26" s="298">
        <v>1.0972550000000001</v>
      </c>
      <c r="AI26" s="298">
        <v>1.1087450000000001</v>
      </c>
      <c r="AJ26" s="298">
        <v>1.0974060000000001</v>
      </c>
      <c r="AK26" s="299">
        <v>8.9999999999999993E-3</v>
      </c>
    </row>
    <row r="27" spans="1:38">
      <c r="A27" s="6" t="s">
        <v>171</v>
      </c>
      <c r="B27" s="353">
        <v>0.68900001049041704</v>
      </c>
      <c r="C27" s="353">
        <v>0.71700000762939498</v>
      </c>
      <c r="D27" s="353">
        <v>0.60663330554962203</v>
      </c>
      <c r="E27" s="353">
        <v>0.60996818542480502</v>
      </c>
      <c r="F27" s="354">
        <v>0.60277581214904796</v>
      </c>
      <c r="G27" s="298">
        <v>0.68700000000000006</v>
      </c>
      <c r="H27" s="298">
        <v>0.60299999999999998</v>
      </c>
      <c r="I27" s="298">
        <v>0.58599999999999997</v>
      </c>
      <c r="J27" s="298">
        <v>0.54400000000000004</v>
      </c>
      <c r="K27" s="298">
        <v>0.540385</v>
      </c>
      <c r="L27" s="298">
        <v>0.53676900000000005</v>
      </c>
      <c r="M27" s="298">
        <v>0.53315299999999999</v>
      </c>
      <c r="N27" s="298">
        <v>0.52953899999999998</v>
      </c>
      <c r="O27" s="298">
        <v>0.52592300000000003</v>
      </c>
      <c r="P27" s="298">
        <v>0.52230699999999997</v>
      </c>
      <c r="Q27" s="298">
        <v>0.51869299999999996</v>
      </c>
      <c r="R27" s="298">
        <v>0.51507700000000001</v>
      </c>
      <c r="S27" s="298">
        <v>0.51146100000000005</v>
      </c>
      <c r="T27" s="298">
        <v>0.50784600000000002</v>
      </c>
      <c r="U27" s="298">
        <v>0.50423099999999998</v>
      </c>
      <c r="V27" s="298">
        <v>0.50061500000000003</v>
      </c>
      <c r="W27" s="298">
        <v>0.497</v>
      </c>
      <c r="X27" s="298">
        <v>0.49338500000000002</v>
      </c>
      <c r="Y27" s="298">
        <v>0.48976900000000001</v>
      </c>
      <c r="Z27" s="298">
        <v>0.48615399999999998</v>
      </c>
      <c r="AA27" s="298">
        <v>0.48253800000000002</v>
      </c>
      <c r="AB27" s="298">
        <v>0.47892299999999999</v>
      </c>
      <c r="AC27" s="298">
        <v>0.47530800000000001</v>
      </c>
      <c r="AD27" s="298">
        <v>0.471692</v>
      </c>
      <c r="AE27" s="298">
        <v>0.46807700000000002</v>
      </c>
      <c r="AF27" s="298">
        <v>0.46446199999999999</v>
      </c>
      <c r="AG27" s="298">
        <v>0.46084599999999998</v>
      </c>
      <c r="AH27" s="298">
        <v>0.45723000000000003</v>
      </c>
      <c r="AI27" s="298">
        <v>0.45361600000000002</v>
      </c>
      <c r="AJ27" s="298">
        <v>0.45</v>
      </c>
      <c r="AK27" s="299">
        <v>-0.01</v>
      </c>
    </row>
    <row r="28" spans="1:38">
      <c r="A28" s="6" t="s">
        <v>170</v>
      </c>
      <c r="B28" s="353">
        <v>0.67700004577636697</v>
      </c>
      <c r="C28" s="353">
        <v>0.75300002098083496</v>
      </c>
      <c r="D28" s="353">
        <v>0.73199999332428001</v>
      </c>
      <c r="E28" s="353">
        <v>0.71799999475479104</v>
      </c>
      <c r="F28" s="354">
        <v>0.62520116567611705</v>
      </c>
      <c r="G28" s="298">
        <v>0.71799999999999997</v>
      </c>
      <c r="H28" s="298">
        <v>0.61599999999999999</v>
      </c>
      <c r="I28" s="298">
        <v>0.61</v>
      </c>
      <c r="J28" s="298">
        <v>0.6</v>
      </c>
      <c r="K28" s="298">
        <v>0.67105999999999999</v>
      </c>
      <c r="L28" s="298">
        <v>0.66229499999999997</v>
      </c>
      <c r="M28" s="298">
        <v>0.65169100000000002</v>
      </c>
      <c r="N28" s="298">
        <v>0.64020900000000003</v>
      </c>
      <c r="O28" s="298">
        <v>0.62541100000000005</v>
      </c>
      <c r="P28" s="298">
        <v>0.61513700000000004</v>
      </c>
      <c r="Q28" s="298">
        <v>0.606742</v>
      </c>
      <c r="R28" s="298">
        <v>0.595522</v>
      </c>
      <c r="S28" s="298">
        <v>0.58620099999999997</v>
      </c>
      <c r="T28" s="298">
        <v>0.57591400000000004</v>
      </c>
      <c r="U28" s="298">
        <v>0.55055799999999999</v>
      </c>
      <c r="V28" s="298">
        <v>0.53803599999999996</v>
      </c>
      <c r="W28" s="298">
        <v>0.524864</v>
      </c>
      <c r="X28" s="298">
        <v>0.51505000000000001</v>
      </c>
      <c r="Y28" s="298">
        <v>0.50508799999999998</v>
      </c>
      <c r="Z28" s="298">
        <v>0.49612200000000001</v>
      </c>
      <c r="AA28" s="298">
        <v>0.48664200000000002</v>
      </c>
      <c r="AB28" s="298">
        <v>0.47747699999999998</v>
      </c>
      <c r="AC28" s="298">
        <v>0.46830300000000002</v>
      </c>
      <c r="AD28" s="298">
        <v>0.45679599999999998</v>
      </c>
      <c r="AE28" s="298">
        <v>0.44836500000000001</v>
      </c>
      <c r="AF28" s="298">
        <v>0.43787900000000002</v>
      </c>
      <c r="AG28" s="298">
        <v>0.42837799999999998</v>
      </c>
      <c r="AH28" s="298">
        <v>0.41841600000000001</v>
      </c>
      <c r="AI28" s="298">
        <v>0.40845399999999998</v>
      </c>
      <c r="AJ28" s="298">
        <v>0.39849099999999998</v>
      </c>
      <c r="AK28" s="299">
        <v>-1.4999999999999999E-2</v>
      </c>
    </row>
    <row r="29" spans="1:38">
      <c r="A29" s="6" t="s">
        <v>169</v>
      </c>
      <c r="B29" s="353">
        <v>1.2150000333786</v>
      </c>
      <c r="C29" s="353">
        <v>1.32100009918213</v>
      </c>
      <c r="D29" s="353">
        <v>1.2150000333786</v>
      </c>
      <c r="E29" s="353">
        <v>1.2150000333786</v>
      </c>
      <c r="F29" s="354">
        <v>1.16913342475891</v>
      </c>
      <c r="G29" s="298">
        <v>2.8079999999999998</v>
      </c>
      <c r="H29" s="298">
        <v>2.9830000000000001</v>
      </c>
      <c r="I29" s="298">
        <v>2.8929999999999998</v>
      </c>
      <c r="J29" s="298">
        <v>2.8929999999999998</v>
      </c>
      <c r="K29" s="298">
        <v>2.9947010000000001</v>
      </c>
      <c r="L29" s="298">
        <v>3.0252810000000001</v>
      </c>
      <c r="M29" s="298">
        <v>3.023596</v>
      </c>
      <c r="N29" s="298">
        <v>3.0127839999999999</v>
      </c>
      <c r="O29" s="298">
        <v>2.9965619999999999</v>
      </c>
      <c r="P29" s="298">
        <v>2.9690720000000002</v>
      </c>
      <c r="Q29" s="298">
        <v>2.9469789999999998</v>
      </c>
      <c r="R29" s="298">
        <v>3.0084490000000002</v>
      </c>
      <c r="S29" s="298">
        <v>3.0600990000000001</v>
      </c>
      <c r="T29" s="298">
        <v>3.090325</v>
      </c>
      <c r="U29" s="298">
        <v>3.1167609999999999</v>
      </c>
      <c r="V29" s="298">
        <v>3.1656900000000001</v>
      </c>
      <c r="W29" s="298">
        <v>3.2103290000000002</v>
      </c>
      <c r="X29" s="298">
        <v>3.2332260000000002</v>
      </c>
      <c r="Y29" s="298">
        <v>3.2705609999999998</v>
      </c>
      <c r="Z29" s="298">
        <v>3.331861</v>
      </c>
      <c r="AA29" s="298">
        <v>3.3944640000000001</v>
      </c>
      <c r="AB29" s="298">
        <v>3.4536470000000001</v>
      </c>
      <c r="AC29" s="298">
        <v>3.498154</v>
      </c>
      <c r="AD29" s="298">
        <v>3.5681620000000001</v>
      </c>
      <c r="AE29" s="298">
        <v>3.6118250000000001</v>
      </c>
      <c r="AF29" s="298">
        <v>3.6457579999999998</v>
      </c>
      <c r="AG29" s="298">
        <v>3.7011270000000001</v>
      </c>
      <c r="AH29" s="298">
        <v>3.7344629999999999</v>
      </c>
      <c r="AI29" s="298">
        <v>3.7479930000000001</v>
      </c>
      <c r="AJ29" s="298">
        <v>3.7626949999999999</v>
      </c>
      <c r="AK29" s="299">
        <v>8.0000000000000002E-3</v>
      </c>
    </row>
    <row r="30" spans="1:38">
      <c r="A30" s="6" t="s">
        <v>168</v>
      </c>
      <c r="B30" s="353">
        <v>0.99400001764297496</v>
      </c>
      <c r="C30" s="353">
        <v>0.99599999189376798</v>
      </c>
      <c r="D30" s="353">
        <v>0.99699997901916504</v>
      </c>
      <c r="E30" s="353">
        <v>0.97899997234344505</v>
      </c>
      <c r="F30" s="354">
        <v>0.97222220897674605</v>
      </c>
      <c r="G30" s="298">
        <v>1.0760000000000001</v>
      </c>
      <c r="H30" s="298">
        <v>1.077</v>
      </c>
      <c r="I30" s="298">
        <v>1.0620000000000001</v>
      </c>
      <c r="J30" s="298">
        <v>1.0549999999999999</v>
      </c>
      <c r="K30" s="298">
        <v>1.1173770000000001</v>
      </c>
      <c r="L30" s="298">
        <v>1.107977</v>
      </c>
      <c r="M30" s="298">
        <v>1.1068800000000001</v>
      </c>
      <c r="N30" s="298">
        <v>1.1013949999999999</v>
      </c>
      <c r="O30" s="298">
        <v>1.0899559999999999</v>
      </c>
      <c r="P30" s="298">
        <v>1.0810919999999999</v>
      </c>
      <c r="Q30" s="298">
        <v>1.070587</v>
      </c>
      <c r="R30" s="298">
        <v>1.0513539999999999</v>
      </c>
      <c r="S30" s="298">
        <v>1.032008</v>
      </c>
      <c r="T30" s="298">
        <v>1.0139609999999999</v>
      </c>
      <c r="U30" s="298">
        <v>0.99733000000000005</v>
      </c>
      <c r="V30" s="298">
        <v>0.98163100000000003</v>
      </c>
      <c r="W30" s="298">
        <v>0.97328499999999996</v>
      </c>
      <c r="X30" s="298">
        <v>0.96382100000000004</v>
      </c>
      <c r="Y30" s="298">
        <v>0.95674199999999998</v>
      </c>
      <c r="Z30" s="298">
        <v>0.95704199999999995</v>
      </c>
      <c r="AA30" s="298">
        <v>0.95328999999999997</v>
      </c>
      <c r="AB30" s="298">
        <v>0.95369499999999996</v>
      </c>
      <c r="AC30" s="298">
        <v>0.949291</v>
      </c>
      <c r="AD30" s="298">
        <v>0.94474999999999998</v>
      </c>
      <c r="AE30" s="298">
        <v>0.94433999999999996</v>
      </c>
      <c r="AF30" s="298">
        <v>0.94618999999999998</v>
      </c>
      <c r="AG30" s="298">
        <v>0.94669300000000001</v>
      </c>
      <c r="AH30" s="298">
        <v>0.95018899999999995</v>
      </c>
      <c r="AI30" s="298">
        <v>0.95436399999999999</v>
      </c>
      <c r="AJ30" s="298">
        <v>0.95464199999999999</v>
      </c>
      <c r="AK30" s="299">
        <v>-4.0000000000000001E-3</v>
      </c>
    </row>
    <row r="31" spans="1:38">
      <c r="A31" s="6" t="s">
        <v>690</v>
      </c>
      <c r="B31" s="353">
        <v>0.40835106372833302</v>
      </c>
      <c r="C31" s="353">
        <v>0.74303030967712402</v>
      </c>
      <c r="D31" s="353">
        <v>0.90019965171813998</v>
      </c>
      <c r="E31" s="353">
        <v>0.90936332941055298</v>
      </c>
      <c r="F31" s="354">
        <v>1.2169610261917101</v>
      </c>
      <c r="G31" s="298">
        <v>0.87458199999999997</v>
      </c>
      <c r="H31" s="298">
        <v>0.88629000000000002</v>
      </c>
      <c r="I31" s="298">
        <v>0.91131799999999996</v>
      </c>
      <c r="J31" s="298">
        <v>0.94543999999999995</v>
      </c>
      <c r="K31" s="298">
        <v>0.95931299999999997</v>
      </c>
      <c r="L31" s="298">
        <v>0.96406000000000003</v>
      </c>
      <c r="M31" s="298">
        <v>0.97751200000000005</v>
      </c>
      <c r="N31" s="298">
        <v>0.98974300000000004</v>
      </c>
      <c r="O31" s="298">
        <v>1.0016430000000001</v>
      </c>
      <c r="P31" s="298">
        <v>1.014486</v>
      </c>
      <c r="Q31" s="298">
        <v>1.026421</v>
      </c>
      <c r="R31" s="298">
        <v>1.04257</v>
      </c>
      <c r="S31" s="298">
        <v>1.0409060000000001</v>
      </c>
      <c r="T31" s="298">
        <v>1.042815</v>
      </c>
      <c r="U31" s="298">
        <v>1.0410189999999999</v>
      </c>
      <c r="V31" s="298">
        <v>1.0405869999999999</v>
      </c>
      <c r="W31" s="298">
        <v>1.0406690000000001</v>
      </c>
      <c r="X31" s="298">
        <v>1.0407820000000001</v>
      </c>
      <c r="Y31" s="298">
        <v>1.0402199999999999</v>
      </c>
      <c r="Z31" s="298">
        <v>1.0406690000000001</v>
      </c>
      <c r="AA31" s="298">
        <v>1.0418559999999999</v>
      </c>
      <c r="AB31" s="298">
        <v>1.0410980000000001</v>
      </c>
      <c r="AC31" s="298">
        <v>1.041115</v>
      </c>
      <c r="AD31" s="298">
        <v>1.0421020000000001</v>
      </c>
      <c r="AE31" s="298">
        <v>1.0415099999999999</v>
      </c>
      <c r="AF31" s="298">
        <v>1.039404</v>
      </c>
      <c r="AG31" s="298">
        <v>1.038624</v>
      </c>
      <c r="AH31" s="298">
        <v>1.041671</v>
      </c>
      <c r="AI31" s="298">
        <v>1.0532999999999999</v>
      </c>
      <c r="AJ31" s="298">
        <v>1.0676890000000001</v>
      </c>
      <c r="AK31" s="299">
        <v>7.0000000000000001E-3</v>
      </c>
    </row>
    <row r="32" spans="1:38" s="18" customFormat="1">
      <c r="A32" s="17" t="s">
        <v>167</v>
      </c>
      <c r="B32" s="355">
        <v>0.31900000572204601</v>
      </c>
      <c r="C32" s="355">
        <v>0.42500001192092901</v>
      </c>
      <c r="D32" s="355">
        <v>0.60299998521804798</v>
      </c>
      <c r="E32" s="355">
        <v>0.68500006198883101</v>
      </c>
      <c r="F32" s="356">
        <v>0.84147453308105502</v>
      </c>
      <c r="G32" s="298">
        <v>0.81834200000000001</v>
      </c>
      <c r="H32" s="298">
        <v>0.82725800000000005</v>
      </c>
      <c r="I32" s="298">
        <v>0.825187</v>
      </c>
      <c r="J32" s="298">
        <v>0.85004199999999996</v>
      </c>
      <c r="K32" s="298">
        <v>0.865282</v>
      </c>
      <c r="L32" s="298">
        <v>0.869251</v>
      </c>
      <c r="M32" s="298">
        <v>0.88145200000000001</v>
      </c>
      <c r="N32" s="298">
        <v>0.88586200000000004</v>
      </c>
      <c r="O32" s="298">
        <v>0.88890000000000002</v>
      </c>
      <c r="P32" s="298">
        <v>0.89585899999999996</v>
      </c>
      <c r="Q32" s="298">
        <v>0.89987200000000001</v>
      </c>
      <c r="R32" s="298">
        <v>0.91550900000000002</v>
      </c>
      <c r="S32" s="298">
        <v>0.91492399999999996</v>
      </c>
      <c r="T32" s="298">
        <v>0.91555299999999995</v>
      </c>
      <c r="U32" s="298">
        <v>0.91523600000000005</v>
      </c>
      <c r="V32" s="298">
        <v>0.91508800000000001</v>
      </c>
      <c r="W32" s="298">
        <v>0.91518600000000006</v>
      </c>
      <c r="X32" s="298">
        <v>0.91533399999999998</v>
      </c>
      <c r="Y32" s="298">
        <v>0.91476000000000002</v>
      </c>
      <c r="Z32" s="298">
        <v>0.91483099999999995</v>
      </c>
      <c r="AA32" s="298">
        <v>0.91463499999999998</v>
      </c>
      <c r="AB32" s="298">
        <v>0.91389500000000001</v>
      </c>
      <c r="AC32" s="298">
        <v>0.91388999999999998</v>
      </c>
      <c r="AD32" s="298">
        <v>0.91484699999999997</v>
      </c>
      <c r="AE32" s="298">
        <v>0.91425800000000002</v>
      </c>
      <c r="AF32" s="298">
        <v>0.91217999999999999</v>
      </c>
      <c r="AG32" s="298">
        <v>0.91165499999999999</v>
      </c>
      <c r="AH32" s="298">
        <v>0.91445399999999999</v>
      </c>
      <c r="AI32" s="298">
        <v>0.92887299999999995</v>
      </c>
      <c r="AJ32" s="298">
        <v>0.94600499999999998</v>
      </c>
      <c r="AK32" s="299">
        <v>5.0000000000000001E-3</v>
      </c>
      <c r="AL32" s="51">
        <f>C32*(1+AK32)^23</f>
        <v>0.4766596202229666</v>
      </c>
    </row>
    <row r="33" spans="1:38" s="18" customFormat="1">
      <c r="A33" s="17" t="s">
        <v>165</v>
      </c>
      <c r="B33" s="355">
        <v>0.273288995027542</v>
      </c>
      <c r="C33" s="355">
        <v>0.40336400270461997</v>
      </c>
      <c r="D33" s="355">
        <v>0.58252400159835804</v>
      </c>
      <c r="E33" s="355">
        <v>0.68972003459930398</v>
      </c>
      <c r="F33" s="356">
        <v>0.84179353713989302</v>
      </c>
      <c r="G33" s="298">
        <v>0.88597599999999999</v>
      </c>
      <c r="H33" s="298">
        <v>0.84365599999999996</v>
      </c>
      <c r="I33" s="298">
        <v>0.83595299999999995</v>
      </c>
      <c r="J33" s="298">
        <v>0.86998399999999998</v>
      </c>
      <c r="K33" s="298">
        <v>0.82013999999999998</v>
      </c>
      <c r="L33" s="298">
        <v>0.82233599999999996</v>
      </c>
      <c r="M33" s="298">
        <v>0.83316999999999997</v>
      </c>
      <c r="N33" s="298">
        <v>0.834866</v>
      </c>
      <c r="O33" s="298">
        <v>0.83494199999999996</v>
      </c>
      <c r="P33" s="298">
        <v>0.84040599999999999</v>
      </c>
      <c r="Q33" s="298">
        <v>0.83868500000000001</v>
      </c>
      <c r="R33" s="298">
        <v>0.84875</v>
      </c>
      <c r="S33" s="298">
        <v>0.85439200000000004</v>
      </c>
      <c r="T33" s="298">
        <v>0.85437700000000005</v>
      </c>
      <c r="U33" s="298">
        <v>0.85438800000000004</v>
      </c>
      <c r="V33" s="298">
        <v>0.85439200000000004</v>
      </c>
      <c r="W33" s="298">
        <v>0.85523000000000005</v>
      </c>
      <c r="X33" s="298">
        <v>0.85584700000000002</v>
      </c>
      <c r="Y33" s="298">
        <v>0.85583500000000001</v>
      </c>
      <c r="Z33" s="298">
        <v>0.85584700000000002</v>
      </c>
      <c r="AA33" s="298">
        <v>0.85584700000000002</v>
      </c>
      <c r="AB33" s="298">
        <v>0.85583500000000001</v>
      </c>
      <c r="AC33" s="298">
        <v>0.85583500000000001</v>
      </c>
      <c r="AD33" s="298">
        <v>0.85583500000000001</v>
      </c>
      <c r="AE33" s="298">
        <v>0.85358400000000001</v>
      </c>
      <c r="AF33" s="298">
        <v>0.84983299999999995</v>
      </c>
      <c r="AG33" s="298">
        <v>0.84757499999999997</v>
      </c>
      <c r="AH33" s="298">
        <v>0.84855400000000003</v>
      </c>
      <c r="AI33" s="298">
        <v>0.85902400000000001</v>
      </c>
      <c r="AJ33" s="298">
        <v>0.86278500000000002</v>
      </c>
      <c r="AK33" s="299">
        <v>1E-3</v>
      </c>
      <c r="AL33" s="51" t="s">
        <v>0</v>
      </c>
    </row>
    <row r="34" spans="1:38">
      <c r="A34" s="6" t="s">
        <v>164</v>
      </c>
      <c r="B34" s="353">
        <v>4.5710995793342597E-2</v>
      </c>
      <c r="C34" s="353">
        <v>2.1635998040437698E-2</v>
      </c>
      <c r="D34" s="353">
        <v>2.0475998520851101E-2</v>
      </c>
      <c r="E34" s="353">
        <v>-4.7199996188283001E-3</v>
      </c>
      <c r="F34" s="354">
        <v>-3.1897879671305402E-4</v>
      </c>
      <c r="G34" s="298">
        <v>-6.6753999999999994E-2</v>
      </c>
      <c r="H34" s="298">
        <v>-1.6397999999999999E-2</v>
      </c>
      <c r="I34" s="298">
        <v>-1.0766E-2</v>
      </c>
      <c r="J34" s="298">
        <v>-1.9942000000000001E-2</v>
      </c>
      <c r="K34" s="298">
        <v>4.5142000000000002E-2</v>
      </c>
      <c r="L34" s="298">
        <v>4.6915999999999999E-2</v>
      </c>
      <c r="M34" s="298">
        <v>4.8281999999999999E-2</v>
      </c>
      <c r="N34" s="298">
        <v>5.0996E-2</v>
      </c>
      <c r="O34" s="298">
        <v>5.3957999999999999E-2</v>
      </c>
      <c r="P34" s="298">
        <v>5.5452000000000001E-2</v>
      </c>
      <c r="Q34" s="298">
        <v>6.1186999999999998E-2</v>
      </c>
      <c r="R34" s="298">
        <v>6.6758999999999999E-2</v>
      </c>
      <c r="S34" s="298">
        <v>6.0532000000000002E-2</v>
      </c>
      <c r="T34" s="298">
        <v>6.1176000000000001E-2</v>
      </c>
      <c r="U34" s="298">
        <v>6.0847999999999999E-2</v>
      </c>
      <c r="V34" s="298">
        <v>6.0696E-2</v>
      </c>
      <c r="W34" s="298">
        <v>5.9957000000000003E-2</v>
      </c>
      <c r="X34" s="298">
        <v>5.9486999999999998E-2</v>
      </c>
      <c r="Y34" s="298">
        <v>5.8924999999999998E-2</v>
      </c>
      <c r="Z34" s="298">
        <v>5.8984000000000002E-2</v>
      </c>
      <c r="AA34" s="298">
        <v>5.8788E-2</v>
      </c>
      <c r="AB34" s="298">
        <v>5.806E-2</v>
      </c>
      <c r="AC34" s="298">
        <v>5.8056000000000003E-2</v>
      </c>
      <c r="AD34" s="298">
        <v>5.9012000000000002E-2</v>
      </c>
      <c r="AE34" s="298">
        <v>6.0673999999999999E-2</v>
      </c>
      <c r="AF34" s="298">
        <v>6.2348000000000001E-2</v>
      </c>
      <c r="AG34" s="298">
        <v>6.4079999999999998E-2</v>
      </c>
      <c r="AH34" s="298">
        <v>6.59E-2</v>
      </c>
      <c r="AI34" s="298">
        <v>6.9848999999999994E-2</v>
      </c>
      <c r="AJ34" s="298">
        <v>8.3220000000000002E-2</v>
      </c>
      <c r="AK34" s="298" t="s">
        <v>41</v>
      </c>
    </row>
    <row r="35" spans="1:38" s="18" customFormat="1">
      <c r="A35" s="17" t="s">
        <v>166</v>
      </c>
      <c r="B35" s="355">
        <v>1.6338998451829002E-2</v>
      </c>
      <c r="C35" s="355">
        <v>3.2029997557401699E-2</v>
      </c>
      <c r="D35" s="355">
        <v>5.1199223846197101E-2</v>
      </c>
      <c r="E35" s="355">
        <v>6.0358572751283597E-2</v>
      </c>
      <c r="F35" s="356">
        <v>6.3932694494724301E-2</v>
      </c>
      <c r="G35" s="298">
        <v>5.6239999999999998E-2</v>
      </c>
      <c r="H35" s="298">
        <v>5.9032000000000001E-2</v>
      </c>
      <c r="I35" s="298">
        <v>8.6099999999999996E-2</v>
      </c>
      <c r="J35" s="298">
        <v>9.0199000000000001E-2</v>
      </c>
      <c r="K35" s="298">
        <v>9.0070999999999998E-2</v>
      </c>
      <c r="L35" s="298">
        <v>8.6830000000000004E-2</v>
      </c>
      <c r="M35" s="298">
        <v>8.6858000000000005E-2</v>
      </c>
      <c r="N35" s="298">
        <v>8.5750999999999994E-2</v>
      </c>
      <c r="O35" s="298">
        <v>8.7317000000000006E-2</v>
      </c>
      <c r="P35" s="298">
        <v>8.8449E-2</v>
      </c>
      <c r="Q35" s="298">
        <v>8.8486999999999996E-2</v>
      </c>
      <c r="R35" s="298">
        <v>8.8999999999999996E-2</v>
      </c>
      <c r="S35" s="298">
        <v>8.8025000000000006E-2</v>
      </c>
      <c r="T35" s="298">
        <v>8.9304999999999995E-2</v>
      </c>
      <c r="U35" s="298">
        <v>8.7721999999999994E-2</v>
      </c>
      <c r="V35" s="298">
        <v>8.7541999999999995E-2</v>
      </c>
      <c r="W35" s="298">
        <v>8.7525000000000006E-2</v>
      </c>
      <c r="X35" s="298">
        <v>8.7489999999999998E-2</v>
      </c>
      <c r="Y35" s="298">
        <v>8.7501999999999996E-2</v>
      </c>
      <c r="Z35" s="298">
        <v>8.788E-2</v>
      </c>
      <c r="AA35" s="298">
        <v>8.9262999999999995E-2</v>
      </c>
      <c r="AB35" s="298">
        <v>8.9245000000000005E-2</v>
      </c>
      <c r="AC35" s="298">
        <v>8.9370000000000005E-2</v>
      </c>
      <c r="AD35" s="298">
        <v>8.9401999999999995E-2</v>
      </c>
      <c r="AE35" s="298">
        <v>8.9397000000000004E-2</v>
      </c>
      <c r="AF35" s="298">
        <v>8.9370000000000005E-2</v>
      </c>
      <c r="AG35" s="298">
        <v>8.9115E-2</v>
      </c>
      <c r="AH35" s="298">
        <v>8.9362999999999998E-2</v>
      </c>
      <c r="AI35" s="298">
        <v>8.9108000000000007E-2</v>
      </c>
      <c r="AJ35" s="298">
        <v>8.9448E-2</v>
      </c>
      <c r="AK35" s="298" t="s">
        <v>41</v>
      </c>
    </row>
    <row r="36" spans="1:38" s="18" customFormat="1">
      <c r="A36" s="17" t="s">
        <v>165</v>
      </c>
      <c r="B36" s="355">
        <v>1.6338998451829002E-2</v>
      </c>
      <c r="C36" s="355">
        <v>3.2029997557401699E-2</v>
      </c>
      <c r="D36" s="355">
        <v>5.1199223846197101E-2</v>
      </c>
      <c r="E36" s="355">
        <v>6.0358572751283597E-2</v>
      </c>
      <c r="F36" s="356">
        <v>6.3932694494724301E-2</v>
      </c>
      <c r="G36" s="298">
        <v>6.3100000000000003E-2</v>
      </c>
      <c r="H36" s="298">
        <v>6.3100000000000003E-2</v>
      </c>
      <c r="I36" s="298">
        <v>8.1100000000000005E-2</v>
      </c>
      <c r="J36" s="298">
        <v>8.7099999999999997E-2</v>
      </c>
      <c r="K36" s="298">
        <v>7.9580999999999999E-2</v>
      </c>
      <c r="L36" s="298">
        <v>7.6044E-2</v>
      </c>
      <c r="M36" s="298">
        <v>7.5939000000000006E-2</v>
      </c>
      <c r="N36" s="298">
        <v>7.4647000000000005E-2</v>
      </c>
      <c r="O36" s="298">
        <v>7.6071E-2</v>
      </c>
      <c r="P36" s="298">
        <v>7.6998999999999998E-2</v>
      </c>
      <c r="Q36" s="298">
        <v>7.6729000000000006E-2</v>
      </c>
      <c r="R36" s="298">
        <v>7.7030000000000001E-2</v>
      </c>
      <c r="S36" s="298">
        <v>7.5851000000000002E-2</v>
      </c>
      <c r="T36" s="298">
        <v>7.7146000000000006E-2</v>
      </c>
      <c r="U36" s="298">
        <v>7.5544E-2</v>
      </c>
      <c r="V36" s="298">
        <v>7.5385999999999995E-2</v>
      </c>
      <c r="W36" s="298">
        <v>7.5385999999999995E-2</v>
      </c>
      <c r="X36" s="298">
        <v>7.5385999999999995E-2</v>
      </c>
      <c r="Y36" s="298">
        <v>7.5385999999999995E-2</v>
      </c>
      <c r="Z36" s="298">
        <v>7.5749999999999998E-2</v>
      </c>
      <c r="AA36" s="298">
        <v>7.7146000000000006E-2</v>
      </c>
      <c r="AB36" s="298">
        <v>7.7146000000000006E-2</v>
      </c>
      <c r="AC36" s="298">
        <v>7.7260999999999996E-2</v>
      </c>
      <c r="AD36" s="298">
        <v>7.7260999999999996E-2</v>
      </c>
      <c r="AE36" s="298">
        <v>7.7260999999999996E-2</v>
      </c>
      <c r="AF36" s="298">
        <v>7.7260999999999996E-2</v>
      </c>
      <c r="AG36" s="298">
        <v>7.7010999999999996E-2</v>
      </c>
      <c r="AH36" s="298">
        <v>7.7260999999999996E-2</v>
      </c>
      <c r="AI36" s="298">
        <v>7.7010999999999996E-2</v>
      </c>
      <c r="AJ36" s="298">
        <v>7.7376E-2</v>
      </c>
      <c r="AK36" s="299">
        <v>7.0000000000000001E-3</v>
      </c>
    </row>
    <row r="37" spans="1:38">
      <c r="A37" s="6" t="s">
        <v>164</v>
      </c>
      <c r="B37" s="353">
        <v>0</v>
      </c>
      <c r="C37" s="353">
        <v>0</v>
      </c>
      <c r="D37" s="353">
        <v>0</v>
      </c>
      <c r="E37" s="353">
        <v>0</v>
      </c>
      <c r="F37" s="354">
        <v>0</v>
      </c>
      <c r="G37" s="298">
        <v>-3.4629999999999999E-3</v>
      </c>
      <c r="H37" s="298">
        <v>-4.0679999999999996E-3</v>
      </c>
      <c r="I37" s="298">
        <v>5.0000000000000001E-3</v>
      </c>
      <c r="J37" s="298">
        <v>3.0990000000000002E-3</v>
      </c>
      <c r="K37" s="298">
        <v>1.0489999999999999E-2</v>
      </c>
      <c r="L37" s="298">
        <v>1.0786E-2</v>
      </c>
      <c r="M37" s="298">
        <v>1.0919E-2</v>
      </c>
      <c r="N37" s="298">
        <v>1.1103999999999999E-2</v>
      </c>
      <c r="O37" s="298">
        <v>1.1247E-2</v>
      </c>
      <c r="P37" s="298">
        <v>1.145E-2</v>
      </c>
      <c r="Q37" s="298">
        <v>1.1757999999999999E-2</v>
      </c>
      <c r="R37" s="298">
        <v>1.197E-2</v>
      </c>
      <c r="S37" s="298">
        <v>1.2174000000000001E-2</v>
      </c>
      <c r="T37" s="298">
        <v>1.2159E-2</v>
      </c>
      <c r="U37" s="298">
        <v>1.2178E-2</v>
      </c>
      <c r="V37" s="298">
        <v>1.2154999999999999E-2</v>
      </c>
      <c r="W37" s="298">
        <v>1.2139E-2</v>
      </c>
      <c r="X37" s="298">
        <v>1.2104E-2</v>
      </c>
      <c r="Y37" s="298">
        <v>1.2116E-2</v>
      </c>
      <c r="Z37" s="298">
        <v>1.2130999999999999E-2</v>
      </c>
      <c r="AA37" s="298">
        <v>1.2118E-2</v>
      </c>
      <c r="AB37" s="298">
        <v>1.21E-2</v>
      </c>
      <c r="AC37" s="298">
        <v>1.2109999999999999E-2</v>
      </c>
      <c r="AD37" s="298">
        <v>1.2141000000000001E-2</v>
      </c>
      <c r="AE37" s="298">
        <v>1.2137E-2</v>
      </c>
      <c r="AF37" s="298">
        <v>1.2109E-2</v>
      </c>
      <c r="AG37" s="298">
        <v>1.2102999999999999E-2</v>
      </c>
      <c r="AH37" s="298">
        <v>1.2102E-2</v>
      </c>
      <c r="AI37" s="298">
        <v>1.2096000000000001E-2</v>
      </c>
      <c r="AJ37" s="298">
        <v>1.2071999999999999E-2</v>
      </c>
      <c r="AK37" s="298" t="s">
        <v>41</v>
      </c>
    </row>
    <row r="38" spans="1:38">
      <c r="A38" s="6" t="s">
        <v>163</v>
      </c>
      <c r="B38" s="353">
        <v>0</v>
      </c>
      <c r="C38" s="353">
        <v>0</v>
      </c>
      <c r="D38" s="353">
        <v>0</v>
      </c>
      <c r="E38" s="353">
        <v>0</v>
      </c>
      <c r="F38" s="354">
        <v>0</v>
      </c>
      <c r="G38" s="298">
        <v>2.2160000000000002</v>
      </c>
      <c r="H38" s="298">
        <v>2.4</v>
      </c>
      <c r="I38" s="298">
        <v>2.4900000000000002</v>
      </c>
      <c r="J38" s="298">
        <v>2.5089999999999999</v>
      </c>
      <c r="K38" s="298">
        <v>2.5561180000000001</v>
      </c>
      <c r="L38" s="298">
        <v>2.6337290000000002</v>
      </c>
      <c r="M38" s="298">
        <v>2.6633930000000001</v>
      </c>
      <c r="N38" s="298">
        <v>2.6705079999999999</v>
      </c>
      <c r="O38" s="298">
        <v>2.669905</v>
      </c>
      <c r="P38" s="298">
        <v>2.6458759999999999</v>
      </c>
      <c r="Q38" s="298">
        <v>2.60798</v>
      </c>
      <c r="R38" s="298">
        <v>2.7045080000000001</v>
      </c>
      <c r="S38" s="298">
        <v>2.7930269999999999</v>
      </c>
      <c r="T38" s="298">
        <v>2.8390249999999999</v>
      </c>
      <c r="U38" s="298">
        <v>2.8728980000000002</v>
      </c>
      <c r="V38" s="298">
        <v>2.9033150000000001</v>
      </c>
      <c r="W38" s="298">
        <v>2.9228930000000002</v>
      </c>
      <c r="X38" s="298">
        <v>2.9406509999999999</v>
      </c>
      <c r="Y38" s="298">
        <v>2.9505080000000001</v>
      </c>
      <c r="Z38" s="298">
        <v>2.978853</v>
      </c>
      <c r="AA38" s="298">
        <v>3.0103460000000002</v>
      </c>
      <c r="AB38" s="298">
        <v>3.0288490000000001</v>
      </c>
      <c r="AC38" s="298">
        <v>3.0383969999999998</v>
      </c>
      <c r="AD38" s="298">
        <v>3.0546120000000001</v>
      </c>
      <c r="AE38" s="298">
        <v>3.0492400000000002</v>
      </c>
      <c r="AF38" s="298">
        <v>3.0289980000000001</v>
      </c>
      <c r="AG38" s="298">
        <v>3.058621</v>
      </c>
      <c r="AH38" s="298">
        <v>3.037477</v>
      </c>
      <c r="AI38" s="298">
        <v>3.013617</v>
      </c>
      <c r="AJ38" s="298">
        <v>2.983552</v>
      </c>
      <c r="AK38" s="299">
        <v>8.0000000000000002E-3</v>
      </c>
    </row>
    <row r="39" spans="1:38">
      <c r="A39" s="6" t="s">
        <v>162</v>
      </c>
      <c r="B39" s="353">
        <v>0</v>
      </c>
      <c r="C39" s="353">
        <v>0</v>
      </c>
      <c r="D39" s="353">
        <v>0</v>
      </c>
      <c r="E39" s="353">
        <v>0</v>
      </c>
      <c r="F39" s="354">
        <v>0</v>
      </c>
      <c r="G39" s="298">
        <v>0</v>
      </c>
      <c r="H39" s="298">
        <v>0</v>
      </c>
      <c r="I39" s="298">
        <v>0</v>
      </c>
      <c r="J39" s="298">
        <v>0</v>
      </c>
      <c r="K39" s="298">
        <v>0</v>
      </c>
      <c r="L39" s="298">
        <v>0</v>
      </c>
      <c r="M39" s="298">
        <v>0</v>
      </c>
      <c r="N39" s="298">
        <v>0</v>
      </c>
      <c r="O39" s="298">
        <v>0</v>
      </c>
      <c r="P39" s="298">
        <v>0</v>
      </c>
      <c r="Q39" s="298">
        <v>0</v>
      </c>
      <c r="R39" s="298">
        <v>0</v>
      </c>
      <c r="S39" s="298">
        <v>0</v>
      </c>
      <c r="T39" s="298">
        <v>0</v>
      </c>
      <c r="U39" s="298">
        <v>0</v>
      </c>
      <c r="V39" s="298">
        <v>0</v>
      </c>
      <c r="W39" s="298">
        <v>0</v>
      </c>
      <c r="X39" s="298">
        <v>0</v>
      </c>
      <c r="Y39" s="298">
        <v>0</v>
      </c>
      <c r="Z39" s="298">
        <v>0</v>
      </c>
      <c r="AA39" s="298">
        <v>0</v>
      </c>
      <c r="AB39" s="298">
        <v>0</v>
      </c>
      <c r="AC39" s="298">
        <v>0</v>
      </c>
      <c r="AD39" s="298">
        <v>0</v>
      </c>
      <c r="AE39" s="298">
        <v>0</v>
      </c>
      <c r="AF39" s="298">
        <v>0</v>
      </c>
      <c r="AG39" s="298">
        <v>0</v>
      </c>
      <c r="AH39" s="298">
        <v>0</v>
      </c>
      <c r="AI39" s="298">
        <v>0</v>
      </c>
      <c r="AJ39" s="298">
        <v>0</v>
      </c>
      <c r="AK39" s="298" t="s">
        <v>41</v>
      </c>
    </row>
    <row r="40" spans="1:38" s="271" customFormat="1">
      <c r="A40" s="270" t="s">
        <v>161</v>
      </c>
      <c r="B40" s="355">
        <v>0</v>
      </c>
      <c r="C40" s="355">
        <v>0</v>
      </c>
      <c r="D40" s="355">
        <v>0</v>
      </c>
      <c r="E40" s="355">
        <v>0</v>
      </c>
      <c r="F40" s="356">
        <v>0</v>
      </c>
      <c r="G40" s="306">
        <v>0</v>
      </c>
      <c r="H40" s="306">
        <v>3.4809526987373799E-3</v>
      </c>
      <c r="I40" s="306">
        <v>5.2319555543363103E-3</v>
      </c>
      <c r="J40" s="306">
        <v>7.8436248004436493E-3</v>
      </c>
      <c r="K40" s="306">
        <v>1.17142805829644E-2</v>
      </c>
      <c r="L40" s="306">
        <v>1.7396988347172699E-2</v>
      </c>
      <c r="M40" s="306">
        <v>2.5625614449381801E-2</v>
      </c>
      <c r="N40" s="306">
        <v>3.7305567413568497E-2</v>
      </c>
      <c r="O40" s="306">
        <v>5.34236840903759E-2</v>
      </c>
      <c r="P40" s="306">
        <v>7.4822284281253801E-2</v>
      </c>
      <c r="Q40" s="306">
        <v>0.10181753337383299</v>
      </c>
      <c r="R40" s="306">
        <v>0.133762747049332</v>
      </c>
      <c r="S40" s="306">
        <v>0.16882437467575101</v>
      </c>
      <c r="T40" s="306">
        <v>0.204265296459198</v>
      </c>
      <c r="U40" s="306">
        <v>0.237230360507965</v>
      </c>
      <c r="V40" s="306">
        <v>0.26560345292091397</v>
      </c>
      <c r="W40" s="306">
        <v>0.28843852877616899</v>
      </c>
      <c r="X40" s="306">
        <v>0.30584391951561002</v>
      </c>
      <c r="Y40" s="306">
        <v>0.31856861710548401</v>
      </c>
      <c r="Z40" s="306">
        <v>0.32759037613868702</v>
      </c>
      <c r="AA40" s="306"/>
      <c r="AB40" s="306"/>
      <c r="AC40" s="306"/>
      <c r="AD40" s="306"/>
      <c r="AE40" s="306"/>
      <c r="AF40" s="306"/>
      <c r="AG40" s="306"/>
      <c r="AH40" s="306"/>
      <c r="AI40" s="306"/>
      <c r="AJ40" s="306"/>
      <c r="AK40" s="307" t="s">
        <v>41</v>
      </c>
    </row>
    <row r="41" spans="1:38">
      <c r="A41" s="6" t="s">
        <v>691</v>
      </c>
      <c r="B41" s="353">
        <v>7.3012053966522203E-2</v>
      </c>
      <c r="C41" s="353">
        <v>0.28600034117698703</v>
      </c>
      <c r="D41" s="353">
        <v>0.24600045382976499</v>
      </c>
      <c r="E41" s="353">
        <v>0.16400466859340701</v>
      </c>
      <c r="F41" s="354">
        <v>0.31155380606651301</v>
      </c>
      <c r="G41" s="298">
        <v>0.182</v>
      </c>
      <c r="H41" s="298">
        <v>0.191</v>
      </c>
      <c r="I41" s="298">
        <v>0.193</v>
      </c>
      <c r="J41" s="298">
        <v>0.193</v>
      </c>
      <c r="K41" s="298">
        <v>0.28578500000000001</v>
      </c>
      <c r="L41" s="298">
        <v>0.28816599999999998</v>
      </c>
      <c r="M41" s="298">
        <v>0.290412</v>
      </c>
      <c r="N41" s="298">
        <v>0.29299799999999998</v>
      </c>
      <c r="O41" s="298">
        <v>0.293852</v>
      </c>
      <c r="P41" s="298">
        <v>0.29503000000000001</v>
      </c>
      <c r="Q41" s="298">
        <v>0.298292</v>
      </c>
      <c r="R41" s="298">
        <v>0.29944399999999999</v>
      </c>
      <c r="S41" s="298">
        <v>0.29972700000000002</v>
      </c>
      <c r="T41" s="298">
        <v>0.301095</v>
      </c>
      <c r="U41" s="298">
        <v>0.30102299999999999</v>
      </c>
      <c r="V41" s="298">
        <v>0.30064000000000002</v>
      </c>
      <c r="W41" s="298">
        <v>0.30251600000000001</v>
      </c>
      <c r="X41" s="298">
        <v>0.30219699999999999</v>
      </c>
      <c r="Y41" s="298">
        <v>0.30013899999999999</v>
      </c>
      <c r="Z41" s="298">
        <v>0.30297200000000002</v>
      </c>
      <c r="AA41" s="298">
        <v>0.30451</v>
      </c>
      <c r="AB41" s="298">
        <v>0.306419</v>
      </c>
      <c r="AC41" s="298">
        <v>0.30664000000000002</v>
      </c>
      <c r="AD41" s="298">
        <v>0.30698399999999998</v>
      </c>
      <c r="AE41" s="298">
        <v>0.308342</v>
      </c>
      <c r="AF41" s="298">
        <v>0.30915900000000002</v>
      </c>
      <c r="AG41" s="298">
        <v>0.30972699999999997</v>
      </c>
      <c r="AH41" s="298">
        <v>0.31073899999999999</v>
      </c>
      <c r="AI41" s="298">
        <v>0.31163999999999997</v>
      </c>
      <c r="AJ41" s="298">
        <v>0.31290899999999999</v>
      </c>
      <c r="AK41" s="299">
        <v>1.7999999999999999E-2</v>
      </c>
    </row>
    <row r="42" spans="1:38">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row>
    <row r="43" spans="1:38" s="18" customFormat="1">
      <c r="A43" s="17" t="s">
        <v>692</v>
      </c>
      <c r="B43" s="355">
        <v>20.697353363037099</v>
      </c>
      <c r="C43" s="355">
        <v>20.768030166626001</v>
      </c>
      <c r="D43" s="355">
        <v>19.647199630737301</v>
      </c>
      <c r="E43" s="355">
        <v>19.421310424804702</v>
      </c>
      <c r="F43" s="356">
        <v>19.587932586669901</v>
      </c>
      <c r="G43" s="249">
        <v>18.938583000000001</v>
      </c>
      <c r="H43" s="249">
        <v>18.592289000000001</v>
      </c>
      <c r="I43" s="249">
        <v>18.985319</v>
      </c>
      <c r="J43" s="249">
        <v>18.815241</v>
      </c>
      <c r="K43" s="249">
        <v>19.157446</v>
      </c>
      <c r="L43" s="249">
        <v>19.35895</v>
      </c>
      <c r="M43" s="249">
        <v>19.477530000000002</v>
      </c>
      <c r="N43" s="249">
        <v>19.527609000000002</v>
      </c>
      <c r="O43" s="249">
        <v>19.535461000000002</v>
      </c>
      <c r="P43" s="249">
        <v>19.520367</v>
      </c>
      <c r="Q43" s="249">
        <v>19.477088999999999</v>
      </c>
      <c r="R43" s="249">
        <v>19.437809000000001</v>
      </c>
      <c r="S43" s="249">
        <v>19.388767000000001</v>
      </c>
      <c r="T43" s="249">
        <v>19.330017000000002</v>
      </c>
      <c r="U43" s="249">
        <v>19.262318</v>
      </c>
      <c r="V43" s="249">
        <v>19.178843000000001</v>
      </c>
      <c r="W43" s="249">
        <v>19.119274000000001</v>
      </c>
      <c r="X43" s="249">
        <v>19.059887</v>
      </c>
      <c r="Y43" s="249">
        <v>18.980637000000002</v>
      </c>
      <c r="Z43" s="249">
        <v>18.926172000000001</v>
      </c>
      <c r="AA43" s="249">
        <v>18.880776999999998</v>
      </c>
      <c r="AB43" s="249">
        <v>18.838093000000001</v>
      </c>
      <c r="AC43" s="249">
        <v>18.795445999999998</v>
      </c>
      <c r="AD43" s="249">
        <v>18.768318000000001</v>
      </c>
      <c r="AE43" s="249">
        <v>18.751888000000001</v>
      </c>
      <c r="AF43" s="249">
        <v>18.731911</v>
      </c>
      <c r="AG43" s="249">
        <v>18.743359000000002</v>
      </c>
      <c r="AH43" s="249">
        <v>18.755479999999999</v>
      </c>
      <c r="AI43" s="249">
        <v>18.748524</v>
      </c>
      <c r="AJ43" s="249">
        <v>18.724962000000001</v>
      </c>
      <c r="AK43" s="250">
        <v>0</v>
      </c>
    </row>
    <row r="44" spans="1:38" s="260" customFormat="1">
      <c r="A44" s="259" t="s">
        <v>196</v>
      </c>
      <c r="B44" s="357">
        <f t="shared" ref="B44:H44" si="0">B43*365</f>
        <v>7554.5339775085413</v>
      </c>
      <c r="C44" s="357">
        <f t="shared" si="0"/>
        <v>7580.3310108184905</v>
      </c>
      <c r="D44" s="357">
        <f t="shared" si="0"/>
        <v>7171.2278652191153</v>
      </c>
      <c r="E44" s="357">
        <f t="shared" si="0"/>
        <v>7088.7783050537164</v>
      </c>
      <c r="F44" s="358">
        <f t="shared" si="0"/>
        <v>7149.5953941345133</v>
      </c>
      <c r="G44" s="308">
        <f t="shared" si="0"/>
        <v>6912.5827950000003</v>
      </c>
      <c r="H44" s="308">
        <f t="shared" si="0"/>
        <v>6786.185485</v>
      </c>
      <c r="I44" s="308">
        <f t="shared" ref="I44:AJ44" si="1">I43*365</f>
        <v>6929.6414350000005</v>
      </c>
      <c r="J44" s="308">
        <f t="shared" si="1"/>
        <v>6867.5629650000001</v>
      </c>
      <c r="K44" s="308">
        <f t="shared" si="1"/>
        <v>6992.4677899999997</v>
      </c>
      <c r="L44" s="308">
        <f t="shared" si="1"/>
        <v>7066.0167499999998</v>
      </c>
      <c r="M44" s="308">
        <f t="shared" si="1"/>
        <v>7109.2984500000002</v>
      </c>
      <c r="N44" s="308">
        <f t="shared" si="1"/>
        <v>7127.5772850000003</v>
      </c>
      <c r="O44" s="308">
        <f t="shared" si="1"/>
        <v>7130.4432650000008</v>
      </c>
      <c r="P44" s="308">
        <f t="shared" si="1"/>
        <v>7124.9339550000004</v>
      </c>
      <c r="Q44" s="308">
        <f t="shared" si="1"/>
        <v>7109.1374850000002</v>
      </c>
      <c r="R44" s="308">
        <f t="shared" si="1"/>
        <v>7094.8002850000003</v>
      </c>
      <c r="S44" s="308">
        <f t="shared" si="1"/>
        <v>7076.8999550000008</v>
      </c>
      <c r="T44" s="308">
        <f t="shared" si="1"/>
        <v>7055.4562050000004</v>
      </c>
      <c r="U44" s="308">
        <f t="shared" si="1"/>
        <v>7030.7460700000001</v>
      </c>
      <c r="V44" s="308">
        <f t="shared" si="1"/>
        <v>7000.2776949999998</v>
      </c>
      <c r="W44" s="308">
        <f t="shared" si="1"/>
        <v>6978.5350100000005</v>
      </c>
      <c r="X44" s="308">
        <f t="shared" si="1"/>
        <v>6956.8587550000002</v>
      </c>
      <c r="Y44" s="308">
        <f t="shared" si="1"/>
        <v>6927.9325050000007</v>
      </c>
      <c r="Z44" s="308">
        <f t="shared" si="1"/>
        <v>6908.05278</v>
      </c>
      <c r="AA44" s="308">
        <f t="shared" si="1"/>
        <v>6891.4836049999994</v>
      </c>
      <c r="AB44" s="308">
        <f t="shared" si="1"/>
        <v>6875.903945</v>
      </c>
      <c r="AC44" s="308">
        <f t="shared" si="1"/>
        <v>6860.3377899999996</v>
      </c>
      <c r="AD44" s="308">
        <f t="shared" si="1"/>
        <v>6850.4360700000007</v>
      </c>
      <c r="AE44" s="308">
        <f t="shared" si="1"/>
        <v>6844.43912</v>
      </c>
      <c r="AF44" s="308">
        <f t="shared" si="1"/>
        <v>6837.1475149999997</v>
      </c>
      <c r="AG44" s="308">
        <f t="shared" si="1"/>
        <v>6841.326035000001</v>
      </c>
      <c r="AH44" s="308">
        <f t="shared" si="1"/>
        <v>6845.7501999999995</v>
      </c>
      <c r="AI44" s="308">
        <f t="shared" si="1"/>
        <v>6843.21126</v>
      </c>
      <c r="AJ44" s="308">
        <f t="shared" si="1"/>
        <v>6834.6111300000002</v>
      </c>
      <c r="AK44" s="309"/>
    </row>
    <row r="45" spans="1:38" s="264" customFormat="1">
      <c r="A45" s="263" t="s">
        <v>187</v>
      </c>
      <c r="B45" s="359">
        <f>SUM(B33,B36,B40)</f>
        <v>0.28962799347937102</v>
      </c>
      <c r="C45" s="359">
        <f t="shared" ref="C45:AJ45" si="2">SUM(C33,C36,C40)</f>
        <v>0.43539400026202169</v>
      </c>
      <c r="D45" s="359">
        <f t="shared" si="2"/>
        <v>0.63372322544455517</v>
      </c>
      <c r="E45" s="359">
        <f t="shared" si="2"/>
        <v>0.75007860735058762</v>
      </c>
      <c r="F45" s="360">
        <f t="shared" si="2"/>
        <v>0.9057262316346173</v>
      </c>
      <c r="G45" s="310">
        <f t="shared" si="2"/>
        <v>0.94907600000000003</v>
      </c>
      <c r="H45" s="310">
        <f t="shared" si="2"/>
        <v>0.91023695269873739</v>
      </c>
      <c r="I45" s="310">
        <f t="shared" si="2"/>
        <v>0.92228495555433621</v>
      </c>
      <c r="J45" s="310">
        <f t="shared" si="2"/>
        <v>0.96492762480044358</v>
      </c>
      <c r="K45" s="310">
        <f t="shared" si="2"/>
        <v>0.91143528058296441</v>
      </c>
      <c r="L45" s="310">
        <f t="shared" si="2"/>
        <v>0.91577698834717269</v>
      </c>
      <c r="M45" s="310">
        <f t="shared" si="2"/>
        <v>0.93473461444938177</v>
      </c>
      <c r="N45" s="310">
        <f t="shared" si="2"/>
        <v>0.94681856741356851</v>
      </c>
      <c r="O45" s="310">
        <f t="shared" si="2"/>
        <v>0.96443668409037586</v>
      </c>
      <c r="P45" s="310">
        <f t="shared" si="2"/>
        <v>0.99222728428125384</v>
      </c>
      <c r="Q45" s="310">
        <f t="shared" si="2"/>
        <v>1.0172315333738331</v>
      </c>
      <c r="R45" s="310">
        <f t="shared" si="2"/>
        <v>1.0595427470493322</v>
      </c>
      <c r="S45" s="310">
        <f t="shared" si="2"/>
        <v>1.0990673746757511</v>
      </c>
      <c r="T45" s="310">
        <f t="shared" si="2"/>
        <v>1.1357882964591981</v>
      </c>
      <c r="U45" s="310">
        <f t="shared" si="2"/>
        <v>1.1671623605079651</v>
      </c>
      <c r="V45" s="310">
        <f t="shared" si="2"/>
        <v>1.1953814529209139</v>
      </c>
      <c r="W45" s="310">
        <f t="shared" si="2"/>
        <v>1.2190545287761689</v>
      </c>
      <c r="X45" s="310">
        <f t="shared" si="2"/>
        <v>1.2370769195156099</v>
      </c>
      <c r="Y45" s="310">
        <f t="shared" si="2"/>
        <v>1.2497896171054839</v>
      </c>
      <c r="Z45" s="310">
        <f t="shared" si="2"/>
        <v>1.2591873761386871</v>
      </c>
      <c r="AA45" s="310">
        <f t="shared" si="2"/>
        <v>0.93299300000000007</v>
      </c>
      <c r="AB45" s="310">
        <f t="shared" si="2"/>
        <v>0.93298100000000006</v>
      </c>
      <c r="AC45" s="310">
        <f t="shared" si="2"/>
        <v>0.93309600000000004</v>
      </c>
      <c r="AD45" s="310">
        <f t="shared" si="2"/>
        <v>0.93309600000000004</v>
      </c>
      <c r="AE45" s="310">
        <f t="shared" si="2"/>
        <v>0.93084500000000003</v>
      </c>
      <c r="AF45" s="310">
        <f t="shared" si="2"/>
        <v>0.92709399999999997</v>
      </c>
      <c r="AG45" s="310">
        <f t="shared" si="2"/>
        <v>0.92458599999999991</v>
      </c>
      <c r="AH45" s="310">
        <f t="shared" si="2"/>
        <v>0.92581500000000005</v>
      </c>
      <c r="AI45" s="310">
        <f t="shared" si="2"/>
        <v>0.93603499999999995</v>
      </c>
      <c r="AJ45" s="310">
        <f t="shared" si="2"/>
        <v>0.94016100000000002</v>
      </c>
      <c r="AK45" s="311"/>
    </row>
    <row r="46" spans="1:38" s="260" customFormat="1">
      <c r="A46" s="265" t="s">
        <v>193</v>
      </c>
      <c r="B46" s="355">
        <f>B45*365</f>
        <v>105.71421761997043</v>
      </c>
      <c r="C46" s="355">
        <f t="shared" ref="C46:AJ46" si="3">C45*365</f>
        <v>158.91881009563792</v>
      </c>
      <c r="D46" s="355">
        <f t="shared" si="3"/>
        <v>231.30897728726265</v>
      </c>
      <c r="E46" s="355">
        <f t="shared" si="3"/>
        <v>273.77869168296451</v>
      </c>
      <c r="F46" s="356">
        <f t="shared" si="3"/>
        <v>330.59007454663532</v>
      </c>
      <c r="G46" s="312">
        <f t="shared" si="3"/>
        <v>346.41273999999999</v>
      </c>
      <c r="H46" s="312">
        <f t="shared" si="3"/>
        <v>332.23648773503913</v>
      </c>
      <c r="I46" s="312">
        <f t="shared" si="3"/>
        <v>336.63400877733272</v>
      </c>
      <c r="J46" s="312">
        <f t="shared" si="3"/>
        <v>352.19858305216189</v>
      </c>
      <c r="K46" s="312">
        <f t="shared" si="3"/>
        <v>332.67387741278202</v>
      </c>
      <c r="L46" s="312">
        <f t="shared" si="3"/>
        <v>334.25860074671806</v>
      </c>
      <c r="M46" s="312">
        <f t="shared" si="3"/>
        <v>341.17813427402433</v>
      </c>
      <c r="N46" s="312">
        <f t="shared" si="3"/>
        <v>345.58877710595249</v>
      </c>
      <c r="O46" s="312">
        <f t="shared" si="3"/>
        <v>352.0193896929872</v>
      </c>
      <c r="P46" s="312">
        <f t="shared" si="3"/>
        <v>362.16295876265764</v>
      </c>
      <c r="Q46" s="312">
        <f t="shared" si="3"/>
        <v>371.28950968144909</v>
      </c>
      <c r="R46" s="312">
        <f t="shared" si="3"/>
        <v>386.73310267300621</v>
      </c>
      <c r="S46" s="312">
        <f t="shared" si="3"/>
        <v>401.15959175664915</v>
      </c>
      <c r="T46" s="312">
        <f t="shared" si="3"/>
        <v>414.56272820760728</v>
      </c>
      <c r="U46" s="312">
        <f t="shared" si="3"/>
        <v>426.01426158540727</v>
      </c>
      <c r="V46" s="312">
        <f t="shared" si="3"/>
        <v>436.3142303161336</v>
      </c>
      <c r="W46" s="312">
        <f t="shared" si="3"/>
        <v>444.95490300330164</v>
      </c>
      <c r="X46" s="312">
        <f t="shared" si="3"/>
        <v>451.53307562319765</v>
      </c>
      <c r="Y46" s="312">
        <f t="shared" si="3"/>
        <v>456.17321024350161</v>
      </c>
      <c r="Z46" s="312">
        <f t="shared" si="3"/>
        <v>459.60339229062083</v>
      </c>
      <c r="AA46" s="312">
        <f t="shared" si="3"/>
        <v>340.54244500000004</v>
      </c>
      <c r="AB46" s="312">
        <f t="shared" si="3"/>
        <v>340.53806500000002</v>
      </c>
      <c r="AC46" s="312">
        <f t="shared" si="3"/>
        <v>340.58004</v>
      </c>
      <c r="AD46" s="312">
        <f t="shared" si="3"/>
        <v>340.58004</v>
      </c>
      <c r="AE46" s="312">
        <f t="shared" si="3"/>
        <v>339.75842499999999</v>
      </c>
      <c r="AF46" s="312">
        <f t="shared" si="3"/>
        <v>338.38930999999997</v>
      </c>
      <c r="AG46" s="312">
        <f t="shared" si="3"/>
        <v>337.47388999999998</v>
      </c>
      <c r="AH46" s="312">
        <f t="shared" si="3"/>
        <v>337.92247500000002</v>
      </c>
      <c r="AI46" s="312">
        <f t="shared" si="3"/>
        <v>341.65277499999996</v>
      </c>
      <c r="AJ46" s="312">
        <f t="shared" si="3"/>
        <v>343.15876500000002</v>
      </c>
      <c r="AK46" s="309"/>
    </row>
    <row r="47" spans="1:38" s="260" customFormat="1">
      <c r="A47" s="265" t="s">
        <v>192</v>
      </c>
      <c r="B47" s="355"/>
      <c r="C47" s="361">
        <f>C46/B46-1</f>
        <v>0.50328700976562524</v>
      </c>
      <c r="D47" s="361">
        <f t="shared" ref="D47:Z47" si="4">D46/C46-1</f>
        <v>0.45551667010381003</v>
      </c>
      <c r="E47" s="361">
        <f t="shared" si="4"/>
        <v>0.1836059927019551</v>
      </c>
      <c r="F47" s="362">
        <f t="shared" si="4"/>
        <v>0.20750841679621423</v>
      </c>
      <c r="G47" s="313"/>
      <c r="H47" s="313">
        <f t="shared" si="4"/>
        <v>-4.0923010698050155E-2</v>
      </c>
      <c r="I47" s="313">
        <f t="shared" si="4"/>
        <v>1.32361170570785E-2</v>
      </c>
      <c r="J47" s="313">
        <f t="shared" si="4"/>
        <v>4.6235893786727766E-2</v>
      </c>
      <c r="K47" s="313">
        <f t="shared" si="4"/>
        <v>-5.5436638813757488E-2</v>
      </c>
      <c r="L47" s="313">
        <f t="shared" si="4"/>
        <v>4.7635941428900708E-3</v>
      </c>
      <c r="M47" s="313">
        <f t="shared" si="4"/>
        <v>2.0701138315807999E-2</v>
      </c>
      <c r="N47" s="313">
        <f t="shared" si="4"/>
        <v>1.2927683191988004E-2</v>
      </c>
      <c r="O47" s="313">
        <f t="shared" si="4"/>
        <v>1.8607700866001275E-2</v>
      </c>
      <c r="P47" s="313">
        <f t="shared" si="4"/>
        <v>2.8815370308201249E-2</v>
      </c>
      <c r="Q47" s="313">
        <f t="shared" si="4"/>
        <v>2.5200122480699472E-2</v>
      </c>
      <c r="R47" s="313">
        <f t="shared" si="4"/>
        <v>4.1594477055942436E-2</v>
      </c>
      <c r="S47" s="313">
        <f t="shared" si="4"/>
        <v>3.730347618016272E-2</v>
      </c>
      <c r="T47" s="313">
        <f t="shared" si="4"/>
        <v>3.3410983375137038E-2</v>
      </c>
      <c r="U47" s="313">
        <f t="shared" si="4"/>
        <v>2.762316194538661E-2</v>
      </c>
      <c r="V47" s="313">
        <f t="shared" si="4"/>
        <v>2.4177520941188968E-2</v>
      </c>
      <c r="W47" s="313">
        <f t="shared" si="4"/>
        <v>1.9803783802575969E-2</v>
      </c>
      <c r="X47" s="313">
        <f t="shared" si="4"/>
        <v>1.4783908606232909E-2</v>
      </c>
      <c r="Y47" s="313">
        <f t="shared" si="4"/>
        <v>1.0276400270123665E-2</v>
      </c>
      <c r="Z47" s="313">
        <f t="shared" si="4"/>
        <v>7.5194728013252554E-3</v>
      </c>
      <c r="AA47" s="313">
        <f t="shared" ref="AA47:AJ47" si="5">AA46/Z46-1</f>
        <v>-0.25905149806930716</v>
      </c>
      <c r="AB47" s="313">
        <f t="shared" si="5"/>
        <v>-1.2861832832666842E-5</v>
      </c>
      <c r="AC47" s="313">
        <f t="shared" si="5"/>
        <v>1.2326081667257682E-4</v>
      </c>
      <c r="AD47" s="313">
        <f t="shared" si="5"/>
        <v>0</v>
      </c>
      <c r="AE47" s="313">
        <f t="shared" si="5"/>
        <v>-2.412399152927458E-3</v>
      </c>
      <c r="AF47" s="313">
        <f t="shared" si="5"/>
        <v>-4.0296719647202606E-3</v>
      </c>
      <c r="AG47" s="313">
        <f t="shared" si="5"/>
        <v>-2.7052273016543449E-3</v>
      </c>
      <c r="AH47" s="313">
        <f t="shared" si="5"/>
        <v>1.3292435749623355E-3</v>
      </c>
      <c r="AI47" s="313">
        <f t="shared" si="5"/>
        <v>1.1038922462910827E-2</v>
      </c>
      <c r="AJ47" s="313">
        <f t="shared" si="5"/>
        <v>4.4079548307489613E-3</v>
      </c>
      <c r="AK47" s="309"/>
    </row>
    <row r="48" spans="1:38" s="266" customFormat="1">
      <c r="A48" s="263" t="s">
        <v>195</v>
      </c>
      <c r="B48" s="363">
        <f>SUM(B33,B36,B40)/B43</f>
        <v>1.3993479668594277E-2</v>
      </c>
      <c r="C48" s="363">
        <f t="shared" ref="C48:AJ48" si="6">SUM(C33,C36,C40)/C43</f>
        <v>2.0964626725248844E-2</v>
      </c>
      <c r="D48" s="363">
        <f t="shared" si="6"/>
        <v>3.2255142582921545E-2</v>
      </c>
      <c r="E48" s="363">
        <f t="shared" si="6"/>
        <v>3.8621421054708789E-2</v>
      </c>
      <c r="F48" s="364">
        <f t="shared" si="6"/>
        <v>4.6238990645239793E-2</v>
      </c>
      <c r="G48" s="314">
        <f t="shared" si="6"/>
        <v>5.0113358533740354E-2</v>
      </c>
      <c r="H48" s="314">
        <f t="shared" si="6"/>
        <v>4.8957766991398283E-2</v>
      </c>
      <c r="I48" s="314">
        <f t="shared" si="6"/>
        <v>4.8578849560248959E-2</v>
      </c>
      <c r="J48" s="314">
        <f t="shared" si="6"/>
        <v>5.1284361693822764E-2</v>
      </c>
      <c r="K48" s="314">
        <f t="shared" si="6"/>
        <v>4.7576032869045506E-2</v>
      </c>
      <c r="L48" s="314">
        <f t="shared" si="6"/>
        <v>4.7305096007127075E-2</v>
      </c>
      <c r="M48" s="314">
        <f t="shared" si="6"/>
        <v>4.7990408149769591E-2</v>
      </c>
      <c r="N48" s="314">
        <f t="shared" si="6"/>
        <v>4.8486149400757073E-2</v>
      </c>
      <c r="O48" s="314">
        <f t="shared" si="6"/>
        <v>4.9368514215783074E-2</v>
      </c>
      <c r="P48" s="314">
        <f t="shared" si="6"/>
        <v>5.0830360119830421E-2</v>
      </c>
      <c r="Q48" s="314">
        <f t="shared" si="6"/>
        <v>5.2227082464624625E-2</v>
      </c>
      <c r="R48" s="315">
        <f t="shared" si="6"/>
        <v>5.4509371249060634E-2</v>
      </c>
      <c r="S48" s="314">
        <f t="shared" si="6"/>
        <v>5.6685779692733994E-2</v>
      </c>
      <c r="T48" s="314">
        <f t="shared" si="6"/>
        <v>5.8757749486676503E-2</v>
      </c>
      <c r="U48" s="314">
        <f t="shared" si="6"/>
        <v>6.059303768673973E-2</v>
      </c>
      <c r="V48" s="314">
        <f t="shared" si="6"/>
        <v>6.2328131729370427E-2</v>
      </c>
      <c r="W48" s="314">
        <f t="shared" si="6"/>
        <v>6.3760503080617439E-2</v>
      </c>
      <c r="X48" s="314">
        <f t="shared" si="6"/>
        <v>6.4904735244002754E-2</v>
      </c>
      <c r="Y48" s="314">
        <f t="shared" si="6"/>
        <v>6.5845504400378327E-2</v>
      </c>
      <c r="Z48" s="315">
        <f t="shared" si="6"/>
        <v>6.6531540352623181E-2</v>
      </c>
      <c r="AA48" s="315">
        <f t="shared" si="6"/>
        <v>4.9414968462367842E-2</v>
      </c>
      <c r="AB48" s="315">
        <f t="shared" si="6"/>
        <v>4.9526297592861444E-2</v>
      </c>
      <c r="AC48" s="315">
        <f t="shared" si="6"/>
        <v>4.9644791616011673E-2</v>
      </c>
      <c r="AD48" s="315">
        <f t="shared" si="6"/>
        <v>4.9716548920366761E-2</v>
      </c>
      <c r="AE48" s="315">
        <f t="shared" si="6"/>
        <v>4.9640068242728409E-2</v>
      </c>
      <c r="AF48" s="315">
        <f t="shared" si="6"/>
        <v>4.9492761309831122E-2</v>
      </c>
      <c r="AG48" s="315">
        <f t="shared" si="6"/>
        <v>4.932872490998011E-2</v>
      </c>
      <c r="AH48" s="315">
        <f t="shared" si="6"/>
        <v>4.9362373023777592E-2</v>
      </c>
      <c r="AI48" s="315">
        <f t="shared" si="6"/>
        <v>4.9925796825392763E-2</v>
      </c>
      <c r="AJ48" s="315">
        <f t="shared" si="6"/>
        <v>5.0208967046234856E-2</v>
      </c>
      <c r="AK48" s="316"/>
    </row>
    <row r="49" spans="1:37" s="266" customFormat="1">
      <c r="A49" s="266" t="s">
        <v>186</v>
      </c>
      <c r="B49" s="365">
        <f>B33*365 * 42/1000</f>
        <v>4.1895202937722189</v>
      </c>
      <c r="C49" s="365">
        <f t="shared" ref="C49:AJ49" si="7">C33*365 * 42/1000</f>
        <v>6.1835701614618239</v>
      </c>
      <c r="D49" s="365">
        <f t="shared" si="7"/>
        <v>8.9300929445028281</v>
      </c>
      <c r="E49" s="365">
        <f t="shared" si="7"/>
        <v>10.57340813040733</v>
      </c>
      <c r="F49" s="366">
        <f t="shared" si="7"/>
        <v>12.90469492435456</v>
      </c>
      <c r="G49" s="317">
        <f t="shared" si="7"/>
        <v>13.58201208</v>
      </c>
      <c r="H49" s="317">
        <f t="shared" si="7"/>
        <v>12.933246479999999</v>
      </c>
      <c r="I49" s="317">
        <f t="shared" si="7"/>
        <v>12.815159489999999</v>
      </c>
      <c r="J49" s="317">
        <f t="shared" si="7"/>
        <v>13.33685472</v>
      </c>
      <c r="K49" s="317">
        <f t="shared" si="7"/>
        <v>12.572746199999999</v>
      </c>
      <c r="L49" s="317">
        <f t="shared" si="7"/>
        <v>12.606410879999997</v>
      </c>
      <c r="M49" s="317">
        <f t="shared" si="7"/>
        <v>12.7724961</v>
      </c>
      <c r="N49" s="317">
        <f t="shared" si="7"/>
        <v>12.79849578</v>
      </c>
      <c r="O49" s="317">
        <f t="shared" si="7"/>
        <v>12.799660859999999</v>
      </c>
      <c r="P49" s="317">
        <f t="shared" si="7"/>
        <v>12.883423980000002</v>
      </c>
      <c r="Q49" s="317">
        <f t="shared" si="7"/>
        <v>12.857041049999999</v>
      </c>
      <c r="R49" s="317">
        <f t="shared" si="7"/>
        <v>13.0113375</v>
      </c>
      <c r="S49" s="317">
        <f t="shared" si="7"/>
        <v>13.097829360000002</v>
      </c>
      <c r="T49" s="317">
        <f t="shared" si="7"/>
        <v>13.097599410000003</v>
      </c>
      <c r="U49" s="317">
        <f t="shared" si="7"/>
        <v>13.09776804</v>
      </c>
      <c r="V49" s="317">
        <f t="shared" si="7"/>
        <v>13.097829360000002</v>
      </c>
      <c r="W49" s="317">
        <f t="shared" si="7"/>
        <v>13.1106759</v>
      </c>
      <c r="X49" s="317">
        <f t="shared" si="7"/>
        <v>13.120134510000002</v>
      </c>
      <c r="Y49" s="317">
        <f t="shared" si="7"/>
        <v>13.11995055</v>
      </c>
      <c r="Z49" s="317">
        <f t="shared" si="7"/>
        <v>13.120134510000002</v>
      </c>
      <c r="AA49" s="317">
        <f t="shared" si="7"/>
        <v>13.120134510000002</v>
      </c>
      <c r="AB49" s="317">
        <f t="shared" si="7"/>
        <v>13.11995055</v>
      </c>
      <c r="AC49" s="317">
        <f t="shared" si="7"/>
        <v>13.11995055</v>
      </c>
      <c r="AD49" s="317">
        <f t="shared" si="7"/>
        <v>13.11995055</v>
      </c>
      <c r="AE49" s="317">
        <f t="shared" si="7"/>
        <v>13.08544272</v>
      </c>
      <c r="AF49" s="317">
        <f t="shared" si="7"/>
        <v>13.027939889999997</v>
      </c>
      <c r="AG49" s="317">
        <f t="shared" si="7"/>
        <v>12.993324749999999</v>
      </c>
      <c r="AH49" s="317">
        <f t="shared" si="7"/>
        <v>13.008332820000001</v>
      </c>
      <c r="AI49" s="317">
        <f t="shared" si="7"/>
        <v>13.168837920000001</v>
      </c>
      <c r="AJ49" s="317">
        <f t="shared" si="7"/>
        <v>13.226494050000001</v>
      </c>
      <c r="AK49" s="318"/>
    </row>
    <row r="50" spans="1:37">
      <c r="A50" s="6" t="s">
        <v>160</v>
      </c>
      <c r="R50" s="304" t="s">
        <v>0</v>
      </c>
    </row>
    <row r="51" spans="1:37">
      <c r="A51" s="6" t="s">
        <v>159</v>
      </c>
    </row>
    <row r="52" spans="1:37">
      <c r="A52" s="6" t="s">
        <v>694</v>
      </c>
      <c r="B52" s="353">
        <v>2.0520000457763699</v>
      </c>
      <c r="C52" s="353">
        <v>2.08500003814697</v>
      </c>
      <c r="D52" s="353">
        <v>2.02300000190735</v>
      </c>
      <c r="E52" s="353">
        <v>1.9900000095367401</v>
      </c>
      <c r="F52" s="354">
        <v>1.9984494447708101</v>
      </c>
      <c r="G52" s="298">
        <v>2.3039999999999998</v>
      </c>
      <c r="H52" s="298">
        <v>2.3239999999999998</v>
      </c>
      <c r="I52" s="298">
        <v>2.407</v>
      </c>
      <c r="J52" s="298">
        <v>2.4159999999999999</v>
      </c>
      <c r="K52" s="298">
        <v>2.4498690000000001</v>
      </c>
      <c r="L52" s="298">
        <v>2.5403880000000001</v>
      </c>
      <c r="M52" s="298">
        <v>2.599494</v>
      </c>
      <c r="N52" s="298">
        <v>2.6464240000000001</v>
      </c>
      <c r="O52" s="298">
        <v>2.693587</v>
      </c>
      <c r="P52" s="298">
        <v>2.7283230000000001</v>
      </c>
      <c r="Q52" s="298">
        <v>2.742324</v>
      </c>
      <c r="R52" s="298">
        <v>2.7799209999999999</v>
      </c>
      <c r="S52" s="298">
        <v>2.8150529999999998</v>
      </c>
      <c r="T52" s="298">
        <v>2.8347359999999999</v>
      </c>
      <c r="U52" s="298">
        <v>2.8433090000000001</v>
      </c>
      <c r="V52" s="298">
        <v>2.840814</v>
      </c>
      <c r="W52" s="298">
        <v>2.844868</v>
      </c>
      <c r="X52" s="298">
        <v>2.8578079999999999</v>
      </c>
      <c r="Y52" s="298">
        <v>2.8486820000000002</v>
      </c>
      <c r="Z52" s="298">
        <v>2.8402569999999998</v>
      </c>
      <c r="AA52" s="298">
        <v>2.8361179999999999</v>
      </c>
      <c r="AB52" s="298">
        <v>2.8308490000000002</v>
      </c>
      <c r="AC52" s="298">
        <v>2.8180170000000002</v>
      </c>
      <c r="AD52" s="298">
        <v>2.7924669999999998</v>
      </c>
      <c r="AE52" s="298">
        <v>2.7826710000000001</v>
      </c>
      <c r="AF52" s="298">
        <v>2.76675</v>
      </c>
      <c r="AG52" s="298">
        <v>2.7715809999999999</v>
      </c>
      <c r="AH52" s="298">
        <v>2.7629000000000001</v>
      </c>
      <c r="AI52" s="298">
        <v>2.7495129999999999</v>
      </c>
      <c r="AJ52" s="298">
        <v>2.7286790000000001</v>
      </c>
      <c r="AK52" s="299">
        <v>6.0000000000000001E-3</v>
      </c>
    </row>
    <row r="53" spans="1:37">
      <c r="A53" s="6" t="s">
        <v>693</v>
      </c>
      <c r="B53" s="353">
        <v>8.6600880604237296E-4</v>
      </c>
      <c r="C53" s="353">
        <v>1.0510511929169299E-3</v>
      </c>
      <c r="D53" s="353">
        <v>8.0768426414579196E-4</v>
      </c>
      <c r="E53" s="353">
        <v>4.3171385186724403E-4</v>
      </c>
      <c r="F53" s="354">
        <v>1.8219171324744801E-3</v>
      </c>
      <c r="G53" s="298">
        <v>1.882E-3</v>
      </c>
      <c r="H53" s="298">
        <v>9.8740000000000008E-3</v>
      </c>
      <c r="I53" s="298">
        <v>1.3136999999999999E-2</v>
      </c>
      <c r="J53" s="298">
        <v>1.4973999999999999E-2</v>
      </c>
      <c r="K53" s="298">
        <v>1.2047E-2</v>
      </c>
      <c r="L53" s="298">
        <v>2.5141E-2</v>
      </c>
      <c r="M53" s="298">
        <v>5.3563E-2</v>
      </c>
      <c r="N53" s="298">
        <v>8.0305000000000001E-2</v>
      </c>
      <c r="O53" s="298">
        <v>0.10901</v>
      </c>
      <c r="P53" s="298">
        <v>0.13106100000000001</v>
      </c>
      <c r="Q53" s="298">
        <v>0.162138</v>
      </c>
      <c r="R53" s="298">
        <v>0.20447299999999999</v>
      </c>
      <c r="S53" s="298">
        <v>0.22256600000000001</v>
      </c>
      <c r="T53" s="298">
        <v>0.242672</v>
      </c>
      <c r="U53" s="298">
        <v>0.26248500000000002</v>
      </c>
      <c r="V53" s="298">
        <v>0.279335</v>
      </c>
      <c r="W53" s="298">
        <v>0.29406700000000002</v>
      </c>
      <c r="X53" s="298">
        <v>0.30546400000000001</v>
      </c>
      <c r="Y53" s="298">
        <v>0.31323699999999999</v>
      </c>
      <c r="Z53" s="298">
        <v>0.31872699999999998</v>
      </c>
      <c r="AA53" s="298">
        <v>0.321052</v>
      </c>
      <c r="AB53" s="298">
        <v>0.31902700000000001</v>
      </c>
      <c r="AC53" s="298">
        <v>0.31467200000000001</v>
      </c>
      <c r="AD53" s="298">
        <v>0.30996699999999999</v>
      </c>
      <c r="AE53" s="298">
        <v>0.29748400000000003</v>
      </c>
      <c r="AF53" s="298">
        <v>0.28148600000000001</v>
      </c>
      <c r="AG53" s="298">
        <v>0.26450099999999999</v>
      </c>
      <c r="AH53" s="298">
        <v>0.245667</v>
      </c>
      <c r="AI53" s="298">
        <v>0.23741399999999999</v>
      </c>
      <c r="AJ53" s="298">
        <v>0.22813</v>
      </c>
      <c r="AK53" s="299">
        <v>0.11899999999999999</v>
      </c>
    </row>
    <row r="54" spans="1:37">
      <c r="A54" s="6" t="s">
        <v>695</v>
      </c>
      <c r="B54" s="353">
        <v>9.2527751922607404</v>
      </c>
      <c r="C54" s="353">
        <v>9.2857265472412092</v>
      </c>
      <c r="D54" s="353">
        <v>9.0097904205322301</v>
      </c>
      <c r="E54" s="353">
        <v>8.9638872146606392</v>
      </c>
      <c r="F54" s="354">
        <v>9.3608798980712908</v>
      </c>
      <c r="G54" s="298">
        <v>8.7543939999999996</v>
      </c>
      <c r="H54" s="298">
        <v>8.7103070000000002</v>
      </c>
      <c r="I54" s="298">
        <v>8.7047209999999993</v>
      </c>
      <c r="J54" s="298">
        <v>8.6720810000000004</v>
      </c>
      <c r="K54" s="298">
        <v>8.7711889999999997</v>
      </c>
      <c r="L54" s="298">
        <v>8.7249210000000001</v>
      </c>
      <c r="M54" s="298">
        <v>8.665521</v>
      </c>
      <c r="N54" s="298">
        <v>8.5782380000000007</v>
      </c>
      <c r="O54" s="298">
        <v>8.4654989999999994</v>
      </c>
      <c r="P54" s="298">
        <v>8.3493230000000001</v>
      </c>
      <c r="Q54" s="298">
        <v>8.2274130000000003</v>
      </c>
      <c r="R54" s="298">
        <v>8.1002519999999993</v>
      </c>
      <c r="S54" s="298">
        <v>7.9630890000000001</v>
      </c>
      <c r="T54" s="298">
        <v>7.8215009999999996</v>
      </c>
      <c r="U54" s="298">
        <v>7.6724129999999997</v>
      </c>
      <c r="V54" s="298">
        <v>7.5382249999999997</v>
      </c>
      <c r="W54" s="298">
        <v>7.4181600000000003</v>
      </c>
      <c r="X54" s="298">
        <v>7.3157300000000003</v>
      </c>
      <c r="Y54" s="298">
        <v>7.224996</v>
      </c>
      <c r="Z54" s="298">
        <v>7.1462729999999999</v>
      </c>
      <c r="AA54" s="298">
        <v>7.080946</v>
      </c>
      <c r="AB54" s="298">
        <v>7.0268600000000001</v>
      </c>
      <c r="AC54" s="298">
        <v>6.9825390000000001</v>
      </c>
      <c r="AD54" s="298">
        <v>6.943378</v>
      </c>
      <c r="AE54" s="298">
        <v>6.9093359999999997</v>
      </c>
      <c r="AF54" s="298">
        <v>6.8818789999999996</v>
      </c>
      <c r="AG54" s="298">
        <v>6.8622290000000001</v>
      </c>
      <c r="AH54" s="298">
        <v>6.8497510000000004</v>
      </c>
      <c r="AI54" s="298">
        <v>6.8444979999999997</v>
      </c>
      <c r="AJ54" s="298">
        <v>6.8408179999999996</v>
      </c>
      <c r="AK54" s="299">
        <v>-8.9999999999999993E-3</v>
      </c>
    </row>
    <row r="55" spans="1:37">
      <c r="A55" s="6" t="s">
        <v>696</v>
      </c>
      <c r="B55" s="353">
        <v>1.63300001621246</v>
      </c>
      <c r="C55" s="353">
        <v>1.6219999790191699</v>
      </c>
      <c r="D55" s="353">
        <v>1.5329999923706099</v>
      </c>
      <c r="E55" s="353">
        <v>1.47300004959106</v>
      </c>
      <c r="F55" s="354">
        <v>1.45558297634125</v>
      </c>
      <c r="G55" s="298">
        <v>1.425</v>
      </c>
      <c r="H55" s="298">
        <v>1.399</v>
      </c>
      <c r="I55" s="298">
        <v>1.4039999999999999</v>
      </c>
      <c r="J55" s="298">
        <v>1.4059999999999999</v>
      </c>
      <c r="K55" s="298">
        <v>1.459821</v>
      </c>
      <c r="L55" s="298">
        <v>1.466666</v>
      </c>
      <c r="M55" s="298">
        <v>1.4738910000000001</v>
      </c>
      <c r="N55" s="298">
        <v>1.4802960000000001</v>
      </c>
      <c r="O55" s="298">
        <v>1.4860789999999999</v>
      </c>
      <c r="P55" s="298">
        <v>1.491026</v>
      </c>
      <c r="Q55" s="298">
        <v>1.496483</v>
      </c>
      <c r="R55" s="298">
        <v>1.5023390000000001</v>
      </c>
      <c r="S55" s="298">
        <v>1.5080819999999999</v>
      </c>
      <c r="T55" s="298">
        <v>1.514818</v>
      </c>
      <c r="U55" s="298">
        <v>1.5222910000000001</v>
      </c>
      <c r="V55" s="298">
        <v>1.529134</v>
      </c>
      <c r="W55" s="298">
        <v>1.5350699999999999</v>
      </c>
      <c r="X55" s="298">
        <v>1.540705</v>
      </c>
      <c r="Y55" s="298">
        <v>1.5457909999999999</v>
      </c>
      <c r="Z55" s="298">
        <v>1.550583</v>
      </c>
      <c r="AA55" s="298">
        <v>1.555024</v>
      </c>
      <c r="AB55" s="298">
        <v>1.559142</v>
      </c>
      <c r="AC55" s="298">
        <v>1.562889</v>
      </c>
      <c r="AD55" s="298">
        <v>1.5661639999999999</v>
      </c>
      <c r="AE55" s="298">
        <v>1.5691090000000001</v>
      </c>
      <c r="AF55" s="298">
        <v>1.5733360000000001</v>
      </c>
      <c r="AG55" s="298">
        <v>1.577515</v>
      </c>
      <c r="AH55" s="298">
        <v>1.5816300000000001</v>
      </c>
      <c r="AI55" s="298">
        <v>1.585529</v>
      </c>
      <c r="AJ55" s="298">
        <v>1.5896079999999999</v>
      </c>
      <c r="AK55" s="299">
        <v>5.0000000000000001E-3</v>
      </c>
    </row>
    <row r="56" spans="1:37">
      <c r="A56" s="6" t="s">
        <v>697</v>
      </c>
      <c r="B56" s="353">
        <v>4.1690001487731898</v>
      </c>
      <c r="C56" s="353">
        <v>4.1960000991821298</v>
      </c>
      <c r="D56" s="353">
        <v>3.9430000782012899</v>
      </c>
      <c r="E56" s="353">
        <v>3.90199995040894</v>
      </c>
      <c r="F56" s="354">
        <v>4.0923304557800302</v>
      </c>
      <c r="G56" s="298">
        <v>3.899</v>
      </c>
      <c r="H56" s="298">
        <v>3.7429999999999999</v>
      </c>
      <c r="I56" s="298">
        <v>3.859</v>
      </c>
      <c r="J56" s="298">
        <v>3.9089999999999998</v>
      </c>
      <c r="K56" s="298">
        <v>4.0858679999999996</v>
      </c>
      <c r="L56" s="298">
        <v>4.177359</v>
      </c>
      <c r="M56" s="298">
        <v>4.228364</v>
      </c>
      <c r="N56" s="298">
        <v>4.2508220000000003</v>
      </c>
      <c r="O56" s="298">
        <v>4.2730649999999999</v>
      </c>
      <c r="P56" s="298">
        <v>4.295331</v>
      </c>
      <c r="Q56" s="298">
        <v>4.319947</v>
      </c>
      <c r="R56" s="298">
        <v>4.3484850000000002</v>
      </c>
      <c r="S56" s="298">
        <v>4.3784619999999999</v>
      </c>
      <c r="T56" s="298">
        <v>4.4044730000000003</v>
      </c>
      <c r="U56" s="298">
        <v>4.436998</v>
      </c>
      <c r="V56" s="298">
        <v>4.460839</v>
      </c>
      <c r="W56" s="298">
        <v>4.4796500000000004</v>
      </c>
      <c r="X56" s="298">
        <v>4.4870289999999997</v>
      </c>
      <c r="Y56" s="298">
        <v>4.4989540000000003</v>
      </c>
      <c r="Z56" s="298">
        <v>4.5163840000000004</v>
      </c>
      <c r="AA56" s="298">
        <v>4.5280180000000003</v>
      </c>
      <c r="AB56" s="298">
        <v>4.5344899999999999</v>
      </c>
      <c r="AC56" s="298">
        <v>4.5444589999999998</v>
      </c>
      <c r="AD56" s="298">
        <v>4.5662190000000002</v>
      </c>
      <c r="AE56" s="298">
        <v>4.5865479999999996</v>
      </c>
      <c r="AF56" s="298">
        <v>4.5978500000000002</v>
      </c>
      <c r="AG56" s="298">
        <v>4.6070399999999996</v>
      </c>
      <c r="AH56" s="298">
        <v>4.6156879999999996</v>
      </c>
      <c r="AI56" s="298">
        <v>4.6224400000000001</v>
      </c>
      <c r="AJ56" s="298">
        <v>4.6207630000000002</v>
      </c>
      <c r="AK56" s="299">
        <v>8.0000000000000002E-3</v>
      </c>
    </row>
    <row r="57" spans="1:37">
      <c r="A57" s="6" t="s">
        <v>158</v>
      </c>
      <c r="B57" s="353">
        <v>3.21000003814697</v>
      </c>
      <c r="C57" s="353">
        <v>3.4670000076293901</v>
      </c>
      <c r="D57" s="353">
        <v>3.46799993515015</v>
      </c>
      <c r="E57" s="353">
        <v>3.4189999103546098</v>
      </c>
      <c r="F57" s="354">
        <v>3.47832202911377</v>
      </c>
      <c r="G57" s="298">
        <v>3.5059999999999998</v>
      </c>
      <c r="H57" s="298">
        <v>3.448</v>
      </c>
      <c r="I57" s="298">
        <v>3.5550000000000002</v>
      </c>
      <c r="J57" s="298">
        <v>3.601</v>
      </c>
      <c r="K57" s="298">
        <v>3.6780590000000002</v>
      </c>
      <c r="L57" s="298">
        <v>3.788999</v>
      </c>
      <c r="M57" s="298">
        <v>3.841418</v>
      </c>
      <c r="N57" s="298">
        <v>3.888255</v>
      </c>
      <c r="O57" s="298">
        <v>3.9148960000000002</v>
      </c>
      <c r="P57" s="298">
        <v>3.942434</v>
      </c>
      <c r="Q57" s="298">
        <v>3.9721639999999998</v>
      </c>
      <c r="R57" s="298">
        <v>4.005528</v>
      </c>
      <c r="S57" s="298">
        <v>4.0400039999999997</v>
      </c>
      <c r="T57" s="298">
        <v>4.0698509999999999</v>
      </c>
      <c r="U57" s="298">
        <v>4.1063919999999996</v>
      </c>
      <c r="V57" s="298">
        <v>4.1354759999999997</v>
      </c>
      <c r="W57" s="298">
        <v>4.1591009999999997</v>
      </c>
      <c r="X57" s="298">
        <v>4.1709329999999998</v>
      </c>
      <c r="Y57" s="298">
        <v>4.1869290000000001</v>
      </c>
      <c r="Z57" s="298">
        <v>4.2079300000000002</v>
      </c>
      <c r="AA57" s="298">
        <v>4.2245819999999998</v>
      </c>
      <c r="AB57" s="298">
        <v>4.2349610000000002</v>
      </c>
      <c r="AC57" s="298">
        <v>4.2486269999999999</v>
      </c>
      <c r="AD57" s="298">
        <v>4.2736000000000001</v>
      </c>
      <c r="AE57" s="298">
        <v>4.2970110000000004</v>
      </c>
      <c r="AF57" s="298">
        <v>4.3111389999999998</v>
      </c>
      <c r="AG57" s="298">
        <v>4.3229870000000004</v>
      </c>
      <c r="AH57" s="298">
        <v>4.3342970000000003</v>
      </c>
      <c r="AI57" s="298">
        <v>4.3436260000000004</v>
      </c>
      <c r="AJ57" s="298">
        <v>4.344544</v>
      </c>
      <c r="AK57" s="299">
        <v>8.0000000000000002E-3</v>
      </c>
    </row>
    <row r="58" spans="1:37">
      <c r="A58" s="6" t="s">
        <v>157</v>
      </c>
      <c r="B58" s="353">
        <v>0.68900001049041704</v>
      </c>
      <c r="C58" s="353">
        <v>0.72299998998642001</v>
      </c>
      <c r="D58" s="353">
        <v>0.60799998044967696</v>
      </c>
      <c r="E58" s="353">
        <v>0.58099997043609597</v>
      </c>
      <c r="F58" s="354">
        <v>0.63298153877258301</v>
      </c>
      <c r="G58" s="298">
        <v>0.46100000000000002</v>
      </c>
      <c r="H58" s="298">
        <v>0.34499999999999997</v>
      </c>
      <c r="I58" s="298">
        <v>0.32200000000000001</v>
      </c>
      <c r="J58" s="298">
        <v>0.35</v>
      </c>
      <c r="K58" s="298">
        <v>0.38553500000000002</v>
      </c>
      <c r="L58" s="298">
        <v>0.39021600000000001</v>
      </c>
      <c r="M58" s="298">
        <v>0.38447300000000001</v>
      </c>
      <c r="N58" s="298">
        <v>0.390044</v>
      </c>
      <c r="O58" s="298">
        <v>0.38984200000000002</v>
      </c>
      <c r="P58" s="298">
        <v>0.38874799999999998</v>
      </c>
      <c r="Q58" s="298">
        <v>0.38986300000000002</v>
      </c>
      <c r="R58" s="298">
        <v>0.38962000000000002</v>
      </c>
      <c r="S58" s="298">
        <v>0.390509</v>
      </c>
      <c r="T58" s="298">
        <v>0.392071</v>
      </c>
      <c r="U58" s="298">
        <v>0.392706</v>
      </c>
      <c r="V58" s="298">
        <v>0.39272899999999999</v>
      </c>
      <c r="W58" s="298">
        <v>0.39312000000000002</v>
      </c>
      <c r="X58" s="298">
        <v>0.39413599999999999</v>
      </c>
      <c r="Y58" s="298">
        <v>0.39485900000000002</v>
      </c>
      <c r="Z58" s="298">
        <v>0.396202</v>
      </c>
      <c r="AA58" s="298">
        <v>0.39659499999999998</v>
      </c>
      <c r="AB58" s="298">
        <v>0.39696300000000001</v>
      </c>
      <c r="AC58" s="298">
        <v>0.398011</v>
      </c>
      <c r="AD58" s="298">
        <v>0.39871400000000001</v>
      </c>
      <c r="AE58" s="298">
        <v>0.39992499999999997</v>
      </c>
      <c r="AF58" s="298">
        <v>0.40121899999999999</v>
      </c>
      <c r="AG58" s="298">
        <v>0.40172999999999998</v>
      </c>
      <c r="AH58" s="298">
        <v>0.402443</v>
      </c>
      <c r="AI58" s="298">
        <v>0.40342099999999997</v>
      </c>
      <c r="AJ58" s="298">
        <v>0.40445900000000001</v>
      </c>
      <c r="AK58" s="299">
        <v>6.0000000000000001E-3</v>
      </c>
    </row>
    <row r="59" spans="1:37">
      <c r="A59" s="6" t="s">
        <v>698</v>
      </c>
      <c r="B59" s="353">
        <v>2.8580451011657702</v>
      </c>
      <c r="C59" s="353">
        <v>2.73703241348267</v>
      </c>
      <c r="D59" s="353">
        <v>2.4269983768463099</v>
      </c>
      <c r="E59" s="353">
        <v>2.3350048065185498</v>
      </c>
      <c r="F59" s="354">
        <v>2.2457344532012899</v>
      </c>
      <c r="G59" s="298">
        <v>2.0800260000000002</v>
      </c>
      <c r="H59" s="298">
        <v>1.965076</v>
      </c>
      <c r="I59" s="298">
        <v>1.942002</v>
      </c>
      <c r="J59" s="298">
        <v>1.9470000000000001</v>
      </c>
      <c r="K59" s="298">
        <v>2.0148790000000001</v>
      </c>
      <c r="L59" s="298">
        <v>2.0685479999999998</v>
      </c>
      <c r="M59" s="298">
        <v>2.1349170000000002</v>
      </c>
      <c r="N59" s="298">
        <v>2.1911809999999998</v>
      </c>
      <c r="O59" s="298">
        <v>2.2368299999999999</v>
      </c>
      <c r="P59" s="298">
        <v>2.276913</v>
      </c>
      <c r="Q59" s="298">
        <v>2.3108819999999999</v>
      </c>
      <c r="R59" s="298">
        <v>2.3269329999999999</v>
      </c>
      <c r="S59" s="298">
        <v>2.343264</v>
      </c>
      <c r="T59" s="298">
        <v>2.3722750000000001</v>
      </c>
      <c r="U59" s="298">
        <v>2.404312</v>
      </c>
      <c r="V59" s="298">
        <v>2.4265159999999999</v>
      </c>
      <c r="W59" s="298">
        <v>2.458132</v>
      </c>
      <c r="X59" s="298">
        <v>2.474024</v>
      </c>
      <c r="Y59" s="298">
        <v>2.4762659999999999</v>
      </c>
      <c r="Z59" s="298">
        <v>2.4857459999999998</v>
      </c>
      <c r="AA59" s="298">
        <v>2.4935139999999998</v>
      </c>
      <c r="AB59" s="298">
        <v>2.4994040000000002</v>
      </c>
      <c r="AC59" s="298">
        <v>2.4986790000000001</v>
      </c>
      <c r="AD59" s="298">
        <v>2.5103719999999998</v>
      </c>
      <c r="AE59" s="298">
        <v>2.5131139999999998</v>
      </c>
      <c r="AF59" s="298">
        <v>2.519142</v>
      </c>
      <c r="AG59" s="298">
        <v>2.531539</v>
      </c>
      <c r="AH59" s="298">
        <v>2.5507759999999999</v>
      </c>
      <c r="AI59" s="298">
        <v>2.550128</v>
      </c>
      <c r="AJ59" s="298">
        <v>2.5471759999999999</v>
      </c>
      <c r="AK59" s="299">
        <v>8.9999999999999993E-3</v>
      </c>
    </row>
    <row r="60" spans="1:37">
      <c r="A60" s="6" t="s">
        <v>156</v>
      </c>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row>
    <row r="61" spans="1:37">
      <c r="A61" s="6" t="s">
        <v>155</v>
      </c>
      <c r="B61" s="353">
        <v>1.0618205070495601</v>
      </c>
      <c r="C61" s="353">
        <v>1.1093590259552</v>
      </c>
      <c r="D61" s="353">
        <v>1.0993635654449501</v>
      </c>
      <c r="E61" s="353">
        <v>1.10606873035431</v>
      </c>
      <c r="F61" s="354">
        <v>1.0538341999053999</v>
      </c>
      <c r="G61" s="298">
        <v>0.96948900000000005</v>
      </c>
      <c r="H61" s="298">
        <v>0.94076099999999996</v>
      </c>
      <c r="I61" s="298">
        <v>0.95062599999999997</v>
      </c>
      <c r="J61" s="298">
        <v>0.94062699999999999</v>
      </c>
      <c r="K61" s="298">
        <v>0.91689699999999996</v>
      </c>
      <c r="L61" s="298">
        <v>0.91578099999999996</v>
      </c>
      <c r="M61" s="298">
        <v>0.90966899999999995</v>
      </c>
      <c r="N61" s="298">
        <v>0.90114399999999995</v>
      </c>
      <c r="O61" s="298">
        <v>0.89199799999999996</v>
      </c>
      <c r="P61" s="298">
        <v>0.88283199999999995</v>
      </c>
      <c r="Q61" s="298">
        <v>0.87347300000000005</v>
      </c>
      <c r="R61" s="298">
        <v>0.86438899999999996</v>
      </c>
      <c r="S61" s="298">
        <v>0.85625499999999999</v>
      </c>
      <c r="T61" s="298">
        <v>0.84867599999999999</v>
      </c>
      <c r="U61" s="298">
        <v>0.84107299999999996</v>
      </c>
      <c r="V61" s="298">
        <v>0.83371399999999996</v>
      </c>
      <c r="W61" s="298">
        <v>0.82639200000000002</v>
      </c>
      <c r="X61" s="298">
        <v>0.81992799999999999</v>
      </c>
      <c r="Y61" s="298">
        <v>0.81319300000000005</v>
      </c>
      <c r="Z61" s="298">
        <v>0.80710899999999997</v>
      </c>
      <c r="AA61" s="298">
        <v>0.80122000000000004</v>
      </c>
      <c r="AB61" s="298">
        <v>0.795458</v>
      </c>
      <c r="AC61" s="298">
        <v>0.79006900000000002</v>
      </c>
      <c r="AD61" s="298">
        <v>0.78411900000000001</v>
      </c>
      <c r="AE61" s="298">
        <v>0.77970600000000001</v>
      </c>
      <c r="AF61" s="298">
        <v>0.77555200000000002</v>
      </c>
      <c r="AG61" s="298">
        <v>0.771922</v>
      </c>
      <c r="AH61" s="298">
        <v>0.76868800000000004</v>
      </c>
      <c r="AI61" s="298">
        <v>0.76499200000000001</v>
      </c>
      <c r="AJ61" s="298">
        <v>0.76103399999999999</v>
      </c>
      <c r="AK61" s="299">
        <v>-8.0000000000000002E-3</v>
      </c>
    </row>
    <row r="62" spans="1:37">
      <c r="A62" s="6" t="s">
        <v>699</v>
      </c>
      <c r="B62" s="353">
        <v>5.3221449851989702</v>
      </c>
      <c r="C62" s="353">
        <v>5.2595095634460396</v>
      </c>
      <c r="D62" s="353">
        <v>4.9765362739562997</v>
      </c>
      <c r="E62" s="353">
        <v>4.70910596847534</v>
      </c>
      <c r="F62" s="354">
        <v>4.5219602584838903</v>
      </c>
      <c r="G62" s="298">
        <v>4.4511919999999998</v>
      </c>
      <c r="H62" s="298">
        <v>4.421297</v>
      </c>
      <c r="I62" s="298">
        <v>4.5209929999999998</v>
      </c>
      <c r="J62" s="298">
        <v>4.6163509999999999</v>
      </c>
      <c r="K62" s="298">
        <v>4.7672689999999998</v>
      </c>
      <c r="L62" s="298">
        <v>4.940448</v>
      </c>
      <c r="M62" s="298">
        <v>5.0828059999999997</v>
      </c>
      <c r="N62" s="298">
        <v>5.1973799999999999</v>
      </c>
      <c r="O62" s="298">
        <v>5.2962569999999998</v>
      </c>
      <c r="P62" s="298">
        <v>5.3737599999999999</v>
      </c>
      <c r="Q62" s="298">
        <v>5.42516</v>
      </c>
      <c r="R62" s="298">
        <v>5.4817600000000004</v>
      </c>
      <c r="S62" s="298">
        <v>5.536664</v>
      </c>
      <c r="T62" s="298">
        <v>5.5895760000000001</v>
      </c>
      <c r="U62" s="298">
        <v>5.635637</v>
      </c>
      <c r="V62" s="298">
        <v>5.6575449999999998</v>
      </c>
      <c r="W62" s="298">
        <v>5.6945290000000002</v>
      </c>
      <c r="X62" s="298">
        <v>5.724005</v>
      </c>
      <c r="Y62" s="298">
        <v>5.7184200000000001</v>
      </c>
      <c r="Z62" s="298">
        <v>5.7229380000000001</v>
      </c>
      <c r="AA62" s="298">
        <v>5.7270849999999998</v>
      </c>
      <c r="AB62" s="298">
        <v>5.7279549999999997</v>
      </c>
      <c r="AC62" s="298">
        <v>5.7151949999999996</v>
      </c>
      <c r="AD62" s="298">
        <v>5.7039289999999996</v>
      </c>
      <c r="AE62" s="298">
        <v>5.6985010000000003</v>
      </c>
      <c r="AF62" s="298">
        <v>5.6904269999999997</v>
      </c>
      <c r="AG62" s="298">
        <v>5.7088890000000001</v>
      </c>
      <c r="AH62" s="298">
        <v>5.7191020000000004</v>
      </c>
      <c r="AI62" s="298">
        <v>5.7061400000000004</v>
      </c>
      <c r="AJ62" s="298">
        <v>5.6839209999999998</v>
      </c>
      <c r="AK62" s="299">
        <v>8.9999999999999993E-3</v>
      </c>
    </row>
    <row r="63" spans="1:37">
      <c r="A63" s="6" t="s">
        <v>154</v>
      </c>
      <c r="B63" s="353">
        <v>14.205528259277299</v>
      </c>
      <c r="C63" s="353">
        <v>14.253752708435099</v>
      </c>
      <c r="D63" s="353">
        <v>13.661909103393601</v>
      </c>
      <c r="E63" s="353">
        <v>13.477608680725099</v>
      </c>
      <c r="F63" s="354">
        <v>13.9932947158813</v>
      </c>
      <c r="G63" s="298">
        <v>13.653123000000001</v>
      </c>
      <c r="H63" s="298">
        <v>13.443807</v>
      </c>
      <c r="I63" s="298">
        <v>13.46326</v>
      </c>
      <c r="J63" s="298">
        <v>13.410075000000001</v>
      </c>
      <c r="K63" s="298">
        <v>13.391593</v>
      </c>
      <c r="L63" s="298">
        <v>13.423278</v>
      </c>
      <c r="M63" s="298">
        <v>13.416093</v>
      </c>
      <c r="N63" s="298">
        <v>13.359128999999999</v>
      </c>
      <c r="O63" s="298">
        <v>13.277658000000001</v>
      </c>
      <c r="P63" s="298">
        <v>13.193913999999999</v>
      </c>
      <c r="Q63" s="298">
        <v>13.108468</v>
      </c>
      <c r="R63" s="298">
        <v>13.021044</v>
      </c>
      <c r="S63" s="298">
        <v>12.924597</v>
      </c>
      <c r="T63" s="298">
        <v>12.819832</v>
      </c>
      <c r="U63" s="298">
        <v>12.713536</v>
      </c>
      <c r="V63" s="298">
        <v>12.616394</v>
      </c>
      <c r="W63" s="298">
        <v>12.527696000000001</v>
      </c>
      <c r="X63" s="298">
        <v>12.445028000000001</v>
      </c>
      <c r="Y63" s="298">
        <v>12.377145000000001</v>
      </c>
      <c r="Z63" s="298">
        <v>12.324268</v>
      </c>
      <c r="AA63" s="298">
        <v>12.281888</v>
      </c>
      <c r="AB63" s="298">
        <v>12.244210000000001</v>
      </c>
      <c r="AC63" s="298">
        <v>12.219082999999999</v>
      </c>
      <c r="AD63" s="298">
        <v>12.208591999999999</v>
      </c>
      <c r="AE63" s="298">
        <v>12.201549</v>
      </c>
      <c r="AF63" s="298">
        <v>12.192887000000001</v>
      </c>
      <c r="AG63" s="298">
        <v>12.189211999999999</v>
      </c>
      <c r="AH63" s="298">
        <v>12.193395000000001</v>
      </c>
      <c r="AI63" s="298">
        <v>12.201965</v>
      </c>
      <c r="AJ63" s="298">
        <v>12.203708000000001</v>
      </c>
      <c r="AK63" s="299">
        <v>-3.0000000000000001E-3</v>
      </c>
    </row>
    <row r="64" spans="1:37">
      <c r="A64" s="6" t="s">
        <v>700</v>
      </c>
      <c r="B64" s="353">
        <v>0.28576692938804599</v>
      </c>
      <c r="C64" s="353">
        <v>0.295045405626297</v>
      </c>
      <c r="D64" s="353">
        <v>0.215673848986626</v>
      </c>
      <c r="E64" s="353">
        <v>0.21838557720184301</v>
      </c>
      <c r="F64" s="354">
        <v>0.21773074567317999</v>
      </c>
      <c r="G64" s="298">
        <v>0.13995199999999999</v>
      </c>
      <c r="H64" s="298">
        <v>0.10258100000000001</v>
      </c>
      <c r="I64" s="298">
        <v>9.1968999999999995E-2</v>
      </c>
      <c r="J64" s="298">
        <v>9.2428999999999997E-2</v>
      </c>
      <c r="K64" s="298">
        <v>9.2261999999999997E-2</v>
      </c>
      <c r="L64" s="298">
        <v>8.9524000000000006E-2</v>
      </c>
      <c r="M64" s="298">
        <v>7.9076999999999995E-2</v>
      </c>
      <c r="N64" s="298">
        <v>8.0381999999999995E-2</v>
      </c>
      <c r="O64" s="298">
        <v>8.0076999999999995E-2</v>
      </c>
      <c r="P64" s="298">
        <v>8.0298999999999995E-2</v>
      </c>
      <c r="Q64" s="298">
        <v>8.0979999999999996E-2</v>
      </c>
      <c r="R64" s="298">
        <v>8.1548999999999996E-2</v>
      </c>
      <c r="S64" s="298">
        <v>8.2155000000000006E-2</v>
      </c>
      <c r="T64" s="298">
        <v>8.3019999999999997E-2</v>
      </c>
      <c r="U64" s="298">
        <v>8.3024000000000001E-2</v>
      </c>
      <c r="V64" s="298">
        <v>8.1849000000000005E-2</v>
      </c>
      <c r="W64" s="298">
        <v>8.1641000000000005E-2</v>
      </c>
      <c r="X64" s="298">
        <v>8.1735000000000002E-2</v>
      </c>
      <c r="Y64" s="298">
        <v>8.2040000000000002E-2</v>
      </c>
      <c r="Z64" s="298">
        <v>8.2365999999999995E-2</v>
      </c>
      <c r="AA64" s="298">
        <v>8.1250000000000003E-2</v>
      </c>
      <c r="AB64" s="298">
        <v>8.1303E-2</v>
      </c>
      <c r="AC64" s="298">
        <v>8.1448999999999994E-2</v>
      </c>
      <c r="AD64" s="298">
        <v>8.1864999999999993E-2</v>
      </c>
      <c r="AE64" s="298">
        <v>8.2123000000000002E-2</v>
      </c>
      <c r="AF64" s="298">
        <v>8.2472000000000004E-2</v>
      </c>
      <c r="AG64" s="298">
        <v>8.2769999999999996E-2</v>
      </c>
      <c r="AH64" s="298">
        <v>8.3155000000000007E-2</v>
      </c>
      <c r="AI64" s="298">
        <v>8.3571999999999994E-2</v>
      </c>
      <c r="AJ64" s="298">
        <v>8.3961999999999995E-2</v>
      </c>
      <c r="AK64" s="299">
        <v>-7.0000000000000001E-3</v>
      </c>
    </row>
    <row r="65" spans="1:37">
      <c r="A65" s="6" t="s">
        <v>153</v>
      </c>
      <c r="B65" s="353">
        <v>20.654685974121101</v>
      </c>
      <c r="C65" s="353">
        <v>20.6498107910156</v>
      </c>
      <c r="D65" s="353">
        <v>19.5445957183838</v>
      </c>
      <c r="E65" s="353">
        <v>19.245325088501001</v>
      </c>
      <c r="F65" s="354">
        <v>19.787778854370099</v>
      </c>
      <c r="G65" s="249">
        <v>18.92342</v>
      </c>
      <c r="H65" s="249">
        <v>18.486381999999999</v>
      </c>
      <c r="I65" s="249">
        <v>18.638722999999999</v>
      </c>
      <c r="J65" s="249">
        <v>18.700082999999999</v>
      </c>
      <c r="K65" s="249">
        <v>19.167159999999999</v>
      </c>
      <c r="L65" s="249">
        <v>19.368099000000001</v>
      </c>
      <c r="M65" s="249">
        <v>19.486657999999998</v>
      </c>
      <c r="N65" s="249">
        <v>19.537004</v>
      </c>
      <c r="O65" s="249">
        <v>19.544903000000001</v>
      </c>
      <c r="P65" s="249">
        <v>19.529665000000001</v>
      </c>
      <c r="Q65" s="249">
        <v>19.486916000000001</v>
      </c>
      <c r="R65" s="249">
        <v>19.44755</v>
      </c>
      <c r="S65" s="249">
        <v>19.398457000000001</v>
      </c>
      <c r="T65" s="249">
        <v>19.339873999999998</v>
      </c>
      <c r="U65" s="249">
        <v>19.272027999999999</v>
      </c>
      <c r="V65" s="249">
        <v>19.188255000000002</v>
      </c>
      <c r="W65" s="249">
        <v>19.129000000000001</v>
      </c>
      <c r="X65" s="249">
        <v>19.069431000000002</v>
      </c>
      <c r="Y65" s="249">
        <v>18.989547999999999</v>
      </c>
      <c r="Z65" s="249">
        <v>18.935445999999999</v>
      </c>
      <c r="AA65" s="249">
        <v>18.890217</v>
      </c>
      <c r="AB65" s="249">
        <v>18.847709999999999</v>
      </c>
      <c r="AC65" s="249">
        <v>18.804594000000002</v>
      </c>
      <c r="AD65" s="249">
        <v>18.777315000000002</v>
      </c>
      <c r="AE65" s="249">
        <v>18.760704</v>
      </c>
      <c r="AF65" s="249">
        <v>18.740176999999999</v>
      </c>
      <c r="AG65" s="249">
        <v>18.751633000000002</v>
      </c>
      <c r="AH65" s="249">
        <v>18.763190999999999</v>
      </c>
      <c r="AI65" s="249">
        <v>18.755531000000001</v>
      </c>
      <c r="AJ65" s="249">
        <v>18.731504000000001</v>
      </c>
      <c r="AK65" s="250">
        <v>0</v>
      </c>
    </row>
    <row r="66" spans="1:37">
      <c r="G66" s="302"/>
      <c r="H66" s="302"/>
      <c r="I66" s="302"/>
      <c r="J66" s="302"/>
      <c r="K66" s="302"/>
      <c r="L66" s="302"/>
      <c r="M66" s="302"/>
      <c r="N66" s="302"/>
      <c r="O66" s="302"/>
      <c r="P66" s="302"/>
      <c r="Q66" s="302"/>
      <c r="R66" s="302"/>
      <c r="S66" s="302"/>
      <c r="T66" s="302"/>
      <c r="U66" s="302"/>
      <c r="V66" s="302"/>
      <c r="W66" s="302"/>
      <c r="X66" s="302"/>
      <c r="Y66" s="302"/>
      <c r="Z66" s="302"/>
      <c r="AA66" s="302"/>
      <c r="AB66" s="302"/>
      <c r="AC66" s="302"/>
      <c r="AD66" s="302"/>
      <c r="AE66" s="302"/>
      <c r="AF66" s="302"/>
      <c r="AG66" s="302"/>
      <c r="AH66" s="302"/>
      <c r="AI66" s="302"/>
      <c r="AJ66" s="302"/>
      <c r="AK66" s="302"/>
    </row>
    <row r="67" spans="1:37">
      <c r="A67" s="6" t="s">
        <v>701</v>
      </c>
      <c r="B67" s="353">
        <v>4.2667388916015597E-2</v>
      </c>
      <c r="C67" s="353">
        <v>0.11821937561035201</v>
      </c>
      <c r="D67" s="353">
        <v>0.102603912353516</v>
      </c>
      <c r="E67" s="353">
        <v>0.17598533630371099</v>
      </c>
      <c r="F67" s="354">
        <v>-0.19984626770019501</v>
      </c>
      <c r="G67" s="298">
        <v>1.5162999999999999E-2</v>
      </c>
      <c r="H67" s="298">
        <v>0.105907</v>
      </c>
      <c r="I67" s="298">
        <v>0.34659600000000002</v>
      </c>
      <c r="J67" s="298">
        <v>0.115158</v>
      </c>
      <c r="K67" s="298">
        <v>-9.7140000000000004E-3</v>
      </c>
      <c r="L67" s="298">
        <v>-9.1500000000000001E-3</v>
      </c>
      <c r="M67" s="298">
        <v>-9.129E-3</v>
      </c>
      <c r="N67" s="298">
        <v>-9.3959999999999998E-3</v>
      </c>
      <c r="O67" s="298">
        <v>-9.4409999999999997E-3</v>
      </c>
      <c r="P67" s="298">
        <v>-9.2980000000000007E-3</v>
      </c>
      <c r="Q67" s="298">
        <v>-9.8270000000000007E-3</v>
      </c>
      <c r="R67" s="298">
        <v>-9.7409999999999997E-3</v>
      </c>
      <c r="S67" s="298">
        <v>-9.6889999999999997E-3</v>
      </c>
      <c r="T67" s="298">
        <v>-9.8569999999999994E-3</v>
      </c>
      <c r="U67" s="298">
        <v>-9.7099999999999999E-3</v>
      </c>
      <c r="V67" s="298">
        <v>-9.4129999999999995E-3</v>
      </c>
      <c r="W67" s="298">
        <v>-9.7260000000000003E-3</v>
      </c>
      <c r="X67" s="298">
        <v>-9.5440000000000004E-3</v>
      </c>
      <c r="Y67" s="298">
        <v>-8.9110000000000005E-3</v>
      </c>
      <c r="Z67" s="298">
        <v>-9.2739999999999993E-3</v>
      </c>
      <c r="AA67" s="298">
        <v>-9.4389999999999995E-3</v>
      </c>
      <c r="AB67" s="298">
        <v>-9.6170000000000005E-3</v>
      </c>
      <c r="AC67" s="298">
        <v>-9.1479999999999999E-3</v>
      </c>
      <c r="AD67" s="298">
        <v>-8.9969999999999998E-3</v>
      </c>
      <c r="AE67" s="298">
        <v>-8.8159999999999992E-3</v>
      </c>
      <c r="AF67" s="298">
        <v>-8.2660000000000008E-3</v>
      </c>
      <c r="AG67" s="298">
        <v>-8.2740000000000001E-3</v>
      </c>
      <c r="AH67" s="298">
        <v>-7.711E-3</v>
      </c>
      <c r="AI67" s="298">
        <v>-7.0080000000000003E-3</v>
      </c>
      <c r="AJ67" s="298">
        <v>-6.5420000000000001E-3</v>
      </c>
      <c r="AK67" s="298" t="s">
        <v>41</v>
      </c>
    </row>
    <row r="68" spans="1:37">
      <c r="G68" s="302"/>
      <c r="H68" s="302"/>
      <c r="I68" s="302"/>
      <c r="J68" s="302"/>
      <c r="K68" s="302"/>
      <c r="L68" s="302"/>
      <c r="M68" s="302"/>
      <c r="N68" s="302"/>
      <c r="O68" s="302"/>
      <c r="P68" s="302"/>
      <c r="Q68" s="302"/>
      <c r="R68" s="302"/>
      <c r="S68" s="302"/>
      <c r="T68" s="302"/>
      <c r="U68" s="302"/>
      <c r="V68" s="302"/>
      <c r="W68" s="302"/>
      <c r="X68" s="302"/>
      <c r="Y68" s="302"/>
      <c r="Z68" s="302"/>
      <c r="AA68" s="302"/>
      <c r="AB68" s="302"/>
      <c r="AC68" s="302"/>
      <c r="AD68" s="302"/>
      <c r="AE68" s="302"/>
      <c r="AF68" s="302"/>
      <c r="AG68" s="302"/>
      <c r="AH68" s="302"/>
      <c r="AI68" s="302"/>
      <c r="AJ68" s="302"/>
      <c r="AK68" s="302"/>
    </row>
    <row r="69" spans="1:37">
      <c r="A69" s="6" t="s">
        <v>702</v>
      </c>
      <c r="B69" s="367">
        <v>17.3390007019043</v>
      </c>
      <c r="C69" s="367">
        <v>17.4409999847412</v>
      </c>
      <c r="D69" s="367">
        <v>17.5890007019043</v>
      </c>
      <c r="E69" s="367">
        <v>17.5890007019043</v>
      </c>
      <c r="F69" s="368">
        <v>17.994850158691399</v>
      </c>
      <c r="G69" s="298">
        <v>17.704999999999998</v>
      </c>
      <c r="H69" s="298">
        <v>17.315000999999999</v>
      </c>
      <c r="I69" s="298">
        <v>17.818999999999999</v>
      </c>
      <c r="J69" s="298">
        <v>17.818999999999999</v>
      </c>
      <c r="K69" s="298">
        <v>18.114657999999999</v>
      </c>
      <c r="L69" s="298">
        <v>18.129657999999999</v>
      </c>
      <c r="M69" s="298">
        <v>18.129657999999999</v>
      </c>
      <c r="N69" s="298">
        <v>18.129657999999999</v>
      </c>
      <c r="O69" s="298">
        <v>18.129657999999999</v>
      </c>
      <c r="P69" s="298">
        <v>18.129657999999999</v>
      </c>
      <c r="Q69" s="298">
        <v>18.129657999999999</v>
      </c>
      <c r="R69" s="298">
        <v>18.129657999999999</v>
      </c>
      <c r="S69" s="298">
        <v>18.129657999999999</v>
      </c>
      <c r="T69" s="298">
        <v>18.129657999999999</v>
      </c>
      <c r="U69" s="298">
        <v>18.129657999999999</v>
      </c>
      <c r="V69" s="298">
        <v>18.129657999999999</v>
      </c>
      <c r="W69" s="298">
        <v>18.129657999999999</v>
      </c>
      <c r="X69" s="298">
        <v>18.129657999999999</v>
      </c>
      <c r="Y69" s="298">
        <v>18.129657999999999</v>
      </c>
      <c r="Z69" s="298">
        <v>18.129657999999999</v>
      </c>
      <c r="AA69" s="298">
        <v>18.129657999999999</v>
      </c>
      <c r="AB69" s="298">
        <v>18.129657999999999</v>
      </c>
      <c r="AC69" s="298">
        <v>18.129657999999999</v>
      </c>
      <c r="AD69" s="298">
        <v>18.129657999999999</v>
      </c>
      <c r="AE69" s="298">
        <v>18.129657999999999</v>
      </c>
      <c r="AF69" s="298">
        <v>18.129657999999999</v>
      </c>
      <c r="AG69" s="298">
        <v>18.129657999999999</v>
      </c>
      <c r="AH69" s="298">
        <v>18.129657999999999</v>
      </c>
      <c r="AI69" s="298">
        <v>18.129657999999999</v>
      </c>
      <c r="AJ69" s="298">
        <v>18.129657999999999</v>
      </c>
      <c r="AK69" s="299">
        <v>2E-3</v>
      </c>
    </row>
    <row r="70" spans="1:37">
      <c r="A70" s="6" t="s">
        <v>703</v>
      </c>
      <c r="B70" s="367">
        <v>90</v>
      </c>
      <c r="C70" s="367">
        <v>89</v>
      </c>
      <c r="D70" s="367">
        <v>85</v>
      </c>
      <c r="E70" s="367">
        <v>84</v>
      </c>
      <c r="F70" s="368">
        <v>78.951698303222699</v>
      </c>
      <c r="G70" s="298">
        <v>86</v>
      </c>
      <c r="H70" s="298">
        <v>89</v>
      </c>
      <c r="I70" s="298">
        <v>87</v>
      </c>
      <c r="J70" s="298">
        <v>87</v>
      </c>
      <c r="K70" s="298">
        <v>83.929221999999996</v>
      </c>
      <c r="L70" s="298">
        <v>84.444526999999994</v>
      </c>
      <c r="M70" s="298">
        <v>84.784676000000005</v>
      </c>
      <c r="N70" s="298">
        <v>84.856537000000003</v>
      </c>
      <c r="O70" s="298">
        <v>84.762580999999997</v>
      </c>
      <c r="P70" s="298">
        <v>84.610602999999998</v>
      </c>
      <c r="Q70" s="298">
        <v>84.422150000000002</v>
      </c>
      <c r="R70" s="298">
        <v>84.011527999999998</v>
      </c>
      <c r="S70" s="298">
        <v>83.650841</v>
      </c>
      <c r="T70" s="298">
        <v>83.337349000000003</v>
      </c>
      <c r="U70" s="298">
        <v>83.051040999999998</v>
      </c>
      <c r="V70" s="298">
        <v>82.852858999999995</v>
      </c>
      <c r="W70" s="298">
        <v>82.751807999999997</v>
      </c>
      <c r="X70" s="298">
        <v>82.579086000000004</v>
      </c>
      <c r="Y70" s="298">
        <v>82.446686</v>
      </c>
      <c r="Z70" s="298">
        <v>82.407532000000003</v>
      </c>
      <c r="AA70" s="298">
        <v>82.401390000000006</v>
      </c>
      <c r="AB70" s="298">
        <v>82.379172999999994</v>
      </c>
      <c r="AC70" s="298">
        <v>82.419548000000006</v>
      </c>
      <c r="AD70" s="298">
        <v>82.643226999999996</v>
      </c>
      <c r="AE70" s="298">
        <v>82.856575000000007</v>
      </c>
      <c r="AF70" s="298">
        <v>83.059607999999997</v>
      </c>
      <c r="AG70" s="298">
        <v>83.321395999999993</v>
      </c>
      <c r="AH70" s="298">
        <v>83.713463000000004</v>
      </c>
      <c r="AI70" s="298">
        <v>83.800713000000002</v>
      </c>
      <c r="AJ70" s="298">
        <v>83.967208999999997</v>
      </c>
      <c r="AK70" s="299">
        <v>-2E-3</v>
      </c>
    </row>
    <row r="71" spans="1:37">
      <c r="A71" s="6" t="s">
        <v>152</v>
      </c>
      <c r="B71" s="367">
        <v>60.165718078613303</v>
      </c>
      <c r="C71" s="367">
        <v>58.3234672546387</v>
      </c>
      <c r="D71" s="367">
        <v>56.096931457519503</v>
      </c>
      <c r="E71" s="367">
        <v>53.113201141357401</v>
      </c>
      <c r="F71" s="368">
        <v>50.657768249511697</v>
      </c>
      <c r="G71" s="298">
        <v>45.229275000000001</v>
      </c>
      <c r="H71" s="298">
        <v>40.315280999999999</v>
      </c>
      <c r="I71" s="298">
        <v>33.537674000000003</v>
      </c>
      <c r="J71" s="298">
        <v>28.732861</v>
      </c>
      <c r="K71" s="298">
        <v>27.439371000000001</v>
      </c>
      <c r="L71" s="298">
        <v>25.212821999999999</v>
      </c>
      <c r="M71" s="298">
        <v>25.371447</v>
      </c>
      <c r="N71" s="298">
        <v>25.397780999999998</v>
      </c>
      <c r="O71" s="298">
        <v>25.272306</v>
      </c>
      <c r="P71" s="298">
        <v>25.605276</v>
      </c>
      <c r="Q71" s="298">
        <v>26.339932999999998</v>
      </c>
      <c r="R71" s="298">
        <v>26.391024000000002</v>
      </c>
      <c r="S71" s="298">
        <v>26.330031999999999</v>
      </c>
      <c r="T71" s="298">
        <v>26.557704999999999</v>
      </c>
      <c r="U71" s="298">
        <v>26.574638</v>
      </c>
      <c r="V71" s="298">
        <v>27.074511000000001</v>
      </c>
      <c r="W71" s="298">
        <v>27.628391000000001</v>
      </c>
      <c r="X71" s="298">
        <v>28.164417</v>
      </c>
      <c r="Y71" s="298">
        <v>28.574669</v>
      </c>
      <c r="Z71" s="298">
        <v>28.600802999999999</v>
      </c>
      <c r="AA71" s="298">
        <v>29.035553</v>
      </c>
      <c r="AB71" s="298">
        <v>29.225125999999999</v>
      </c>
      <c r="AC71" s="298">
        <v>29.185209</v>
      </c>
      <c r="AD71" s="298">
        <v>29.338975999999999</v>
      </c>
      <c r="AE71" s="298">
        <v>29.911650000000002</v>
      </c>
      <c r="AF71" s="298">
        <v>30.578768</v>
      </c>
      <c r="AG71" s="298">
        <v>30.764973000000001</v>
      </c>
      <c r="AH71" s="298">
        <v>31.641760000000001</v>
      </c>
      <c r="AI71" s="298">
        <v>31.827915000000001</v>
      </c>
      <c r="AJ71" s="298">
        <v>32.156517000000001</v>
      </c>
      <c r="AK71" s="299">
        <v>-8.0000000000000002E-3</v>
      </c>
    </row>
    <row r="72" spans="1:37" s="269" customFormat="1">
      <c r="A72" s="268" t="s">
        <v>151</v>
      </c>
      <c r="B72" s="353">
        <v>15.605100631713899</v>
      </c>
      <c r="C72" s="353">
        <v>15.522489547729499</v>
      </c>
      <c r="D72" s="353">
        <v>14.950650215148899</v>
      </c>
      <c r="E72" s="353">
        <v>14.7747602462769</v>
      </c>
      <c r="F72" s="354">
        <v>14.2072401046753</v>
      </c>
      <c r="G72" s="319">
        <v>14.3342885971069</v>
      </c>
      <c r="H72" s="319">
        <v>14.411810874939</v>
      </c>
      <c r="I72" s="319">
        <v>14.427806854248001</v>
      </c>
      <c r="J72" s="319">
        <v>14.247616767883301</v>
      </c>
      <c r="K72" s="319">
        <v>14.1760416030884</v>
      </c>
      <c r="L72" s="319">
        <v>14.1692085266113</v>
      </c>
      <c r="M72" s="319">
        <v>14.217811584472701</v>
      </c>
      <c r="N72" s="319">
        <v>14.219580650329601</v>
      </c>
      <c r="O72" s="319">
        <v>14.2103576660156</v>
      </c>
      <c r="P72" s="319">
        <v>14.200039863586399</v>
      </c>
      <c r="Q72" s="319">
        <v>14.1303453445435</v>
      </c>
      <c r="R72" s="319">
        <v>14.095740318298301</v>
      </c>
      <c r="S72" s="319">
        <v>14.0861167907715</v>
      </c>
      <c r="T72" s="319">
        <v>14.1125946044922</v>
      </c>
      <c r="U72" s="319">
        <v>14.163477897644</v>
      </c>
      <c r="V72" s="319">
        <v>14.242433547973601</v>
      </c>
      <c r="W72" s="319">
        <v>14.2973442077637</v>
      </c>
      <c r="X72" s="319">
        <v>14.4011936187744</v>
      </c>
      <c r="Y72" s="319">
        <v>14.4425506591797</v>
      </c>
      <c r="Z72" s="319">
        <v>14.573932647705099</v>
      </c>
      <c r="AA72" s="319"/>
      <c r="AB72" s="319"/>
      <c r="AC72" s="319"/>
      <c r="AD72" s="319"/>
      <c r="AE72" s="319"/>
      <c r="AF72" s="319"/>
      <c r="AG72" s="319"/>
      <c r="AH72" s="319"/>
      <c r="AI72" s="319"/>
      <c r="AJ72" s="319"/>
      <c r="AK72" s="320">
        <v>-2.73776054382324E-3</v>
      </c>
    </row>
    <row r="73" spans="1:37">
      <c r="A73" s="6" t="s">
        <v>150</v>
      </c>
    </row>
    <row r="74" spans="1:37">
      <c r="A74" s="6" t="s">
        <v>594</v>
      </c>
      <c r="B74" s="353">
        <v>272.80218505859398</v>
      </c>
      <c r="C74" s="353">
        <v>280.12564086914102</v>
      </c>
      <c r="D74" s="353">
        <v>321.28717041015602</v>
      </c>
      <c r="E74" s="353">
        <v>195.51596069335901</v>
      </c>
      <c r="F74" s="354">
        <v>246.62348937988301</v>
      </c>
      <c r="G74" s="298">
        <v>494.73007200000001</v>
      </c>
      <c r="H74" s="298">
        <v>313.70205700000002</v>
      </c>
      <c r="I74" s="298">
        <v>257.058716</v>
      </c>
      <c r="J74" s="298">
        <v>219.518845</v>
      </c>
      <c r="K74" s="298">
        <v>213.13346899999999</v>
      </c>
      <c r="L74" s="298">
        <v>192.04028299999999</v>
      </c>
      <c r="M74" s="298">
        <v>190.19305399999999</v>
      </c>
      <c r="N74" s="298">
        <v>190.97583</v>
      </c>
      <c r="O74" s="298">
        <v>193.05748</v>
      </c>
      <c r="P74" s="298">
        <v>198.85289</v>
      </c>
      <c r="Q74" s="298">
        <v>207.326324</v>
      </c>
      <c r="R74" s="298">
        <v>214.50224299999999</v>
      </c>
      <c r="S74" s="298">
        <v>220.992096</v>
      </c>
      <c r="T74" s="298">
        <v>228.38960299999999</v>
      </c>
      <c r="U74" s="298">
        <v>234.269226</v>
      </c>
      <c r="V74" s="298">
        <v>243.98199500000001</v>
      </c>
      <c r="W74" s="298">
        <v>254.790054</v>
      </c>
      <c r="X74" s="298">
        <v>263.61831699999999</v>
      </c>
      <c r="Y74" s="298">
        <v>272.543701</v>
      </c>
      <c r="Z74" s="298">
        <v>278.59802200000001</v>
      </c>
      <c r="AA74" s="298">
        <v>289.04888899999997</v>
      </c>
      <c r="AB74" s="298">
        <v>297.603973</v>
      </c>
      <c r="AC74" s="298">
        <v>305.14331099999998</v>
      </c>
      <c r="AD74" s="298">
        <v>315.75491299999999</v>
      </c>
      <c r="AE74" s="298">
        <v>327.328461</v>
      </c>
      <c r="AF74" s="298">
        <v>338.67947400000003</v>
      </c>
      <c r="AG74" s="298">
        <v>347.810272</v>
      </c>
      <c r="AH74" s="298">
        <v>363.35360700000001</v>
      </c>
      <c r="AI74" s="298">
        <v>372.92919899999998</v>
      </c>
      <c r="AJ74" s="298">
        <v>385.39370700000001</v>
      </c>
      <c r="AK74" s="299">
        <v>7.0000000000000001E-3</v>
      </c>
    </row>
    <row r="78" spans="1:37" s="267" customFormat="1" ht="15" customHeight="1">
      <c r="A78" s="562" t="s">
        <v>595</v>
      </c>
      <c r="B78" s="562"/>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303"/>
      <c r="AH78" s="303"/>
      <c r="AI78" s="303"/>
      <c r="AJ78" s="303"/>
      <c r="AK78" s="303"/>
    </row>
    <row r="79" spans="1:37" customFormat="1" ht="15" customHeight="1">
      <c r="A79" s="561" t="s">
        <v>596</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302"/>
      <c r="AH79" s="302"/>
      <c r="AI79" s="302"/>
      <c r="AJ79" s="302"/>
      <c r="AK79" s="302"/>
    </row>
    <row r="80" spans="1:37" customFormat="1" ht="15" customHeight="1">
      <c r="A80" s="561" t="s">
        <v>597</v>
      </c>
      <c r="B80" s="561"/>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302"/>
      <c r="AH80" s="302"/>
      <c r="AI80" s="302"/>
      <c r="AJ80" s="302"/>
      <c r="AK80" s="302"/>
    </row>
    <row r="81" spans="1:37" customFormat="1" ht="15" customHeight="1">
      <c r="A81" s="561" t="s">
        <v>598</v>
      </c>
      <c r="B81" s="561"/>
      <c r="C81" s="561"/>
      <c r="D81" s="561"/>
      <c r="E81" s="561"/>
      <c r="F81" s="561"/>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302"/>
      <c r="AH81" s="302"/>
      <c r="AI81" s="302"/>
      <c r="AJ81" s="302"/>
      <c r="AK81" s="302"/>
    </row>
    <row r="82" spans="1:37" customFormat="1" ht="15" customHeight="1">
      <c r="A82" s="561" t="s">
        <v>599</v>
      </c>
      <c r="B82" s="561"/>
      <c r="C82" s="561"/>
      <c r="D82" s="561"/>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302"/>
      <c r="AH82" s="302"/>
      <c r="AI82" s="302"/>
      <c r="AJ82" s="302"/>
      <c r="AK82" s="302"/>
    </row>
    <row r="83" spans="1:37" customFormat="1" ht="15" customHeight="1">
      <c r="A83" s="561" t="s">
        <v>600</v>
      </c>
      <c r="B83" s="561"/>
      <c r="C83" s="561"/>
      <c r="D83" s="561"/>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302"/>
      <c r="AH83" s="302"/>
      <c r="AI83" s="302"/>
      <c r="AJ83" s="302"/>
      <c r="AK83" s="302"/>
    </row>
    <row r="84" spans="1:37" customFormat="1" ht="15" customHeight="1">
      <c r="A84" s="561" t="s">
        <v>601</v>
      </c>
      <c r="B84" s="561"/>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302"/>
      <c r="AH84" s="302"/>
      <c r="AI84" s="302"/>
      <c r="AJ84" s="302"/>
      <c r="AK84" s="302"/>
    </row>
    <row r="85" spans="1:37" customFormat="1" ht="15" customHeight="1">
      <c r="A85" s="561" t="s">
        <v>602</v>
      </c>
      <c r="B85" s="561"/>
      <c r="C85" s="561"/>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302"/>
      <c r="AH85" s="302"/>
      <c r="AI85" s="302"/>
      <c r="AJ85" s="302"/>
      <c r="AK85" s="302"/>
    </row>
    <row r="86" spans="1:37" customFormat="1" ht="15" customHeight="1">
      <c r="A86" s="561" t="s">
        <v>603</v>
      </c>
      <c r="B86" s="561"/>
      <c r="C86" s="561"/>
      <c r="D86" s="561"/>
      <c r="E86" s="561"/>
      <c r="F86" s="561"/>
      <c r="G86" s="561"/>
      <c r="H86" s="561"/>
      <c r="I86" s="561"/>
      <c r="J86" s="561"/>
      <c r="K86" s="561"/>
      <c r="L86" s="561"/>
      <c r="M86" s="561"/>
      <c r="N86" s="561"/>
      <c r="O86" s="561"/>
      <c r="P86" s="561"/>
      <c r="Q86" s="561"/>
      <c r="R86" s="561"/>
      <c r="S86" s="561"/>
      <c r="T86" s="561"/>
      <c r="U86" s="561"/>
      <c r="V86" s="561"/>
      <c r="W86" s="561"/>
      <c r="X86" s="561"/>
      <c r="Y86" s="561"/>
      <c r="Z86" s="561"/>
      <c r="AA86" s="561"/>
      <c r="AB86" s="561"/>
      <c r="AC86" s="561"/>
      <c r="AD86" s="561"/>
      <c r="AE86" s="561"/>
      <c r="AF86" s="561"/>
      <c r="AG86" s="302"/>
      <c r="AH86" s="302"/>
      <c r="AI86" s="302"/>
      <c r="AJ86" s="302"/>
      <c r="AK86" s="302"/>
    </row>
    <row r="87" spans="1:37" customFormat="1" ht="15" customHeight="1">
      <c r="A87" s="561" t="s">
        <v>604</v>
      </c>
      <c r="B87" s="561"/>
      <c r="C87" s="561"/>
      <c r="D87" s="561"/>
      <c r="E87" s="561"/>
      <c r="F87" s="561"/>
      <c r="G87" s="561"/>
      <c r="H87" s="561"/>
      <c r="I87" s="561"/>
      <c r="J87" s="561"/>
      <c r="K87" s="561"/>
      <c r="L87" s="561"/>
      <c r="M87" s="561"/>
      <c r="N87" s="561"/>
      <c r="O87" s="561"/>
      <c r="P87" s="561"/>
      <c r="Q87" s="561"/>
      <c r="R87" s="561"/>
      <c r="S87" s="561"/>
      <c r="T87" s="561"/>
      <c r="U87" s="561"/>
      <c r="V87" s="561"/>
      <c r="W87" s="561"/>
      <c r="X87" s="561"/>
      <c r="Y87" s="561"/>
      <c r="Z87" s="561"/>
      <c r="AA87" s="561"/>
      <c r="AB87" s="561"/>
      <c r="AC87" s="561"/>
      <c r="AD87" s="561"/>
      <c r="AE87" s="561"/>
      <c r="AF87" s="561"/>
      <c r="AG87" s="302"/>
      <c r="AH87" s="302"/>
      <c r="AI87" s="302"/>
      <c r="AJ87" s="302"/>
      <c r="AK87" s="302"/>
    </row>
    <row r="88" spans="1:37" customFormat="1" ht="15" customHeight="1">
      <c r="A88" s="561" t="s">
        <v>605</v>
      </c>
      <c r="B88" s="561"/>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302"/>
      <c r="AH88" s="302"/>
      <c r="AI88" s="302"/>
      <c r="AJ88" s="302"/>
      <c r="AK88" s="302"/>
    </row>
    <row r="89" spans="1:37" customFormat="1" ht="15" customHeight="1">
      <c r="A89" s="561" t="s">
        <v>606</v>
      </c>
      <c r="B89" s="561"/>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c r="AG89" s="302"/>
      <c r="AH89" s="302"/>
      <c r="AI89" s="302"/>
      <c r="AJ89" s="302"/>
      <c r="AK89" s="302"/>
    </row>
    <row r="90" spans="1:37" customFormat="1" ht="15" customHeight="1">
      <c r="A90" s="561" t="s">
        <v>607</v>
      </c>
      <c r="B90" s="561"/>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302"/>
      <c r="AH90" s="302"/>
      <c r="AI90" s="302"/>
      <c r="AJ90" s="302"/>
      <c r="AK90" s="302"/>
    </row>
    <row r="91" spans="1:37" customFormat="1" ht="15" customHeight="1">
      <c r="A91" s="561" t="s">
        <v>608</v>
      </c>
      <c r="B91" s="561"/>
      <c r="C91" s="561"/>
      <c r="D91" s="561"/>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c r="AG91" s="302"/>
      <c r="AH91" s="302"/>
      <c r="AI91" s="302"/>
      <c r="AJ91" s="302"/>
      <c r="AK91" s="302"/>
    </row>
    <row r="92" spans="1:37" customFormat="1" ht="15" customHeight="1">
      <c r="A92" s="561" t="s">
        <v>609</v>
      </c>
      <c r="B92" s="561"/>
      <c r="C92" s="561"/>
      <c r="D92" s="561"/>
      <c r="E92" s="561"/>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c r="AG92" s="302"/>
      <c r="AH92" s="302"/>
      <c r="AI92" s="302"/>
      <c r="AJ92" s="302"/>
      <c r="AK92" s="302"/>
    </row>
    <row r="93" spans="1:37" customFormat="1" ht="15" customHeight="1">
      <c r="A93" s="561" t="s">
        <v>610</v>
      </c>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c r="AG93" s="302"/>
      <c r="AH93" s="302"/>
      <c r="AI93" s="302"/>
      <c r="AJ93" s="302"/>
      <c r="AK93" s="302"/>
    </row>
    <row r="94" spans="1:37" customFormat="1" ht="15" customHeight="1">
      <c r="A94" s="561" t="s">
        <v>611</v>
      </c>
      <c r="B94" s="561"/>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c r="AG94" s="302"/>
      <c r="AH94" s="302"/>
      <c r="AI94" s="302"/>
      <c r="AJ94" s="302"/>
      <c r="AK94" s="302"/>
    </row>
    <row r="95" spans="1:37" customFormat="1" ht="15" customHeight="1">
      <c r="A95" s="561" t="s">
        <v>612</v>
      </c>
      <c r="B95" s="561"/>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c r="AG95" s="302"/>
      <c r="AH95" s="302"/>
      <c r="AI95" s="302"/>
      <c r="AJ95" s="302"/>
      <c r="AK95" s="302"/>
    </row>
    <row r="96" spans="1:37" customFormat="1" ht="15" customHeight="1">
      <c r="A96" s="561" t="s">
        <v>613</v>
      </c>
      <c r="B96" s="561"/>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c r="AG96" s="302"/>
      <c r="AH96" s="302"/>
      <c r="AI96" s="302"/>
      <c r="AJ96" s="302"/>
      <c r="AK96" s="302"/>
    </row>
    <row r="97" spans="1:37" customFormat="1" ht="15" customHeight="1">
      <c r="A97" s="561" t="s">
        <v>614</v>
      </c>
      <c r="B97" s="561"/>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c r="AG97" s="302"/>
      <c r="AH97" s="302"/>
      <c r="AI97" s="302"/>
      <c r="AJ97" s="302"/>
      <c r="AK97" s="302"/>
    </row>
    <row r="98" spans="1:37" customFormat="1" ht="15" customHeight="1">
      <c r="A98" s="561" t="s">
        <v>615</v>
      </c>
      <c r="B98" s="561"/>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c r="AG98" s="302"/>
      <c r="AH98" s="302"/>
      <c r="AI98" s="302"/>
      <c r="AJ98" s="302"/>
      <c r="AK98" s="302"/>
    </row>
    <row r="99" spans="1:37" customFormat="1" ht="15" customHeight="1">
      <c r="A99" s="561" t="s">
        <v>616</v>
      </c>
      <c r="B99" s="561"/>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c r="AG99" s="302"/>
      <c r="AH99" s="302"/>
      <c r="AI99" s="302"/>
      <c r="AJ99" s="302"/>
      <c r="AK99" s="302"/>
    </row>
    <row r="100" spans="1:37" customFormat="1" ht="15" customHeight="1">
      <c r="A100" s="561" t="s">
        <v>617</v>
      </c>
      <c r="B100" s="561"/>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c r="AG100" s="302"/>
      <c r="AH100" s="302"/>
      <c r="AI100" s="302"/>
      <c r="AJ100" s="302"/>
      <c r="AK100" s="302"/>
    </row>
    <row r="101" spans="1:37" customFormat="1" ht="15" customHeight="1">
      <c r="A101" s="561" t="s">
        <v>618</v>
      </c>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c r="AG101" s="302"/>
      <c r="AH101" s="302"/>
      <c r="AI101" s="302"/>
      <c r="AJ101" s="302"/>
      <c r="AK101" s="302"/>
    </row>
    <row r="102" spans="1:37" customFormat="1" ht="15" customHeight="1">
      <c r="A102" s="561" t="s">
        <v>619</v>
      </c>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1"/>
      <c r="AG102" s="302"/>
      <c r="AH102" s="302"/>
      <c r="AI102" s="302"/>
      <c r="AJ102" s="302"/>
      <c r="AK102" s="302"/>
    </row>
    <row r="103" spans="1:37" customFormat="1" ht="15" customHeight="1">
      <c r="A103" s="561" t="s">
        <v>620</v>
      </c>
      <c r="B103" s="561"/>
      <c r="C103" s="561"/>
      <c r="D103" s="561"/>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c r="AG103" s="302"/>
      <c r="AH103" s="302"/>
      <c r="AI103" s="302"/>
      <c r="AJ103" s="302"/>
      <c r="AK103" s="302"/>
    </row>
    <row r="104" spans="1:37" customFormat="1" ht="15" customHeight="1">
      <c r="A104" s="561" t="s">
        <v>621</v>
      </c>
      <c r="B104" s="561"/>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302"/>
      <c r="AH104" s="302"/>
      <c r="AI104" s="302"/>
      <c r="AJ104" s="302"/>
      <c r="AK104" s="302"/>
    </row>
    <row r="105" spans="1:37" customFormat="1" ht="15" customHeight="1">
      <c r="A105" s="561" t="s">
        <v>622</v>
      </c>
      <c r="B105" s="561"/>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561"/>
      <c r="AE105" s="561"/>
      <c r="AF105" s="561"/>
      <c r="AG105" s="302"/>
      <c r="AH105" s="302"/>
      <c r="AI105" s="302"/>
      <c r="AJ105" s="302"/>
      <c r="AK105" s="302"/>
    </row>
    <row r="106" spans="1:37" customFormat="1" ht="15" customHeight="1">
      <c r="A106" s="561" t="s">
        <v>623</v>
      </c>
      <c r="B106" s="561"/>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c r="AG106" s="302"/>
      <c r="AH106" s="302"/>
      <c r="AI106" s="302"/>
      <c r="AJ106" s="302"/>
      <c r="AK106" s="302"/>
    </row>
    <row r="107" spans="1:37" customFormat="1" ht="15" customHeight="1">
      <c r="A107" s="561" t="s">
        <v>624</v>
      </c>
      <c r="B107" s="561"/>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c r="AG107" s="302"/>
      <c r="AH107" s="302"/>
      <c r="AI107" s="302"/>
      <c r="AJ107" s="302"/>
      <c r="AK107" s="302"/>
    </row>
    <row r="108" spans="1:37" customFormat="1" ht="15" customHeight="1">
      <c r="A108" s="561" t="s">
        <v>625</v>
      </c>
      <c r="B108" s="561"/>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c r="AG108" s="302"/>
      <c r="AH108" s="302"/>
      <c r="AI108" s="302"/>
      <c r="AJ108" s="302"/>
      <c r="AK108" s="302"/>
    </row>
    <row r="109" spans="1:37" customFormat="1" ht="15" customHeight="1">
      <c r="A109" s="561" t="s">
        <v>626</v>
      </c>
      <c r="B109" s="561"/>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c r="AG109" s="302"/>
      <c r="AH109" s="302"/>
      <c r="AI109" s="302"/>
      <c r="AJ109" s="302"/>
      <c r="AK109" s="302"/>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528</v>
      </c>
    </row>
    <row r="4" spans="1:2">
      <c r="A4" t="s">
        <v>551</v>
      </c>
    </row>
    <row r="5" spans="1:2">
      <c r="B5" t="s">
        <v>527</v>
      </c>
    </row>
    <row r="7" spans="1:2">
      <c r="A7" t="s">
        <v>715</v>
      </c>
    </row>
    <row r="9" spans="1:2">
      <c r="A9" t="s">
        <v>526</v>
      </c>
    </row>
    <row r="10" spans="1:2">
      <c r="B10" t="s">
        <v>520</v>
      </c>
    </row>
    <row r="12" spans="1:2">
      <c r="A12" t="s">
        <v>709</v>
      </c>
    </row>
    <row r="14" spans="1:2">
      <c r="A14" t="s">
        <v>519</v>
      </c>
    </row>
    <row r="15" spans="1:2">
      <c r="B15" t="s">
        <v>521</v>
      </c>
    </row>
    <row r="17" spans="1:1">
      <c r="A17" t="s">
        <v>524</v>
      </c>
    </row>
    <row r="19" spans="1:1">
      <c r="A19" t="s">
        <v>525</v>
      </c>
    </row>
    <row r="21" spans="1:1">
      <c r="A21" t="s">
        <v>550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27"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32" customWidth="1"/>
    <col min="6" max="6" width="17" style="332" customWidth="1"/>
    <col min="7" max="7" width="15.5" style="332" customWidth="1"/>
    <col min="8" max="8" width="16.1640625" style="405"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6"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3"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1" customWidth="1"/>
    <col min="35" max="35" width="20.6640625" bestFit="1" customWidth="1"/>
    <col min="36" max="36" width="15.33203125" bestFit="1" customWidth="1"/>
    <col min="37" max="37" width="13.33203125" bestFit="1" customWidth="1"/>
    <col min="38" max="38" width="13.83203125" customWidth="1"/>
  </cols>
  <sheetData>
    <row r="1" spans="1:38" hidden="1">
      <c r="A1" s="532"/>
      <c r="B1" s="532"/>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row>
    <row r="2" spans="1:38" hidden="1">
      <c r="A2" s="532"/>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532"/>
      <c r="AE2" s="532"/>
      <c r="AF2" s="532"/>
      <c r="AG2" s="532"/>
      <c r="AH2" s="532"/>
      <c r="AI2" s="532"/>
      <c r="AJ2" s="532"/>
      <c r="AK2" s="532"/>
      <c r="AL2" s="532"/>
    </row>
    <row r="3" spans="1:38" hidden="1">
      <c r="A3" s="532"/>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532"/>
      <c r="AJ3" s="532"/>
      <c r="AK3" s="532"/>
      <c r="AL3" s="532"/>
    </row>
    <row r="4" spans="1:38" hidden="1">
      <c r="A4" s="532"/>
      <c r="B4" s="532"/>
      <c r="C4" s="532"/>
      <c r="D4" s="532"/>
      <c r="E4" s="532"/>
      <c r="F4" s="532"/>
      <c r="G4" s="532"/>
      <c r="H4" s="532"/>
      <c r="I4" s="532"/>
      <c r="J4" s="532"/>
      <c r="K4" s="532"/>
      <c r="L4" s="532"/>
      <c r="M4" s="532"/>
      <c r="N4" s="532"/>
      <c r="O4" s="532"/>
      <c r="P4" s="532"/>
      <c r="Q4" s="532"/>
      <c r="R4" s="532"/>
      <c r="S4" s="532"/>
      <c r="T4" s="532"/>
      <c r="U4" s="532"/>
      <c r="V4" s="532"/>
      <c r="W4" s="532"/>
      <c r="X4" s="532"/>
      <c r="Y4" s="532"/>
      <c r="Z4" s="532"/>
      <c r="AA4" s="532"/>
      <c r="AB4" s="532"/>
      <c r="AC4" s="532"/>
      <c r="AD4" s="532"/>
      <c r="AE4" s="532"/>
      <c r="AF4" s="532"/>
      <c r="AG4" s="532"/>
      <c r="AH4" s="532"/>
      <c r="AI4" s="532"/>
      <c r="AJ4" s="532"/>
      <c r="AK4" s="532"/>
      <c r="AL4" s="532"/>
    </row>
    <row r="5" spans="1:38" hidden="1">
      <c r="A5" s="532"/>
      <c r="B5" s="532"/>
      <c r="C5" s="532"/>
      <c r="D5" s="532"/>
      <c r="E5" s="532"/>
      <c r="F5" s="532"/>
      <c r="G5" s="532"/>
      <c r="H5" s="532"/>
      <c r="I5" s="532"/>
      <c r="J5" s="532"/>
      <c r="K5" s="532"/>
      <c r="L5" s="532"/>
      <c r="M5" s="532"/>
      <c r="N5" s="532"/>
      <c r="O5" s="532"/>
      <c r="P5" s="532"/>
      <c r="Q5" s="532"/>
      <c r="R5" s="532"/>
      <c r="S5" s="532"/>
      <c r="T5" s="532"/>
      <c r="U5" s="532"/>
      <c r="V5" s="532"/>
      <c r="W5" s="532"/>
      <c r="X5" s="532"/>
      <c r="Y5" s="532"/>
      <c r="Z5" s="532"/>
      <c r="AA5" s="532"/>
      <c r="AB5" s="532"/>
      <c r="AC5" s="532"/>
      <c r="AD5" s="532"/>
      <c r="AE5" s="532"/>
      <c r="AF5" s="532"/>
      <c r="AG5" s="532"/>
      <c r="AH5" s="532"/>
      <c r="AI5" s="532"/>
      <c r="AJ5" s="532"/>
      <c r="AK5" s="532"/>
      <c r="AL5" s="532"/>
    </row>
    <row r="6" spans="1:38" hidden="1">
      <c r="A6" s="532"/>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532"/>
      <c r="AE6" s="532"/>
      <c r="AF6" s="532"/>
      <c r="AG6" s="532"/>
      <c r="AH6" s="532"/>
      <c r="AI6" s="532"/>
      <c r="AJ6" s="532"/>
      <c r="AK6" s="532"/>
      <c r="AL6" s="532"/>
    </row>
    <row r="7" spans="1:38" ht="23.25" hidden="1" customHeight="1">
      <c r="A7" s="532"/>
      <c r="B7" s="532"/>
      <c r="C7" s="532"/>
      <c r="D7" s="532"/>
      <c r="E7" s="532"/>
      <c r="F7" s="532"/>
      <c r="G7" s="532"/>
      <c r="H7" s="532"/>
      <c r="I7" s="532"/>
      <c r="J7" s="532"/>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row>
    <row r="8" spans="1:38" s="160" customFormat="1" ht="15.75" hidden="1" customHeight="1">
      <c r="A8" s="532"/>
      <c r="B8" s="532"/>
      <c r="C8" s="532"/>
      <c r="D8" s="532"/>
      <c r="E8" s="532"/>
      <c r="F8" s="532"/>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row>
    <row r="9" spans="1:38" ht="21" hidden="1" customHeight="1">
      <c r="A9" s="532"/>
      <c r="B9" s="532"/>
      <c r="C9" s="532"/>
      <c r="D9" s="532"/>
      <c r="E9" s="532"/>
      <c r="F9" s="532"/>
      <c r="G9" s="532"/>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row>
    <row r="10" spans="1:38">
      <c r="A10" t="s">
        <v>188</v>
      </c>
      <c r="B10" s="33" t="s">
        <v>127</v>
      </c>
      <c r="Y10" s="20"/>
      <c r="Z10" s="20"/>
      <c r="AA10" s="20"/>
      <c r="AB10" s="20"/>
      <c r="AC10" s="20"/>
      <c r="AD10" s="20"/>
      <c r="AE10" s="20"/>
      <c r="AF10" s="20"/>
      <c r="AG10" s="20"/>
      <c r="AH10" s="280"/>
    </row>
    <row r="11" spans="1:38" s="1" customFormat="1">
      <c r="B11" s="13"/>
      <c r="C11" s="333">
        <v>2009</v>
      </c>
      <c r="D11" s="333">
        <v>2010</v>
      </c>
      <c r="E11" s="333">
        <v>2011</v>
      </c>
      <c r="F11" s="333">
        <v>2012</v>
      </c>
      <c r="G11" s="333">
        <v>2013</v>
      </c>
      <c r="H11" s="406">
        <v>2014</v>
      </c>
      <c r="I11" s="13">
        <v>2015</v>
      </c>
      <c r="J11" s="13">
        <v>2016</v>
      </c>
      <c r="K11" s="13">
        <v>2017</v>
      </c>
      <c r="L11" s="13">
        <v>2018</v>
      </c>
      <c r="M11" s="13">
        <v>2019</v>
      </c>
      <c r="N11" s="177">
        <v>2020</v>
      </c>
      <c r="O11" s="13">
        <v>2021</v>
      </c>
      <c r="P11" s="13">
        <v>2022</v>
      </c>
      <c r="Q11" s="13">
        <v>2023</v>
      </c>
      <c r="R11" s="13">
        <v>2024</v>
      </c>
      <c r="S11" s="13">
        <v>2025</v>
      </c>
      <c r="T11" s="13">
        <v>2026</v>
      </c>
      <c r="U11" s="13">
        <v>2027</v>
      </c>
      <c r="V11" s="13">
        <v>2028</v>
      </c>
      <c r="W11" s="13">
        <v>2029</v>
      </c>
      <c r="X11" s="177">
        <v>2030</v>
      </c>
      <c r="Y11" s="13">
        <v>2031</v>
      </c>
      <c r="Z11" s="13">
        <v>2032</v>
      </c>
      <c r="AA11" s="13">
        <v>2033</v>
      </c>
      <c r="AB11" s="13">
        <v>2034</v>
      </c>
      <c r="AC11" s="13">
        <v>2035</v>
      </c>
      <c r="AD11" s="13">
        <v>2036</v>
      </c>
      <c r="AE11" s="13">
        <v>2037</v>
      </c>
      <c r="AF11" s="13">
        <v>2038</v>
      </c>
      <c r="AG11" s="13">
        <v>2039</v>
      </c>
      <c r="AH11" s="177">
        <v>2040</v>
      </c>
      <c r="AJ11" s="167">
        <v>1.0299073916679518E-2</v>
      </c>
      <c r="AK11" s="168">
        <f>AJ11/2</f>
        <v>5.1495369583397588E-3</v>
      </c>
    </row>
    <row r="12" spans="1:38" s="1" customFormat="1">
      <c r="A12" s="1" t="s">
        <v>62</v>
      </c>
      <c r="B12" s="33"/>
      <c r="C12" s="333"/>
      <c r="D12" s="333"/>
      <c r="E12" s="333"/>
      <c r="F12" s="333"/>
      <c r="G12" s="333"/>
      <c r="H12" s="406"/>
      <c r="I12" s="13"/>
      <c r="J12" s="13"/>
      <c r="K12" s="13"/>
      <c r="L12" s="13"/>
      <c r="M12" s="13"/>
      <c r="N12" s="176"/>
      <c r="O12" s="13"/>
      <c r="P12" s="13"/>
      <c r="Q12" s="13"/>
      <c r="R12" s="13"/>
      <c r="S12" s="13"/>
      <c r="T12" s="13"/>
      <c r="U12" s="13"/>
      <c r="V12" s="13"/>
      <c r="W12" s="13"/>
      <c r="X12" s="177"/>
      <c r="Y12" s="20"/>
      <c r="Z12" s="20"/>
      <c r="AA12" s="20"/>
      <c r="AB12" s="20"/>
      <c r="AC12" s="20"/>
      <c r="AD12" s="20"/>
      <c r="AE12" s="20"/>
      <c r="AF12" s="20"/>
      <c r="AG12" s="20"/>
      <c r="AH12" s="280"/>
    </row>
    <row r="13" spans="1:38" s="20" customFormat="1">
      <c r="A13" s="20" t="s">
        <v>130</v>
      </c>
      <c r="B13" s="33"/>
      <c r="C13" s="335">
        <f>EIA_electricity_aeo2014!E58*1000</f>
        <v>101102</v>
      </c>
      <c r="D13" s="335">
        <f>EIA_electricity_aeo2014!F58*1000</f>
        <v>105088.00000000001</v>
      </c>
      <c r="E13" s="335">
        <f>EIA_electricity_aeo2014!G58*1000</f>
        <v>100894.44435546557</v>
      </c>
      <c r="F13" s="335">
        <f>EIA_electricity_aeo2014!H58*1000</f>
        <v>100250.87725917753</v>
      </c>
      <c r="G13" s="335">
        <f>EIA_electricity_aeo2014!I58*1000</f>
        <v>98638.97969429841</v>
      </c>
      <c r="H13" s="287">
        <f>EIA_electricity_aeo2014!J58*1000</f>
        <v>100843.81442635853</v>
      </c>
      <c r="I13" s="83">
        <f>EIA_electricity_aeo2014!K58*1000</f>
        <v>103706.86210478992</v>
      </c>
      <c r="J13" s="83">
        <f>EIA_electricity_aeo2014!L58*1000</f>
        <v>105066.86353026686</v>
      </c>
      <c r="K13" s="83">
        <f>EIA_electricity_aeo2014!M58*1000</f>
        <v>109266.31034840272</v>
      </c>
      <c r="L13" s="83">
        <f>EIA_electricity_aeo2014!N58*1000</f>
        <v>111560.83922544663</v>
      </c>
      <c r="M13" s="83">
        <f>EIA_electricity_aeo2014!O58*1000</f>
        <v>113710.8767134034</v>
      </c>
      <c r="N13" s="178">
        <f>EIA_electricity_aeo2014!P58*1000</f>
        <v>115908.24571707034</v>
      </c>
      <c r="O13" s="83">
        <f>EIA_electricity_aeo2014!Q58*1000</f>
        <v>117745.0667221067</v>
      </c>
      <c r="P13" s="83">
        <f>EIA_electricity_aeo2014!R58*1000</f>
        <v>119700.09019154405</v>
      </c>
      <c r="Q13" s="83">
        <f>EIA_electricity_aeo2014!S58*1000</f>
        <v>120447.22345965021</v>
      </c>
      <c r="R13" s="83">
        <f>EIA_electricity_aeo2014!T58*1000</f>
        <v>122140.6892796676</v>
      </c>
      <c r="S13" s="83">
        <f>EIA_electricity_aeo2014!U58*1000</f>
        <v>123151.14933114163</v>
      </c>
      <c r="T13" s="83">
        <f>EIA_electricity_aeo2014!V58*1000</f>
        <v>123636.59110513925</v>
      </c>
      <c r="U13" s="83">
        <f>EIA_electricity_aeo2014!W58*1000</f>
        <v>126036.882680072</v>
      </c>
      <c r="V13" s="83">
        <f>EIA_electricity_aeo2014!X58*1000</f>
        <v>126772.50359056963</v>
      </c>
      <c r="W13" s="83">
        <f>EIA_electricity_aeo2014!Y58*1000</f>
        <v>128309.93178835379</v>
      </c>
      <c r="X13" s="185">
        <f>EIA_electricity_aeo2014!Z58*1000</f>
        <v>129455.02328935527</v>
      </c>
      <c r="Y13" s="175">
        <f>EIA_electricity_aeo2014!AA58*1000</f>
        <v>129326.4811186325</v>
      </c>
      <c r="Z13" s="175">
        <f>EIA_electricity_aeo2014!AB58*1000</f>
        <v>129711.07021502555</v>
      </c>
      <c r="AA13" s="175">
        <f>EIA_electricity_aeo2014!AC58*1000</f>
        <v>130458.42776592994</v>
      </c>
      <c r="AB13" s="175">
        <f>EIA_electricity_aeo2014!AD58*1000</f>
        <v>131713.4495228591</v>
      </c>
      <c r="AC13" s="175">
        <f>EIA_electricity_aeo2014!AE58*1000</f>
        <v>131993.80255405259</v>
      </c>
      <c r="AD13" s="175">
        <f>EIA_electricity_aeo2014!AF58*1000</f>
        <v>132841.87342848594</v>
      </c>
      <c r="AE13" s="175">
        <f>EIA_electricity_aeo2014!AG58*1000</f>
        <v>133563.4377678872</v>
      </c>
      <c r="AF13" s="175">
        <f>EIA_electricity_aeo2014!AH58*1000</f>
        <v>134029.83043174105</v>
      </c>
      <c r="AG13" s="175">
        <f>EIA_electricity_aeo2014!AI58*1000</f>
        <v>136078.68271307115</v>
      </c>
      <c r="AH13" s="185">
        <f>EIA_electricity_aeo2014!AJ58*1000</f>
        <v>137557.84494157814</v>
      </c>
      <c r="AI13" s="115">
        <f>X13/C13-1</f>
        <v>0.28043978644690792</v>
      </c>
      <c r="AJ13" s="166">
        <f>(1+AJ11)^21-1</f>
        <v>0.24007814276920247</v>
      </c>
      <c r="AK13" s="169">
        <f>(1+AK11)^21-1</f>
        <v>0.11389489977934208</v>
      </c>
      <c r="AL13" s="121"/>
    </row>
    <row r="14" spans="1:38" s="20" customFormat="1">
      <c r="A14" s="20" t="s">
        <v>131</v>
      </c>
      <c r="B14" s="33"/>
      <c r="C14" s="335">
        <f>EIA_electricity_aeo2014!E58 * 1000</f>
        <v>101102</v>
      </c>
      <c r="D14" s="335">
        <f>IF(Inputs!$C$7="BAU",'Output -Jobs vs Yr'!D13,C14+($X$14-$C$14)/($X$11-$C$11) )</f>
        <v>105088.00000000001</v>
      </c>
      <c r="E14" s="335">
        <f>IF(Inputs!$C$7="BAU",'Output -Jobs vs Yr'!E13,D14+($X$14-$C$14)/($X$11-$C$11) )</f>
        <v>100894.44435546557</v>
      </c>
      <c r="F14" s="335">
        <f>IF(Inputs!$C$7="BAU",'Output -Jobs vs Yr'!F13,E14+($X$14-$C$14)/($X$11-$C$11) )</f>
        <v>100250.87725917753</v>
      </c>
      <c r="G14" s="335">
        <f>IF(Inputs!$C$7="BAU",'Output -Jobs vs Yr'!G13,F14+($X$14-$C$14)/($X$11-$C$11) )</f>
        <v>98638.97969429841</v>
      </c>
      <c r="H14" s="287">
        <f>EIA_electricity_aeo2014!J58*1000</f>
        <v>100843.81442635853</v>
      </c>
      <c r="I14" s="83">
        <f>IF(Inputs!$C$7="BAU",'Output -Jobs vs Yr'!I13,H14+($X$14-$C$14)/($X$11-$C$11) )</f>
        <v>103706.86210478992</v>
      </c>
      <c r="J14" s="83">
        <f>IF(Inputs!$C$7="BAU",'Output -Jobs vs Yr'!J13,I14+($X$14-$C$14)/($X$11-$C$11) )</f>
        <v>105066.86353026686</v>
      </c>
      <c r="K14" s="83">
        <f>IF(Inputs!$C$7="BAU",'Output -Jobs vs Yr'!K13,J14+($X$14-$C$14)/($X$11-$C$11) )</f>
        <v>109266.31034840272</v>
      </c>
      <c r="L14" s="83">
        <f>IF(Inputs!$C$7="BAU",'Output -Jobs vs Yr'!L13,K14+($X$14-$C$14)/($X$11-$C$11) )</f>
        <v>111560.83922544663</v>
      </c>
      <c r="M14" s="83">
        <f>IF(Inputs!$C$7="BAU",'Output -Jobs vs Yr'!M13,L14+($X$14-$C$14)/($X$11-$C$11) )</f>
        <v>113710.8767134034</v>
      </c>
      <c r="N14" s="178">
        <f>IF(Inputs!$C$7="BAU",'Output -Jobs vs Yr'!N13,M14+($X$14-$C$14)/($X$11-$C$11) )</f>
        <v>115908.24571707034</v>
      </c>
      <c r="O14" s="83">
        <f>IF(Inputs!$C$7="BAU",'Output -Jobs vs Yr'!O13,N14+($X$14-$C$14)/($X$11-$C$11) )</f>
        <v>117745.0667221067</v>
      </c>
      <c r="P14" s="83">
        <f>IF(Inputs!$C$7="BAU",'Output -Jobs vs Yr'!P13,O14+($X$14-$C$14)/($X$11-$C$11) )</f>
        <v>119700.09019154405</v>
      </c>
      <c r="Q14" s="83">
        <f>IF(Inputs!$C$7="BAU",'Output -Jobs vs Yr'!Q13,P14+($X$14-$C$14)/($X$11-$C$11) )</f>
        <v>120447.22345965021</v>
      </c>
      <c r="R14" s="83">
        <f>IF(Inputs!$C$7="BAU",'Output -Jobs vs Yr'!R13,Q14+($X$14-$C$14)/($X$11-$C$11) )</f>
        <v>122140.6892796676</v>
      </c>
      <c r="S14" s="83">
        <f>IF(Inputs!$C$7="BAU",'Output -Jobs vs Yr'!S13,R14+($X$14-$C$14)/($X$11-$C$11) )</f>
        <v>123151.14933114163</v>
      </c>
      <c r="T14" s="83">
        <f>IF(Inputs!$C$7="BAU",'Output -Jobs vs Yr'!T13,S14+($X$14-$C$14)/($X$11-$C$11) )</f>
        <v>123636.59110513925</v>
      </c>
      <c r="U14" s="83">
        <f>IF(Inputs!$C$7="BAU",'Output -Jobs vs Yr'!U13,T14+($X$14-$C$14)/($X$11-$C$11) )</f>
        <v>126036.882680072</v>
      </c>
      <c r="V14" s="83">
        <f>IF(Inputs!$C$7="BAU",'Output -Jobs vs Yr'!V13,U14+($X$14-$C$14)/($X$11-$C$11) )</f>
        <v>126772.50359056963</v>
      </c>
      <c r="W14" s="83">
        <f>IF(Inputs!$C$7="BAU",'Output -Jobs vs Yr'!W13,V14+($X$14-$C$14)/($X$11-$C$11) )</f>
        <v>128309.93178835379</v>
      </c>
      <c r="X14" s="185">
        <f>IF(Inputs!$C$7="BAU",'Output -Jobs vs Yr'!X13,C14*(1+Inputs!C7) )</f>
        <v>129455.02328935527</v>
      </c>
      <c r="Y14" s="175">
        <f>IF(Inputs!$C$7="BAU",'Output -Jobs vs Yr'!Y13,D14*(1+Inputs!D7) )</f>
        <v>129326.4811186325</v>
      </c>
      <c r="Z14" s="175">
        <f>IF(Inputs!$C$7="BAU",'Output -Jobs vs Yr'!Z13,E14*(1+Inputs!E7) )</f>
        <v>129711.07021502555</v>
      </c>
      <c r="AA14" s="175">
        <f>IF(Inputs!$C$7="BAU",'Output -Jobs vs Yr'!AA13,F14*(1+Inputs!F7) )</f>
        <v>130458.42776592994</v>
      </c>
      <c r="AB14" s="175">
        <f>IF(Inputs!$C$7="BAU",'Output -Jobs vs Yr'!AB13,G14*(1+Inputs!G7) )</f>
        <v>131713.4495228591</v>
      </c>
      <c r="AC14" s="175">
        <f>IF(Inputs!$C$7="BAU",'Output -Jobs vs Yr'!AC13,H14*(1+Inputs!H7) )</f>
        <v>131993.80255405259</v>
      </c>
      <c r="AD14" s="175">
        <f>IF(Inputs!$C$7="BAU",'Output -Jobs vs Yr'!AD13,I14*(1+Inputs!L7) )</f>
        <v>132841.87342848594</v>
      </c>
      <c r="AE14" s="175">
        <f>IF(Inputs!$C$7="BAU",'Output -Jobs vs Yr'!AE13,J14*(1+Inputs!M7) )</f>
        <v>133563.4377678872</v>
      </c>
      <c r="AF14" s="175">
        <f>IF(Inputs!$C$7="BAU",'Output -Jobs vs Yr'!AF13,K14*(1+Inputs!N7) )</f>
        <v>134029.83043174105</v>
      </c>
      <c r="AG14" s="175">
        <f>IF(Inputs!$C$7="BAU",'Output -Jobs vs Yr'!AG13,L14*(1+Inputs!O7) )</f>
        <v>136078.68271307115</v>
      </c>
      <c r="AH14" s="185">
        <f>IF(Inputs!$C$7="BAU",'Output -Jobs vs Yr'!AH13,M14*(1+Inputs!P7) )</f>
        <v>137557.84494157814</v>
      </c>
      <c r="AI14" s="99"/>
      <c r="AJ14" s="166" t="s">
        <v>0</v>
      </c>
      <c r="AK14" s="30" t="s">
        <v>0</v>
      </c>
      <c r="AL14" s="121"/>
    </row>
    <row r="15" spans="1:38" s="20" customFormat="1">
      <c r="A15" s="20" t="s">
        <v>208</v>
      </c>
      <c r="B15" s="33"/>
      <c r="C15" s="335">
        <f>C14-C13</f>
        <v>0</v>
      </c>
      <c r="D15" s="335">
        <f>D13-D14</f>
        <v>0</v>
      </c>
      <c r="E15" s="335">
        <f t="shared" ref="E15:AH15" si="0">E13-E14</f>
        <v>0</v>
      </c>
      <c r="F15" s="335">
        <f t="shared" si="0"/>
        <v>0</v>
      </c>
      <c r="G15" s="335">
        <f t="shared" si="0"/>
        <v>0</v>
      </c>
      <c r="H15" s="287">
        <f t="shared" si="0"/>
        <v>0</v>
      </c>
      <c r="I15" s="83">
        <f t="shared" si="0"/>
        <v>0</v>
      </c>
      <c r="J15" s="83">
        <f t="shared" si="0"/>
        <v>0</v>
      </c>
      <c r="K15" s="83">
        <f t="shared" si="0"/>
        <v>0</v>
      </c>
      <c r="L15" s="83">
        <f t="shared" si="0"/>
        <v>0</v>
      </c>
      <c r="M15" s="83">
        <f t="shared" si="0"/>
        <v>0</v>
      </c>
      <c r="N15" s="178">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5">
        <f t="shared" si="0"/>
        <v>0</v>
      </c>
      <c r="Y15" s="175">
        <f t="shared" si="0"/>
        <v>0</v>
      </c>
      <c r="Z15" s="175">
        <f t="shared" si="0"/>
        <v>0</v>
      </c>
      <c r="AA15" s="175">
        <f t="shared" si="0"/>
        <v>0</v>
      </c>
      <c r="AB15" s="175">
        <f t="shared" si="0"/>
        <v>0</v>
      </c>
      <c r="AC15" s="175">
        <f t="shared" si="0"/>
        <v>0</v>
      </c>
      <c r="AD15" s="175">
        <f t="shared" si="0"/>
        <v>0</v>
      </c>
      <c r="AE15" s="175">
        <f t="shared" si="0"/>
        <v>0</v>
      </c>
      <c r="AF15" s="175">
        <f t="shared" si="0"/>
        <v>0</v>
      </c>
      <c r="AG15" s="175">
        <f t="shared" si="0"/>
        <v>0</v>
      </c>
      <c r="AH15" s="185">
        <f t="shared" si="0"/>
        <v>0</v>
      </c>
      <c r="AI15" s="120"/>
      <c r="AJ15" s="122"/>
      <c r="AK15" s="30"/>
      <c r="AL15" s="123"/>
    </row>
    <row r="16" spans="1:38" s="385" customFormat="1">
      <c r="A16" s="385" t="s">
        <v>123</v>
      </c>
      <c r="B16" s="386"/>
      <c r="C16" s="387">
        <f t="shared" ref="C16:M16" si="1">C95</f>
        <v>1.7289568950169136E-2</v>
      </c>
      <c r="D16" s="387">
        <f t="shared" si="1"/>
        <v>1.9712418598547797E-2</v>
      </c>
      <c r="E16" s="387">
        <f t="shared" si="1"/>
        <v>2.2683868615196674E-2</v>
      </c>
      <c r="F16" s="387">
        <f t="shared" si="1"/>
        <v>2.6163484758592603E-2</v>
      </c>
      <c r="G16" s="387">
        <f t="shared" si="1"/>
        <v>2.9384495944802812E-2</v>
      </c>
      <c r="H16" s="387">
        <f t="shared" si="1"/>
        <v>2.2312683540073226E-2</v>
      </c>
      <c r="I16" s="387">
        <f t="shared" si="1"/>
        <v>2.5486878887857757E-2</v>
      </c>
      <c r="J16" s="387">
        <f t="shared" si="1"/>
        <v>3.3942036326018415E-2</v>
      </c>
      <c r="K16" s="387">
        <f t="shared" si="1"/>
        <v>3.3327048153663649E-2</v>
      </c>
      <c r="L16" s="387">
        <f t="shared" si="1"/>
        <v>3.8146834201910201E-2</v>
      </c>
      <c r="M16" s="387">
        <f t="shared" si="1"/>
        <v>4.3688372713314473E-2</v>
      </c>
      <c r="N16" s="387">
        <f>Inputs!C11</f>
        <v>0.05</v>
      </c>
      <c r="O16" s="387">
        <f t="shared" ref="O16:W16" si="2">O95</f>
        <v>5.2757665963645096E-2</v>
      </c>
      <c r="P16" s="387">
        <f t="shared" si="2"/>
        <v>5.3555706699525682E-2</v>
      </c>
      <c r="Q16" s="387">
        <f t="shared" si="2"/>
        <v>5.5393629695646762E-2</v>
      </c>
      <c r="R16" s="387">
        <f t="shared" si="2"/>
        <v>5.7293377870907478E-2</v>
      </c>
      <c r="S16" s="387">
        <f t="shared" si="2"/>
        <v>5.9258239065326276E-2</v>
      </c>
      <c r="T16" s="387">
        <f t="shared" si="2"/>
        <v>6.1290409102595055E-2</v>
      </c>
      <c r="U16" s="387">
        <f t="shared" si="2"/>
        <v>6.3390081792426251E-2</v>
      </c>
      <c r="V16" s="387">
        <f t="shared" si="2"/>
        <v>6.5562713518368648E-2</v>
      </c>
      <c r="W16" s="387">
        <f t="shared" si="2"/>
        <v>6.7808576447532298E-2</v>
      </c>
      <c r="X16" s="388">
        <f>Inputs!C12</f>
        <v>7.0000000000000007E-2</v>
      </c>
      <c r="Y16" s="389">
        <f>Y95</f>
        <v>7.013918263177274E-2</v>
      </c>
      <c r="Z16" s="389">
        <f t="shared" ref="Z16:AH16" si="3">Z95</f>
        <v>7.0146479402016362E-2</v>
      </c>
      <c r="AA16" s="389">
        <f t="shared" si="3"/>
        <v>7.0153305542175345E-2</v>
      </c>
      <c r="AB16" s="389">
        <f t="shared" si="3"/>
        <v>7.0159437020866688E-2</v>
      </c>
      <c r="AC16" s="389">
        <f t="shared" si="3"/>
        <v>7.0166674492092074E-2</v>
      </c>
      <c r="AD16" s="389">
        <f t="shared" si="3"/>
        <v>7.0173138178545647E-2</v>
      </c>
      <c r="AE16" s="389">
        <f t="shared" si="3"/>
        <v>7.0179689894188768E-2</v>
      </c>
      <c r="AF16" s="389">
        <f t="shared" si="3"/>
        <v>7.0186525640743319E-2</v>
      </c>
      <c r="AG16" s="389">
        <f t="shared" si="3"/>
        <v>7.0191065929516835E-2</v>
      </c>
      <c r="AH16" s="389">
        <f t="shared" si="3"/>
        <v>7.0196281062788288E-2</v>
      </c>
      <c r="AI16" s="390" t="s">
        <v>0</v>
      </c>
      <c r="AJ16" s="391"/>
      <c r="AK16" s="392"/>
      <c r="AL16" s="393"/>
    </row>
    <row r="17" spans="1:37" s="282" customFormat="1">
      <c r="A17" s="282" t="s">
        <v>115</v>
      </c>
      <c r="B17" s="283"/>
      <c r="C17" s="342"/>
      <c r="D17" s="337">
        <f>D16/C16-1</f>
        <v>0.14013360630109628</v>
      </c>
      <c r="E17" s="337">
        <f t="shared" ref="E17:M17" si="4">E16/D16-1</f>
        <v>0.15074000188225423</v>
      </c>
      <c r="F17" s="337">
        <f t="shared" si="4"/>
        <v>0.15339606318583665</v>
      </c>
      <c r="G17" s="337">
        <f t="shared" si="4"/>
        <v>0.12311093938479911</v>
      </c>
      <c r="H17" s="285"/>
      <c r="I17" s="285">
        <f t="shared" si="4"/>
        <v>0.14225968571121106</v>
      </c>
      <c r="J17" s="285">
        <f t="shared" si="4"/>
        <v>0.33174550227838195</v>
      </c>
      <c r="K17" s="285">
        <f t="shared" si="4"/>
        <v>-1.8118776565074435E-2</v>
      </c>
      <c r="L17" s="285">
        <f t="shared" si="4"/>
        <v>0.14462085048827555</v>
      </c>
      <c r="M17" s="285">
        <f t="shared" si="4"/>
        <v>0.14526863440549365</v>
      </c>
      <c r="N17" s="285">
        <f>N16/M16-1</f>
        <v>0.14446926938896953</v>
      </c>
      <c r="O17" s="285">
        <f>O16/N16-1</f>
        <v>5.5153319272901902E-2</v>
      </c>
      <c r="P17" s="285">
        <f t="shared" ref="P17:X17" si="5">P16/O16-1</f>
        <v>1.5126536045595884E-2</v>
      </c>
      <c r="Q17" s="285">
        <f t="shared" si="5"/>
        <v>3.431796739108961E-2</v>
      </c>
      <c r="R17" s="285">
        <f t="shared" si="5"/>
        <v>3.4295426851402189E-2</v>
      </c>
      <c r="S17" s="285">
        <f t="shared" si="5"/>
        <v>3.4294734704698238E-2</v>
      </c>
      <c r="T17" s="285">
        <f t="shared" si="5"/>
        <v>3.4293459767316348E-2</v>
      </c>
      <c r="U17" s="285">
        <f t="shared" si="5"/>
        <v>3.4257769210130684E-2</v>
      </c>
      <c r="V17" s="285">
        <f t="shared" si="5"/>
        <v>3.4274000987359221E-2</v>
      </c>
      <c r="W17" s="285">
        <f t="shared" si="5"/>
        <v>3.4255185739596072E-2</v>
      </c>
      <c r="X17" s="284">
        <f t="shared" si="5"/>
        <v>3.2317793224332814E-2</v>
      </c>
      <c r="Y17" s="289">
        <v>2.9000000000000001E-2</v>
      </c>
      <c r="Z17" s="289">
        <v>2.9000000000000001E-2</v>
      </c>
      <c r="AA17" s="289">
        <v>2.9000000000000001E-2</v>
      </c>
      <c r="AB17" s="289">
        <v>2.9000000000000001E-2</v>
      </c>
      <c r="AC17" s="289">
        <v>2.9000000000000001E-2</v>
      </c>
      <c r="AD17" s="289">
        <v>2.9000000000000001E-2</v>
      </c>
      <c r="AE17" s="289">
        <v>2.9000000000000001E-2</v>
      </c>
      <c r="AF17" s="289">
        <v>2.9000000000000001E-2</v>
      </c>
      <c r="AG17" s="289">
        <v>2.9000000000000001E-2</v>
      </c>
      <c r="AH17" s="378">
        <v>2.9000000000000001E-2</v>
      </c>
    </row>
    <row r="18" spans="1:37" s="20" customFormat="1">
      <c r="A18" s="20" t="s">
        <v>135</v>
      </c>
      <c r="B18" s="33"/>
      <c r="C18" s="337">
        <f>C32/C14</f>
        <v>0.51581571086625388</v>
      </c>
      <c r="D18" s="337">
        <f t="shared" ref="D18:G18" si="6">($N$18-$C$18)/($N$11-$C$11)+C18</f>
        <v>0.51632104796427269</v>
      </c>
      <c r="E18" s="337">
        <f t="shared" si="6"/>
        <v>0.5168263850622915</v>
      </c>
      <c r="F18" s="337">
        <f t="shared" si="6"/>
        <v>0.51733172216031031</v>
      </c>
      <c r="G18" s="337">
        <f t="shared" si="6"/>
        <v>0.51783705925832912</v>
      </c>
      <c r="H18" s="285">
        <f>H32/H14</f>
        <v>0.50685704200199688</v>
      </c>
      <c r="I18" s="173">
        <f>($N$18-$H$18)/($N$11-$H$11)+H18</f>
        <v>0.50927660482574078</v>
      </c>
      <c r="J18" s="173">
        <f t="shared" ref="J18:M18" si="7">($N$18-$H$18)/($N$11-$H$11)+I18</f>
        <v>0.51169616764948467</v>
      </c>
      <c r="K18" s="173">
        <f t="shared" si="7"/>
        <v>0.51411573047322856</v>
      </c>
      <c r="L18" s="173">
        <f t="shared" si="7"/>
        <v>0.51653529329697245</v>
      </c>
      <c r="M18" s="173">
        <f t="shared" si="7"/>
        <v>0.51895485612071635</v>
      </c>
      <c r="N18" s="181">
        <f>Inputs!C36</f>
        <v>0.52137441894446035</v>
      </c>
      <c r="O18" s="91">
        <f t="shared" ref="O18:W18" si="8">($X$18-$N$18)/($X$11-$N$11)+N18</f>
        <v>0.51591851890398588</v>
      </c>
      <c r="P18" s="91">
        <f t="shared" si="8"/>
        <v>0.51046261886351141</v>
      </c>
      <c r="Q18" s="91">
        <f t="shared" si="8"/>
        <v>0.50500671882303694</v>
      </c>
      <c r="R18" s="91">
        <f t="shared" si="8"/>
        <v>0.49955081878256247</v>
      </c>
      <c r="S18" s="22">
        <f t="shared" si="8"/>
        <v>0.494094918742088</v>
      </c>
      <c r="T18" s="91">
        <f t="shared" si="8"/>
        <v>0.48863901870161353</v>
      </c>
      <c r="U18" s="91">
        <f t="shared" si="8"/>
        <v>0.48318311866113905</v>
      </c>
      <c r="V18" s="91">
        <f t="shared" si="8"/>
        <v>0.47772721862066458</v>
      </c>
      <c r="W18" s="91">
        <f t="shared" si="8"/>
        <v>0.47227131858019011</v>
      </c>
      <c r="X18" s="186">
        <f>Inputs!F36</f>
        <v>0.46681541853971587</v>
      </c>
      <c r="Y18" s="173">
        <f>($AH$18-$X$18)/($AH$11-$X$11)+X18</f>
        <v>0.46463509238692835</v>
      </c>
      <c r="Z18" s="173">
        <f t="shared" ref="Z18:AG18" si="9">($AH$18-$X$18)/($AH$11-$X$11)+Y18</f>
        <v>0.46245476623414083</v>
      </c>
      <c r="AA18" s="173">
        <f t="shared" si="9"/>
        <v>0.46027444008135332</v>
      </c>
      <c r="AB18" s="173">
        <f t="shared" si="9"/>
        <v>0.4580941139285658</v>
      </c>
      <c r="AC18" s="173">
        <f t="shared" si="9"/>
        <v>0.45591378777577829</v>
      </c>
      <c r="AD18" s="173">
        <f t="shared" si="9"/>
        <v>0.45373346162299077</v>
      </c>
      <c r="AE18" s="173">
        <f t="shared" si="9"/>
        <v>0.45155313547020326</v>
      </c>
      <c r="AF18" s="173">
        <f t="shared" si="9"/>
        <v>0.44937280931741574</v>
      </c>
      <c r="AG18" s="173">
        <f t="shared" si="9"/>
        <v>0.44719248316462823</v>
      </c>
      <c r="AH18" s="186">
        <f>Inputs!H36</f>
        <v>0.44501215701184077</v>
      </c>
      <c r="AK18"/>
    </row>
    <row r="19" spans="1:37" s="282" customFormat="1">
      <c r="A19" s="282" t="s">
        <v>114</v>
      </c>
      <c r="B19" s="286"/>
      <c r="C19" s="335">
        <f t="shared" ref="C19:AH19" si="10">C16*C14</f>
        <v>1748.01</v>
      </c>
      <c r="D19" s="335">
        <f t="shared" si="10"/>
        <v>2071.5386456841911</v>
      </c>
      <c r="E19" s="335">
        <f t="shared" si="10"/>
        <v>2288.6763197626528</v>
      </c>
      <c r="F19" s="335">
        <f t="shared" si="10"/>
        <v>2622.9122992060293</v>
      </c>
      <c r="G19" s="335">
        <f t="shared" si="10"/>
        <v>2898.4566988265988</v>
      </c>
      <c r="H19" s="287">
        <f t="shared" si="10"/>
        <v>2250.096118269209</v>
      </c>
      <c r="I19" s="287">
        <f t="shared" si="10"/>
        <v>2643.164234304546</v>
      </c>
      <c r="J19" s="287">
        <f t="shared" si="10"/>
        <v>3566.1832986051372</v>
      </c>
      <c r="K19" s="287">
        <f t="shared" si="10"/>
        <v>3641.5235865543741</v>
      </c>
      <c r="L19" s="287">
        <f t="shared" si="10"/>
        <v>4255.6928373590727</v>
      </c>
      <c r="M19" s="287">
        <f t="shared" si="10"/>
        <v>4967.8431634129192</v>
      </c>
      <c r="N19" s="288">
        <f t="shared" si="10"/>
        <v>5795.4122858535175</v>
      </c>
      <c r="O19" s="287">
        <f t="shared" si="10"/>
        <v>6211.9548989920095</v>
      </c>
      <c r="P19" s="287">
        <f t="shared" si="10"/>
        <v>6410.6229222051043</v>
      </c>
      <c r="Q19" s="287">
        <f t="shared" si="10"/>
        <v>6672.0088941926815</v>
      </c>
      <c r="R19" s="287">
        <f t="shared" si="10"/>
        <v>6997.8526643130936</v>
      </c>
      <c r="S19" s="287">
        <f t="shared" si="10"/>
        <v>7297.7202482344865</v>
      </c>
      <c r="T19" s="287">
        <f t="shared" si="10"/>
        <v>7577.7372488842493</v>
      </c>
      <c r="U19" s="287">
        <f t="shared" si="10"/>
        <v>7989.4883019521958</v>
      </c>
      <c r="V19" s="287">
        <f t="shared" si="10"/>
        <v>8311.5493349148765</v>
      </c>
      <c r="W19" s="287">
        <f t="shared" si="10"/>
        <v>8700.5138186482418</v>
      </c>
      <c r="X19" s="288">
        <f>Inputs!C12*'Output -Jobs vs Yr'!X14</f>
        <v>9061.8516302548705</v>
      </c>
      <c r="Y19" s="287">
        <f t="shared" si="10"/>
        <v>9070.8536783042728</v>
      </c>
      <c r="Z19" s="287">
        <f t="shared" si="10"/>
        <v>9098.7749150517884</v>
      </c>
      <c r="AA19" s="287">
        <f t="shared" si="10"/>
        <v>9152.0899436150958</v>
      </c>
      <c r="AB19" s="287">
        <f t="shared" si="10"/>
        <v>9240.9414666001358</v>
      </c>
      <c r="AC19" s="287">
        <f t="shared" si="10"/>
        <v>9261.5661787836798</v>
      </c>
      <c r="AD19" s="287">
        <f t="shared" si="10"/>
        <v>9321.9311399940143</v>
      </c>
      <c r="AE19" s="287">
        <f t="shared" si="10"/>
        <v>9373.4406437521029</v>
      </c>
      <c r="AF19" s="287">
        <f t="shared" si="10"/>
        <v>9407.0881302218731</v>
      </c>
      <c r="AG19" s="287">
        <f t="shared" si="10"/>
        <v>9551.5077899149801</v>
      </c>
      <c r="AH19" s="288">
        <f t="shared" si="10"/>
        <v>9656.0491459104687</v>
      </c>
    </row>
    <row r="20" spans="1:37" s="20" customFormat="1">
      <c r="A20" s="20" t="s">
        <v>211</v>
      </c>
      <c r="B20" s="33"/>
      <c r="C20" s="335">
        <f>'Output - Jobs vs Yr (BAU)'!C18</f>
        <v>1748.01</v>
      </c>
      <c r="D20" s="335">
        <f>'Output - Jobs vs Yr (BAU)'!D18</f>
        <v>1873.01</v>
      </c>
      <c r="E20" s="335">
        <f>'Output - Jobs vs Yr (BAU)'!E18</f>
        <v>1902.3153836671786</v>
      </c>
      <c r="F20" s="335">
        <f>'Output - Jobs vs Yr (BAU)'!F18</f>
        <v>2025.3717225856537</v>
      </c>
      <c r="G20" s="335">
        <f>'Output - Jobs vs Yr (BAU)'!G18</f>
        <v>2211.4966459238181</v>
      </c>
      <c r="H20" s="287">
        <f>'Output - Jobs vs Yr (BAU)'!H18</f>
        <v>2249.096118269209</v>
      </c>
      <c r="I20" s="83">
        <f>'Output - Jobs vs Yr (BAU)'!I18</f>
        <v>2294.0615278324894</v>
      </c>
      <c r="J20" s="83">
        <f>'Output - Jobs vs Yr (BAU)'!J18</f>
        <v>3553.7012108133231</v>
      </c>
      <c r="K20" s="83">
        <f>'Output - Jobs vs Yr (BAU)'!K18</f>
        <v>3194.8080910427225</v>
      </c>
      <c r="L20" s="83">
        <f>'Output - Jobs vs Yr (BAU)'!L18</f>
        <v>3292.6215187138637</v>
      </c>
      <c r="M20" s="83">
        <f>'Output - Jobs vs Yr (BAU)'!M18</f>
        <v>3666.8429345864406</v>
      </c>
      <c r="N20" s="178">
        <f>'Output - Jobs vs Yr (BAU)'!N18</f>
        <v>4647.3114684591765</v>
      </c>
      <c r="O20" s="83">
        <f>'Output - Jobs vs Yr (BAU)'!O18</f>
        <v>6157.7039871497736</v>
      </c>
      <c r="P20" s="83">
        <f>'Output - Jobs vs Yr (BAU)'!P18</f>
        <v>6274.672712370344</v>
      </c>
      <c r="Q20" s="83">
        <f>'Output - Jobs vs Yr (BAU)'!Q18</f>
        <v>6509.2963302267744</v>
      </c>
      <c r="R20" s="83">
        <f>'Output - Jobs vs Yr (BAU)'!R18</f>
        <v>6548.650275060696</v>
      </c>
      <c r="S20" s="83">
        <f>'Output - Jobs vs Yr (BAU)'!S18</f>
        <v>6608.0409715068163</v>
      </c>
      <c r="T20" s="83">
        <f>'Output - Jobs vs Yr (BAU)'!T18</f>
        <v>6614.5086353778615</v>
      </c>
      <c r="U20" s="83">
        <f>'Output - Jobs vs Yr (BAU)'!U18</f>
        <v>6559.6162749648765</v>
      </c>
      <c r="V20" s="83">
        <f>'Output - Jobs vs Yr (BAU)'!V18</f>
        <v>6589.1442667248521</v>
      </c>
      <c r="W20" s="83">
        <f>'Output - Jobs vs Yr (BAU)'!W18</f>
        <v>6612.2282414401388</v>
      </c>
      <c r="X20" s="185">
        <f>'Output - Jobs vs Yr (BAU)'!X18</f>
        <v>6557.1467457591571</v>
      </c>
      <c r="Y20" s="175">
        <f>'Output - Jobs vs Yr (BAU)'!Y18</f>
        <v>6593.5689378453599</v>
      </c>
      <c r="Z20" s="175">
        <f>'Output - Jobs vs Yr (BAU)'!Z18</f>
        <v>6574.1970882189216</v>
      </c>
      <c r="AA20" s="175">
        <f>'Output - Jobs vs Yr (BAU)'!AA18</f>
        <v>6586.0032356098973</v>
      </c>
      <c r="AB20" s="175">
        <f>'Output - Jobs vs Yr (BAU)'!AB18</f>
        <v>6630.5910965252542</v>
      </c>
      <c r="AC20" s="175">
        <f>'Output - Jobs vs Yr (BAU)'!AC18</f>
        <v>6659.751255311663</v>
      </c>
      <c r="AD20" s="175">
        <f>'Output - Jobs vs Yr (BAU)'!AD18</f>
        <v>6696.6261132675409</v>
      </c>
      <c r="AE20" s="175">
        <f>'Output - Jobs vs Yr (BAU)'!AE18</f>
        <v>6727.805316239831</v>
      </c>
      <c r="AF20" s="175">
        <f>'Output - Jobs vs Yr (BAU)'!AF18</f>
        <v>6717.5799472933213</v>
      </c>
      <c r="AG20" s="175">
        <f>'Output - Jobs vs Yr (BAU)'!AG18</f>
        <v>6751.9822252441618</v>
      </c>
      <c r="AH20" s="185">
        <f>'Output - Jobs vs Yr (BAU)'!AH18</f>
        <v>6781.6226704438714</v>
      </c>
    </row>
    <row r="21" spans="1:37" s="20" customFormat="1">
      <c r="A21" s="20" t="s">
        <v>116</v>
      </c>
      <c r="B21" s="33"/>
      <c r="C21" s="335">
        <f t="shared" ref="C21:AH21" si="11">MAX(C19:C20)</f>
        <v>1748.01</v>
      </c>
      <c r="D21" s="335">
        <f t="shared" si="11"/>
        <v>2071.5386456841911</v>
      </c>
      <c r="E21" s="335">
        <f t="shared" si="11"/>
        <v>2288.6763197626528</v>
      </c>
      <c r="F21" s="335">
        <f t="shared" si="11"/>
        <v>2622.9122992060293</v>
      </c>
      <c r="G21" s="335">
        <f t="shared" si="11"/>
        <v>2898.4566988265988</v>
      </c>
      <c r="H21" s="287">
        <f t="shared" si="11"/>
        <v>2250.096118269209</v>
      </c>
      <c r="I21" s="83">
        <f t="shared" si="11"/>
        <v>2643.164234304546</v>
      </c>
      <c r="J21" s="83">
        <f t="shared" si="11"/>
        <v>3566.1832986051372</v>
      </c>
      <c r="K21" s="83">
        <f t="shared" si="11"/>
        <v>3641.5235865543741</v>
      </c>
      <c r="L21" s="83">
        <f t="shared" si="11"/>
        <v>4255.6928373590727</v>
      </c>
      <c r="M21" s="83">
        <f t="shared" si="11"/>
        <v>4967.8431634129192</v>
      </c>
      <c r="N21" s="178">
        <f t="shared" si="11"/>
        <v>5795.4122858535175</v>
      </c>
      <c r="O21" s="83">
        <f t="shared" si="11"/>
        <v>6211.9548989920095</v>
      </c>
      <c r="P21" s="83">
        <f t="shared" si="11"/>
        <v>6410.6229222051043</v>
      </c>
      <c r="Q21" s="83">
        <f t="shared" si="11"/>
        <v>6672.0088941926815</v>
      </c>
      <c r="R21" s="83">
        <f t="shared" si="11"/>
        <v>6997.8526643130936</v>
      </c>
      <c r="S21" s="83">
        <f t="shared" si="11"/>
        <v>7297.7202482344865</v>
      </c>
      <c r="T21" s="83">
        <f t="shared" si="11"/>
        <v>7577.7372488842493</v>
      </c>
      <c r="U21" s="83">
        <f t="shared" si="11"/>
        <v>7989.4883019521958</v>
      </c>
      <c r="V21" s="83">
        <f t="shared" si="11"/>
        <v>8311.5493349148765</v>
      </c>
      <c r="W21" s="83">
        <f t="shared" si="11"/>
        <v>8700.5138186482418</v>
      </c>
      <c r="X21" s="185">
        <f t="shared" si="11"/>
        <v>9061.8516302548705</v>
      </c>
      <c r="Y21" s="175">
        <f t="shared" si="11"/>
        <v>9070.8536783042728</v>
      </c>
      <c r="Z21" s="175">
        <f t="shared" si="11"/>
        <v>9098.7749150517884</v>
      </c>
      <c r="AA21" s="175">
        <f t="shared" si="11"/>
        <v>9152.0899436150958</v>
      </c>
      <c r="AB21" s="175">
        <f t="shared" si="11"/>
        <v>9240.9414666001358</v>
      </c>
      <c r="AC21" s="175">
        <f t="shared" si="11"/>
        <v>9261.5661787836798</v>
      </c>
      <c r="AD21" s="175">
        <f t="shared" si="11"/>
        <v>9321.9311399940143</v>
      </c>
      <c r="AE21" s="175">
        <f t="shared" si="11"/>
        <v>9373.4406437521029</v>
      </c>
      <c r="AF21" s="175">
        <f t="shared" si="11"/>
        <v>9407.0881302218731</v>
      </c>
      <c r="AG21" s="175">
        <f t="shared" si="11"/>
        <v>9551.5077899149801</v>
      </c>
      <c r="AH21" s="185">
        <f t="shared" si="11"/>
        <v>9656.0491459104687</v>
      </c>
      <c r="AI21" s="99"/>
    </row>
    <row r="22" spans="1:37" s="20" customFormat="1">
      <c r="A22" s="20" t="s">
        <v>378</v>
      </c>
      <c r="B22" s="33"/>
      <c r="C22" s="335" t="s">
        <v>0</v>
      </c>
      <c r="D22" s="335"/>
      <c r="E22" s="335"/>
      <c r="F22" s="335"/>
      <c r="G22" s="335"/>
      <c r="H22" s="287"/>
      <c r="I22" s="83"/>
      <c r="J22" s="83"/>
      <c r="K22" s="83"/>
      <c r="L22" s="83"/>
      <c r="M22" s="83"/>
      <c r="N22" s="178"/>
      <c r="O22" s="83"/>
      <c r="P22" s="83"/>
      <c r="Q22" s="83"/>
      <c r="R22" s="83"/>
      <c r="S22" s="83"/>
      <c r="T22" s="83"/>
      <c r="U22" s="83"/>
      <c r="V22" s="83"/>
      <c r="W22" s="174" t="s">
        <v>0</v>
      </c>
      <c r="X22" s="185"/>
      <c r="Y22"/>
      <c r="Z22"/>
      <c r="AA22"/>
      <c r="AB22"/>
      <c r="AC22"/>
      <c r="AD22"/>
      <c r="AE22"/>
      <c r="AF22"/>
      <c r="AG22"/>
      <c r="AH22" s="281"/>
      <c r="AI22" s="99"/>
    </row>
    <row r="23" spans="1:37" s="20" customFormat="1">
      <c r="A23" t="s">
        <v>537</v>
      </c>
      <c r="B23" s="33"/>
      <c r="C23" s="335">
        <v>0</v>
      </c>
      <c r="D23" s="337">
        <f t="shared" ref="D23:G23" si="12">C23+($N$23-$C$23)/($N$11-$C$11)</f>
        <v>0</v>
      </c>
      <c r="E23" s="337">
        <f t="shared" si="12"/>
        <v>0</v>
      </c>
      <c r="F23" s="337">
        <f t="shared" si="12"/>
        <v>0</v>
      </c>
      <c r="G23" s="337">
        <f t="shared" si="12"/>
        <v>0</v>
      </c>
      <c r="H23" s="287">
        <v>0</v>
      </c>
      <c r="I23" s="91">
        <f>H23+($N$23-$H$23)/($N$11-$H$11)</f>
        <v>0</v>
      </c>
      <c r="J23" s="173">
        <f t="shared" ref="J23:M23" si="13">I23+($N$23-$H$23)/($N$11-$H$11)</f>
        <v>0</v>
      </c>
      <c r="K23" s="173">
        <f t="shared" si="13"/>
        <v>0</v>
      </c>
      <c r="L23" s="173">
        <f t="shared" si="13"/>
        <v>0</v>
      </c>
      <c r="M23" s="173">
        <f t="shared" si="13"/>
        <v>0</v>
      </c>
      <c r="N23" s="181">
        <f>Inputs!C34</f>
        <v>0</v>
      </c>
      <c r="O23" s="173">
        <f>N23+($X$23-$N$23)/($X$11-$N$11)</f>
        <v>0</v>
      </c>
      <c r="P23" s="173">
        <f t="shared" ref="P23:W23" si="14">O23+($X$23-$N$23)/($X$11-$N$11)</f>
        <v>0</v>
      </c>
      <c r="Q23" s="173">
        <f t="shared" si="14"/>
        <v>0</v>
      </c>
      <c r="R23" s="173">
        <f t="shared" si="14"/>
        <v>0</v>
      </c>
      <c r="S23" s="173">
        <f t="shared" si="14"/>
        <v>0</v>
      </c>
      <c r="T23" s="173">
        <f t="shared" si="14"/>
        <v>0</v>
      </c>
      <c r="U23" s="173">
        <f t="shared" si="14"/>
        <v>0</v>
      </c>
      <c r="V23" s="173">
        <f t="shared" si="14"/>
        <v>0</v>
      </c>
      <c r="W23" s="173">
        <f t="shared" si="14"/>
        <v>0</v>
      </c>
      <c r="X23" s="186">
        <f>Inputs!F34</f>
        <v>0</v>
      </c>
      <c r="Y23" s="173">
        <f>X23+($AH$23-$X$23)/($AH$11-$X$11)</f>
        <v>0</v>
      </c>
      <c r="Z23" s="173">
        <f t="shared" ref="Z23:AG23" si="15">Y23+($AH$23-$X$23)/($AH$11-$X$11)</f>
        <v>0</v>
      </c>
      <c r="AA23" s="173">
        <f t="shared" si="15"/>
        <v>0</v>
      </c>
      <c r="AB23" s="173">
        <f t="shared" si="15"/>
        <v>0</v>
      </c>
      <c r="AC23" s="173">
        <f t="shared" si="15"/>
        <v>0</v>
      </c>
      <c r="AD23" s="173">
        <f t="shared" si="15"/>
        <v>0</v>
      </c>
      <c r="AE23" s="173">
        <f t="shared" si="15"/>
        <v>0</v>
      </c>
      <c r="AF23" s="173">
        <f t="shared" si="15"/>
        <v>0</v>
      </c>
      <c r="AG23" s="173">
        <f t="shared" si="15"/>
        <v>0</v>
      </c>
      <c r="AH23" s="186">
        <f>Inputs!H34</f>
        <v>0</v>
      </c>
      <c r="AI23" s="99"/>
    </row>
    <row r="24" spans="1:37" s="20" customFormat="1">
      <c r="A24" t="s">
        <v>538</v>
      </c>
      <c r="B24" s="33"/>
      <c r="C24" s="335">
        <v>0</v>
      </c>
      <c r="D24" s="337">
        <f t="shared" ref="D24:G24" si="16">C24+($N$24-$C$24)/($N$11-$C$11)</f>
        <v>0</v>
      </c>
      <c r="E24" s="337">
        <f t="shared" si="16"/>
        <v>0</v>
      </c>
      <c r="F24" s="337">
        <f t="shared" si="16"/>
        <v>0</v>
      </c>
      <c r="G24" s="337">
        <f t="shared" si="16"/>
        <v>0</v>
      </c>
      <c r="H24" s="109">
        <v>0</v>
      </c>
      <c r="I24" s="173">
        <f>H24+($N$24-$H$24)/($N$11-$H$11)</f>
        <v>0</v>
      </c>
      <c r="J24" s="173">
        <f t="shared" ref="J24:M24" si="17">I24+($N$24-$H$24)/($N$11-$H$11)</f>
        <v>0</v>
      </c>
      <c r="K24" s="173">
        <f t="shared" si="17"/>
        <v>0</v>
      </c>
      <c r="L24" s="173">
        <f t="shared" si="17"/>
        <v>0</v>
      </c>
      <c r="M24" s="173">
        <f t="shared" si="17"/>
        <v>0</v>
      </c>
      <c r="N24" s="186">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6">
        <f>Inputs!F34</f>
        <v>0</v>
      </c>
      <c r="Y24" s="173">
        <f>X$24+($AH$24-$X$24)/($AH$11-$X$11)</f>
        <v>0</v>
      </c>
      <c r="Z24" s="173">
        <f t="shared" ref="Z24:AG24" si="19">Y$24+($AH$24-$X$24)/($AH$11-$X$11)</f>
        <v>0</v>
      </c>
      <c r="AA24" s="173">
        <f t="shared" si="19"/>
        <v>0</v>
      </c>
      <c r="AB24" s="173">
        <f t="shared" si="19"/>
        <v>0</v>
      </c>
      <c r="AC24" s="173">
        <f t="shared" si="19"/>
        <v>0</v>
      </c>
      <c r="AD24" s="173">
        <f t="shared" si="19"/>
        <v>0</v>
      </c>
      <c r="AE24" s="173">
        <f t="shared" si="19"/>
        <v>0</v>
      </c>
      <c r="AF24" s="173">
        <f t="shared" si="19"/>
        <v>0</v>
      </c>
      <c r="AG24" s="173">
        <f t="shared" si="19"/>
        <v>0</v>
      </c>
      <c r="AH24" s="186">
        <f>Inputs!H34</f>
        <v>0</v>
      </c>
      <c r="AI24" s="99"/>
    </row>
    <row r="25" spans="1:37" s="20" customFormat="1">
      <c r="A25" t="s">
        <v>539</v>
      </c>
      <c r="B25" s="33"/>
      <c r="C25" s="335"/>
      <c r="D25" s="337">
        <f t="shared" ref="D25:AH25" si="20">D30/(D30+D47)</f>
        <v>0</v>
      </c>
      <c r="E25" s="337">
        <f t="shared" si="20"/>
        <v>0</v>
      </c>
      <c r="F25" s="337">
        <f t="shared" si="20"/>
        <v>0</v>
      </c>
      <c r="G25" s="337">
        <f t="shared" si="20"/>
        <v>0</v>
      </c>
      <c r="H25" s="285"/>
      <c r="I25" s="125">
        <f t="shared" si="20"/>
        <v>0</v>
      </c>
      <c r="J25" s="125">
        <f t="shared" si="20"/>
        <v>0</v>
      </c>
      <c r="K25" s="125">
        <f t="shared" si="20"/>
        <v>0</v>
      </c>
      <c r="L25" s="125">
        <f t="shared" si="20"/>
        <v>0</v>
      </c>
      <c r="M25" s="125">
        <f t="shared" si="20"/>
        <v>0</v>
      </c>
      <c r="N25" s="181">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6">
        <f t="shared" si="20"/>
        <v>0</v>
      </c>
      <c r="Y25" s="173">
        <f t="shared" si="20"/>
        <v>0</v>
      </c>
      <c r="Z25" s="173">
        <f t="shared" si="20"/>
        <v>0</v>
      </c>
      <c r="AA25" s="173">
        <f t="shared" si="20"/>
        <v>0</v>
      </c>
      <c r="AB25" s="173">
        <f t="shared" si="20"/>
        <v>0</v>
      </c>
      <c r="AC25" s="173">
        <f t="shared" si="20"/>
        <v>0</v>
      </c>
      <c r="AD25" s="173">
        <f t="shared" si="20"/>
        <v>0</v>
      </c>
      <c r="AE25" s="173">
        <f t="shared" si="20"/>
        <v>0</v>
      </c>
      <c r="AF25" s="173">
        <f t="shared" si="20"/>
        <v>0</v>
      </c>
      <c r="AG25" s="173">
        <f t="shared" si="20"/>
        <v>0</v>
      </c>
      <c r="AH25" s="186">
        <f t="shared" si="20"/>
        <v>0</v>
      </c>
      <c r="AI25" s="99"/>
    </row>
    <row r="26" spans="1:37" s="20" customFormat="1">
      <c r="A26" s="20" t="s">
        <v>381</v>
      </c>
      <c r="B26" s="33"/>
      <c r="C26" s="337">
        <f>C31/C14</f>
        <v>2.3065715811754463E-2</v>
      </c>
      <c r="D26" s="337">
        <f t="shared" ref="D26:G26" si="21">C26+($N$26-$C$26)/($N$11-$C$11)</f>
        <v>2.330752192324435E-2</v>
      </c>
      <c r="E26" s="337">
        <f t="shared" si="21"/>
        <v>2.3549328034734238E-2</v>
      </c>
      <c r="F26" s="337">
        <f t="shared" si="21"/>
        <v>2.3791134146224125E-2</v>
      </c>
      <c r="G26" s="337">
        <f t="shared" si="21"/>
        <v>2.4032940257714012E-2</v>
      </c>
      <c r="H26" s="285">
        <f>H31/H14</f>
        <v>2.7869516995039412E-2</v>
      </c>
      <c r="I26" s="91">
        <f>H26+($N$26-$H$26)/($N$11-$H$11)</f>
        <v>2.7512194668890044E-2</v>
      </c>
      <c r="J26" s="173">
        <f t="shared" ref="J26:M26" si="22">I26+($N$26-$H$26)/($N$11-$H$11)</f>
        <v>2.7154872342740676E-2</v>
      </c>
      <c r="K26" s="173">
        <f t="shared" si="22"/>
        <v>2.6797550016591308E-2</v>
      </c>
      <c r="L26" s="173">
        <f t="shared" si="22"/>
        <v>2.644022769044194E-2</v>
      </c>
      <c r="M26" s="173">
        <f t="shared" si="22"/>
        <v>2.6082905364292572E-2</v>
      </c>
      <c r="N26" s="181">
        <f>Inputs!C35</f>
        <v>2.5725583038143207E-2</v>
      </c>
      <c r="O26" s="91">
        <f t="shared" ref="O26:W26" si="23">N26+($X$26-$N$26)/($X$11-$N$11)</f>
        <v>2.5456378787917063E-2</v>
      </c>
      <c r="P26" s="91">
        <f t="shared" si="23"/>
        <v>2.5187174537690919E-2</v>
      </c>
      <c r="Q26" s="91">
        <f t="shared" si="23"/>
        <v>2.4917970287464775E-2</v>
      </c>
      <c r="R26" s="91">
        <f t="shared" si="23"/>
        <v>2.4648766037238631E-2</v>
      </c>
      <c r="S26" s="22">
        <f t="shared" si="23"/>
        <v>2.4379561787012487E-2</v>
      </c>
      <c r="T26" s="91">
        <f t="shared" si="23"/>
        <v>2.4110357536786343E-2</v>
      </c>
      <c r="U26" s="91">
        <f t="shared" si="23"/>
        <v>2.38411532865602E-2</v>
      </c>
      <c r="V26" s="91">
        <f t="shared" si="23"/>
        <v>2.3571949036334056E-2</v>
      </c>
      <c r="W26" s="91">
        <f t="shared" si="23"/>
        <v>2.3302744786107912E-2</v>
      </c>
      <c r="X26" s="186">
        <f>Inputs!F35</f>
        <v>2.3033540535881782E-2</v>
      </c>
      <c r="Y26" s="173">
        <f>X26+($AH$26-$X$26)/($AH$11-$X$11)</f>
        <v>2.2925959190392437E-2</v>
      </c>
      <c r="Z26" s="173">
        <f t="shared" ref="Z26:AG26" si="24">Y26+($AH$26-$X$26)/($AH$11-$X$11)</f>
        <v>2.2818377844903093E-2</v>
      </c>
      <c r="AA26" s="173">
        <f t="shared" si="24"/>
        <v>2.2710796499413748E-2</v>
      </c>
      <c r="AB26" s="173">
        <f t="shared" si="24"/>
        <v>2.2603215153924404E-2</v>
      </c>
      <c r="AC26" s="173">
        <f t="shared" si="24"/>
        <v>2.2495633808435059E-2</v>
      </c>
      <c r="AD26" s="173">
        <f t="shared" si="24"/>
        <v>2.2388052462945715E-2</v>
      </c>
      <c r="AE26" s="173">
        <f t="shared" si="24"/>
        <v>2.2280471117456371E-2</v>
      </c>
      <c r="AF26" s="173">
        <f t="shared" si="24"/>
        <v>2.2172889771967026E-2</v>
      </c>
      <c r="AG26" s="173">
        <f t="shared" si="24"/>
        <v>2.2065308426477682E-2</v>
      </c>
      <c r="AH26" s="186">
        <f>Inputs!H35</f>
        <v>2.1957727080988334E-2</v>
      </c>
      <c r="AI26" s="99"/>
    </row>
    <row r="27" spans="1:37" s="1" customFormat="1">
      <c r="B27" s="33"/>
      <c r="C27" s="343"/>
      <c r="D27" s="334"/>
      <c r="E27" s="398"/>
      <c r="F27" s="398"/>
      <c r="G27" s="398"/>
      <c r="H27" s="407"/>
      <c r="I27" s="25"/>
      <c r="J27" s="25"/>
      <c r="K27" s="24"/>
      <c r="L27" s="24"/>
      <c r="M27" s="24"/>
      <c r="N27" s="182" t="s">
        <v>0</v>
      </c>
      <c r="O27" s="26"/>
      <c r="P27" s="13"/>
      <c r="Q27" s="13"/>
      <c r="R27" s="13"/>
      <c r="S27" s="170">
        <f>SUM(S18,S24,S26)</f>
        <v>0.5184744805291005</v>
      </c>
      <c r="T27" s="13"/>
      <c r="U27" s="13"/>
      <c r="V27" s="13"/>
      <c r="W27" s="13"/>
      <c r="X27" s="177"/>
      <c r="Y27"/>
      <c r="Z27"/>
      <c r="AA27"/>
      <c r="AB27"/>
      <c r="AC27"/>
      <c r="AD27"/>
      <c r="AE27"/>
      <c r="AF27"/>
      <c r="AG27"/>
      <c r="AH27" s="281"/>
      <c r="AI27" s="24"/>
    </row>
    <row r="28" spans="1:37" s="1" customFormat="1">
      <c r="A28" s="1" t="s">
        <v>377</v>
      </c>
      <c r="B28" s="33"/>
      <c r="C28" s="333">
        <v>2009</v>
      </c>
      <c r="D28" s="333">
        <v>2010</v>
      </c>
      <c r="E28" s="333">
        <v>2011</v>
      </c>
      <c r="F28" s="333">
        <v>2012</v>
      </c>
      <c r="G28" s="333">
        <v>2013</v>
      </c>
      <c r="H28" s="406">
        <v>2014</v>
      </c>
      <c r="I28" s="13">
        <v>2015</v>
      </c>
      <c r="J28" s="13">
        <v>2016</v>
      </c>
      <c r="K28" s="13">
        <v>2017</v>
      </c>
      <c r="L28" s="13">
        <v>2018</v>
      </c>
      <c r="M28" s="13">
        <v>2019</v>
      </c>
      <c r="N28" s="177">
        <v>2020</v>
      </c>
      <c r="O28" s="13">
        <v>2021</v>
      </c>
      <c r="P28" s="13">
        <v>2022</v>
      </c>
      <c r="Q28" s="13">
        <v>2023</v>
      </c>
      <c r="R28" s="13">
        <v>2024</v>
      </c>
      <c r="S28" s="13">
        <v>2025</v>
      </c>
      <c r="T28" s="13">
        <v>2026</v>
      </c>
      <c r="U28" s="13">
        <v>2027</v>
      </c>
      <c r="V28" s="13">
        <v>2028</v>
      </c>
      <c r="W28" s="13">
        <v>2029</v>
      </c>
      <c r="X28" s="177">
        <v>2030</v>
      </c>
      <c r="Y28" s="13">
        <v>2031</v>
      </c>
      <c r="Z28" s="13">
        <v>2032</v>
      </c>
      <c r="AA28" s="13">
        <v>2033</v>
      </c>
      <c r="AB28" s="13">
        <v>2034</v>
      </c>
      <c r="AC28" s="13">
        <v>2035</v>
      </c>
      <c r="AD28" s="13">
        <v>2036</v>
      </c>
      <c r="AE28" s="13">
        <v>2037</v>
      </c>
      <c r="AF28" s="13">
        <v>2038</v>
      </c>
      <c r="AG28" s="13">
        <v>2039</v>
      </c>
      <c r="AH28" s="177">
        <v>2040</v>
      </c>
      <c r="AK28" s="77"/>
    </row>
    <row r="29" spans="1:37">
      <c r="A29" s="9" t="s">
        <v>282</v>
      </c>
      <c r="B29" s="35">
        <v>0</v>
      </c>
      <c r="C29" s="335" t="s">
        <v>376</v>
      </c>
      <c r="D29" s="335">
        <f t="shared" ref="D29:AH29" si="25">D13-D14</f>
        <v>0</v>
      </c>
      <c r="E29" s="335">
        <f t="shared" si="25"/>
        <v>0</v>
      </c>
      <c r="F29" s="335">
        <f t="shared" si="25"/>
        <v>0</v>
      </c>
      <c r="G29" s="335">
        <f t="shared" si="25"/>
        <v>0</v>
      </c>
      <c r="H29" s="287">
        <f t="shared" si="25"/>
        <v>0</v>
      </c>
      <c r="I29" s="50">
        <f t="shared" si="25"/>
        <v>0</v>
      </c>
      <c r="J29" s="50">
        <f t="shared" si="25"/>
        <v>0</v>
      </c>
      <c r="K29" s="50">
        <f t="shared" si="25"/>
        <v>0</v>
      </c>
      <c r="L29" s="50">
        <f t="shared" si="25"/>
        <v>0</v>
      </c>
      <c r="M29" s="50">
        <f t="shared" si="25"/>
        <v>0</v>
      </c>
      <c r="N29" s="178">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5">
        <f t="shared" si="25"/>
        <v>0</v>
      </c>
      <c r="Y29" s="175">
        <f t="shared" si="25"/>
        <v>0</v>
      </c>
      <c r="Z29" s="175">
        <f t="shared" si="25"/>
        <v>0</v>
      </c>
      <c r="AA29" s="175">
        <f t="shared" si="25"/>
        <v>0</v>
      </c>
      <c r="AB29" s="175">
        <f t="shared" si="25"/>
        <v>0</v>
      </c>
      <c r="AC29" s="175">
        <f t="shared" si="25"/>
        <v>0</v>
      </c>
      <c r="AD29" s="175">
        <f t="shared" si="25"/>
        <v>0</v>
      </c>
      <c r="AE29" s="175">
        <f t="shared" si="25"/>
        <v>0</v>
      </c>
      <c r="AF29" s="175">
        <f t="shared" si="25"/>
        <v>0</v>
      </c>
      <c r="AG29" s="175">
        <f t="shared" si="25"/>
        <v>0</v>
      </c>
      <c r="AH29" s="185">
        <f t="shared" si="25"/>
        <v>0</v>
      </c>
      <c r="AI29" s="128"/>
    </row>
    <row r="30" spans="1:37" s="20" customFormat="1">
      <c r="A30" s="20" t="s">
        <v>122</v>
      </c>
      <c r="B30" s="35">
        <v>0</v>
      </c>
      <c r="C30" s="335">
        <f>C23*C47</f>
        <v>0</v>
      </c>
      <c r="D30" s="335">
        <f t="shared" ref="D30:AH30" si="26">D24*D14</f>
        <v>0</v>
      </c>
      <c r="E30" s="335">
        <f t="shared" si="26"/>
        <v>0</v>
      </c>
      <c r="F30" s="335">
        <f t="shared" si="26"/>
        <v>0</v>
      </c>
      <c r="G30" s="335">
        <f t="shared" si="26"/>
        <v>0</v>
      </c>
      <c r="H30" s="287">
        <f t="shared" si="26"/>
        <v>0</v>
      </c>
      <c r="I30" s="118">
        <f t="shared" si="26"/>
        <v>0</v>
      </c>
      <c r="J30" s="118">
        <f t="shared" si="26"/>
        <v>0</v>
      </c>
      <c r="K30" s="118">
        <f t="shared" si="26"/>
        <v>0</v>
      </c>
      <c r="L30" s="118">
        <f t="shared" si="26"/>
        <v>0</v>
      </c>
      <c r="M30" s="118">
        <f t="shared" si="26"/>
        <v>0</v>
      </c>
      <c r="N30" s="178">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5">
        <f t="shared" si="26"/>
        <v>0</v>
      </c>
      <c r="Y30" s="175">
        <f t="shared" si="26"/>
        <v>0</v>
      </c>
      <c r="Z30" s="175">
        <f t="shared" si="26"/>
        <v>0</v>
      </c>
      <c r="AA30" s="175">
        <f t="shared" si="26"/>
        <v>0</v>
      </c>
      <c r="AB30" s="175">
        <f t="shared" si="26"/>
        <v>0</v>
      </c>
      <c r="AC30" s="175">
        <f t="shared" si="26"/>
        <v>0</v>
      </c>
      <c r="AD30" s="175">
        <f t="shared" si="26"/>
        <v>0</v>
      </c>
      <c r="AE30" s="175">
        <f t="shared" si="26"/>
        <v>0</v>
      </c>
      <c r="AF30" s="175">
        <f t="shared" si="26"/>
        <v>0</v>
      </c>
      <c r="AG30" s="175">
        <f t="shared" si="26"/>
        <v>0</v>
      </c>
      <c r="AH30" s="185">
        <f t="shared" si="26"/>
        <v>0</v>
      </c>
      <c r="AI30" s="128"/>
    </row>
    <row r="31" spans="1:37">
      <c r="A31" s="9" t="s">
        <v>49</v>
      </c>
      <c r="B31" s="35">
        <v>0</v>
      </c>
      <c r="C31" s="335">
        <f>'Output - Jobs vs Yr (BAU)'!C7</f>
        <v>2331.9899999999998</v>
      </c>
      <c r="D31" s="335">
        <f t="shared" ref="D31:AH31" si="27">D26*D14</f>
        <v>2449.3408638699025</v>
      </c>
      <c r="E31" s="335">
        <f t="shared" si="27"/>
        <v>2375.9963670090988</v>
      </c>
      <c r="F31" s="335">
        <f t="shared" si="27"/>
        <v>2385.0820691497424</v>
      </c>
      <c r="G31" s="335">
        <f t="shared" si="27"/>
        <v>2370.5847060749393</v>
      </c>
      <c r="H31" s="287">
        <f>'Output - Jobs vs Yr (BAU)'!H7</f>
        <v>2810.4683999999997</v>
      </c>
      <c r="I31" s="175">
        <f t="shared" si="27"/>
        <v>2853.2033787267164</v>
      </c>
      <c r="J31" s="175">
        <f t="shared" si="27"/>
        <v>2853.0772666165526</v>
      </c>
      <c r="K31" s="175">
        <f t="shared" si="27"/>
        <v>2928.0694166897106</v>
      </c>
      <c r="L31" s="175">
        <f t="shared" si="27"/>
        <v>2949.6939904575952</v>
      </c>
      <c r="M31" s="175">
        <f t="shared" si="27"/>
        <v>2965.910036206441</v>
      </c>
      <c r="N31" s="185">
        <f t="shared" si="27"/>
        <v>2981.8071999999997</v>
      </c>
      <c r="O31" s="175">
        <f t="shared" si="27"/>
        <v>2997.3630188865163</v>
      </c>
      <c r="P31" s="175">
        <f t="shared" si="27"/>
        <v>3014.9070638317648</v>
      </c>
      <c r="Q31" s="175">
        <f t="shared" si="27"/>
        <v>3001.3003353751942</v>
      </c>
      <c r="R31" s="175">
        <f t="shared" si="27"/>
        <v>3010.6172736815874</v>
      </c>
      <c r="S31" s="175">
        <f t="shared" si="27"/>
        <v>3002.3710542601689</v>
      </c>
      <c r="T31" s="175">
        <f t="shared" si="27"/>
        <v>2980.9224161743655</v>
      </c>
      <c r="U31" s="175">
        <f t="shared" si="27"/>
        <v>3004.8646397358007</v>
      </c>
      <c r="V31" s="175">
        <f t="shared" si="27"/>
        <v>2988.2749938453835</v>
      </c>
      <c r="W31" s="175">
        <f t="shared" si="27"/>
        <v>2989.9735939869229</v>
      </c>
      <c r="X31" s="185">
        <f t="shared" si="27"/>
        <v>2981.8075265088846</v>
      </c>
      <c r="Y31" s="175">
        <f t="shared" si="27"/>
        <v>2964.9336283628268</v>
      </c>
      <c r="Z31" s="175">
        <f t="shared" si="27"/>
        <v>2959.7962108332085</v>
      </c>
      <c r="AA31" s="175">
        <f t="shared" si="27"/>
        <v>2962.8148046255033</v>
      </c>
      <c r="AB31" s="175">
        <f t="shared" si="27"/>
        <v>2977.1474382307456</v>
      </c>
      <c r="AC31" s="175">
        <f t="shared" si="27"/>
        <v>2969.2842472388475</v>
      </c>
      <c r="AD31" s="175">
        <f t="shared" si="27"/>
        <v>2974.0708315929373</v>
      </c>
      <c r="AE31" s="175">
        <f t="shared" si="27"/>
        <v>2975.8563175355921</v>
      </c>
      <c r="AF31" s="175">
        <f t="shared" si="27"/>
        <v>2971.8286563184261</v>
      </c>
      <c r="AG31" s="175">
        <f t="shared" si="27"/>
        <v>3002.6181043327115</v>
      </c>
      <c r="AH31" s="185">
        <f t="shared" si="27"/>
        <v>3020.4576170760843</v>
      </c>
      <c r="AI31" s="128"/>
    </row>
    <row r="32" spans="1:37">
      <c r="A32" s="9" t="s">
        <v>59</v>
      </c>
      <c r="B32" s="35">
        <v>0</v>
      </c>
      <c r="C32" s="335">
        <f>EIA_electricity_aeo2014!E52*1000</f>
        <v>52150</v>
      </c>
      <c r="D32" s="335">
        <f t="shared" ref="D32:AH32" si="28">D18*D14</f>
        <v>54259.146288469499</v>
      </c>
      <c r="E32" s="335">
        <f t="shared" si="28"/>
        <v>52144.910949103796</v>
      </c>
      <c r="F32" s="335">
        <f t="shared" si="28"/>
        <v>51862.958980572206</v>
      </c>
      <c r="G32" s="335">
        <f t="shared" si="28"/>
        <v>51078.919173137532</v>
      </c>
      <c r="H32" s="287">
        <f>EIA_electricity_aeo2014!J52*1000</f>
        <v>51113.397484342378</v>
      </c>
      <c r="I32" s="175">
        <f t="shared" si="28"/>
        <v>52815.478629858691</v>
      </c>
      <c r="J32" s="175">
        <f t="shared" si="28"/>
        <v>53762.311415388955</v>
      </c>
      <c r="K32" s="175">
        <f t="shared" si="28"/>
        <v>56175.528960883559</v>
      </c>
      <c r="L32" s="175">
        <f t="shared" si="28"/>
        <v>57625.110809772465</v>
      </c>
      <c r="M32" s="175">
        <f t="shared" si="28"/>
        <v>59010.811664164772</v>
      </c>
      <c r="N32" s="185">
        <f t="shared" si="28"/>
        <v>60431.594261609287</v>
      </c>
      <c r="O32" s="175">
        <f t="shared" si="28"/>
        <v>60746.860431520283</v>
      </c>
      <c r="P32" s="175">
        <f t="shared" si="28"/>
        <v>61102.421517374089</v>
      </c>
      <c r="Q32" s="175">
        <f t="shared" si="28"/>
        <v>60826.657110703069</v>
      </c>
      <c r="R32" s="175">
        <f t="shared" si="28"/>
        <v>61015.481336324498</v>
      </c>
      <c r="S32" s="175">
        <f t="shared" si="28"/>
        <v>60848.35712176517</v>
      </c>
      <c r="T32" s="175">
        <f t="shared" si="28"/>
        <v>60413.662553227878</v>
      </c>
      <c r="U32" s="175">
        <f t="shared" si="28"/>
        <v>60898.894039685292</v>
      </c>
      <c r="V32" s="175">
        <f t="shared" si="28"/>
        <v>60562.675537901043</v>
      </c>
      <c r="W32" s="175">
        <f t="shared" si="28"/>
        <v>60597.100672620094</v>
      </c>
      <c r="X32" s="185">
        <f t="shared" si="28"/>
        <v>60431.600878889047</v>
      </c>
      <c r="Y32" s="175">
        <f t="shared" si="28"/>
        <v>60089.621502632152</v>
      </c>
      <c r="Z32" s="175">
        <f t="shared" si="28"/>
        <v>59985.502654269869</v>
      </c>
      <c r="AA32" s="175">
        <f t="shared" si="28"/>
        <v>60046.679793857082</v>
      </c>
      <c r="AB32" s="175">
        <f t="shared" si="28"/>
        <v>60337.155951649016</v>
      </c>
      <c r="AC32" s="175">
        <f t="shared" si="28"/>
        <v>60177.794485346312</v>
      </c>
      <c r="AD32" s="175">
        <f t="shared" si="28"/>
        <v>60274.803079190126</v>
      </c>
      <c r="AE32" s="175">
        <f t="shared" si="28"/>
        <v>60310.989108268826</v>
      </c>
      <c r="AF32" s="175">
        <f t="shared" si="28"/>
        <v>60229.361433448335</v>
      </c>
      <c r="AG32" s="175">
        <f t="shared" si="28"/>
        <v>60853.364028229858</v>
      </c>
      <c r="AH32" s="185">
        <f t="shared" si="28"/>
        <v>61214.913291352015</v>
      </c>
      <c r="AI32" s="129"/>
    </row>
    <row r="33" spans="1:36">
      <c r="A33" s="9"/>
      <c r="B33" s="35"/>
      <c r="C33" s="335"/>
      <c r="D33" s="335"/>
      <c r="E33" s="335"/>
      <c r="F33" s="335"/>
      <c r="G33" s="335"/>
      <c r="H33" s="287"/>
      <c r="I33" s="118"/>
      <c r="J33" s="118"/>
      <c r="K33" s="118"/>
      <c r="L33" s="118"/>
      <c r="M33" s="118"/>
      <c r="N33" s="185"/>
      <c r="O33" s="118"/>
      <c r="P33" s="118"/>
      <c r="Q33" s="118"/>
      <c r="R33" s="118"/>
      <c r="S33" s="118"/>
      <c r="T33" s="118"/>
      <c r="U33" s="118"/>
      <c r="V33" s="118"/>
      <c r="W33" s="118"/>
      <c r="X33" s="185"/>
      <c r="AI33" s="129"/>
    </row>
    <row r="34" spans="1:36">
      <c r="A34" s="9" t="s">
        <v>121</v>
      </c>
      <c r="B34" s="35">
        <v>1</v>
      </c>
      <c r="C34" s="335">
        <f>EIA_RE_aeo2014!E76*1000</f>
        <v>1611</v>
      </c>
      <c r="D34" s="335">
        <f>MAX(D58*D$14,'Output - Jobs vs Yr (BAU)'!D10)</f>
        <v>1926.9071489219643</v>
      </c>
      <c r="E34" s="335">
        <f>MAX(E58*E$14,'Output - Jobs vs Yr (BAU)'!E10)</f>
        <v>2128.8584310997549</v>
      </c>
      <c r="F34" s="335">
        <f>MAX(F58*F$14,'Output - Jobs vs Yr (BAU)'!F10)</f>
        <v>2434.106512241367</v>
      </c>
      <c r="G34" s="335">
        <f>MAX(G58*G$14,'Output - Jobs vs Yr (BAU)'!G10)</f>
        <v>2755.9531827791766</v>
      </c>
      <c r="H34" s="287">
        <f>'Output - Jobs vs Yr (BAU)'!H10</f>
        <v>2102.2403600898892</v>
      </c>
      <c r="I34" s="287">
        <f>MAX(I58*I$14,'Output - Jobs vs Yr (BAU)'!I10)</f>
        <v>2487.7828333266393</v>
      </c>
      <c r="J34" s="287">
        <f>MAX(J58*J$14,'Output - Jobs vs Yr (BAU)'!J10)</f>
        <v>3405.3679910337873</v>
      </c>
      <c r="K34" s="287">
        <f>MAX(K58*K$14,'Output - Jobs vs Yr (BAU)'!K10)</f>
        <v>3470.8431378558489</v>
      </c>
      <c r="L34" s="287">
        <f>MAX(L58*L$14,'Output - Jobs vs Yr (BAU)'!L10)</f>
        <v>4077.8603466997833</v>
      </c>
      <c r="M34" s="287">
        <f>MAX(M58*M$14,'Output - Jobs vs Yr (BAU)'!M10)</f>
        <v>4782.9346995679462</v>
      </c>
      <c r="N34" s="288">
        <f>MAX(Inputs!$E17*N$21,'Output - Jobs vs Yr (BAU)'!N10)</f>
        <v>5610.2038785834866</v>
      </c>
      <c r="O34" s="287">
        <f>MAX(O58*O$14,'Output - Jobs vs Yr (BAU)'!O10)</f>
        <v>6009.3732462566813</v>
      </c>
      <c r="P34" s="287">
        <f>MAX(P58*P$14,'Output - Jobs vs Yr (BAU)'!P10)</f>
        <v>6197.0413796185576</v>
      </c>
      <c r="Q34" s="287">
        <f>MAX(Q58*Q$14,'Output - Jobs vs Yr (BAU)'!Q10)</f>
        <v>6449.105998651662</v>
      </c>
      <c r="R34" s="287">
        <f>MAX(R58*R$14,'Output - Jobs vs Yr (BAU)'!R10)</f>
        <v>6763.5684888375226</v>
      </c>
      <c r="S34" s="287">
        <f>MAX(S58*S$14,'Output - Jobs vs Yr (BAU)'!S10)</f>
        <v>7052.8849336039257</v>
      </c>
      <c r="T34" s="287">
        <f>MAX(T58*T$14,'Output - Jobs vs Yr (BAU)'!T10)</f>
        <v>7322.9851753170133</v>
      </c>
      <c r="U34" s="287">
        <f>MAX(U58*U$14,'Output - Jobs vs Yr (BAU)'!U10)</f>
        <v>7720.6095439368301</v>
      </c>
      <c r="V34" s="287">
        <f>MAX(V58*V$14,'Output - Jobs vs Yr (BAU)'!V10)</f>
        <v>8031.4101847792408</v>
      </c>
      <c r="W34" s="287">
        <f>MAX(W58*W$14,'Output - Jobs vs Yr (BAU)'!W10)</f>
        <v>8406.9761918270069</v>
      </c>
      <c r="X34" s="288">
        <f>Inputs!F17*'Output -Jobs vs Yr'!$X$14</f>
        <v>8772.2551314080829</v>
      </c>
      <c r="Y34" s="287">
        <f>MAX(Y58*Y$14,'Output - Jobs vs Yr (BAU)'!Y10)</f>
        <v>8763.5447338655722</v>
      </c>
      <c r="Z34" s="287">
        <f>MAX(Z58*Z$14,'Output - Jobs vs Yr (BAU)'!Z10)</f>
        <v>8789.6056281328947</v>
      </c>
      <c r="AA34" s="287">
        <f>MAX(AA58*AA$14,'Output - Jobs vs Yr (BAU)'!AA10)</f>
        <v>8840.2487854576102</v>
      </c>
      <c r="AB34" s="287">
        <f>MAX(AB58*AB$14,'Output - Jobs vs Yr (BAU)'!AB10)</f>
        <v>8925.2927703684363</v>
      </c>
      <c r="AC34" s="287">
        <f>MAX(AC58*AC$14,'Output - Jobs vs Yr (BAU)'!AC10)</f>
        <v>8944.2903206681713</v>
      </c>
      <c r="AD34" s="287">
        <f>MAX(AD58*AD$14,'Output - Jobs vs Yr (BAU)'!AD10)</f>
        <v>9001.7581105693571</v>
      </c>
      <c r="AE34" s="287">
        <f>MAX(AE58*AE$14,'Output - Jobs vs Yr (BAU)'!AE10)</f>
        <v>9050.6534436210968</v>
      </c>
      <c r="AF34" s="287">
        <f>MAX(AF58*AF$14,'Output - Jobs vs Yr (BAU)'!AF10)</f>
        <v>9082.2575894841593</v>
      </c>
      <c r="AG34" s="287">
        <f>MAX(AG58*AG$14,'Output - Jobs vs Yr (BAU)'!AG10)</f>
        <v>9221.0938778081909</v>
      </c>
      <c r="AH34" s="288">
        <f>Inputs!I17*'Output -Jobs vs Yr'!$AH$14</f>
        <v>9321.326283778275</v>
      </c>
      <c r="AI34" s="128"/>
    </row>
    <row r="35" spans="1:36" s="20" customFormat="1">
      <c r="A35" s="9" t="s">
        <v>50</v>
      </c>
      <c r="B35" s="35">
        <v>1</v>
      </c>
      <c r="C35" s="335">
        <f>EIA_RE_aeo2014!E74*1000</f>
        <v>0</v>
      </c>
      <c r="D35" s="335">
        <f>MAX(D59*D$14,'Output - Jobs vs Yr (BAU)'!D11)</f>
        <v>0</v>
      </c>
      <c r="E35" s="335">
        <f>MAX(E59*E$14,'Output - Jobs vs Yr (BAU)'!E11)</f>
        <v>1E-4</v>
      </c>
      <c r="F35" s="335">
        <f>MAX(F59*F$14,'Output - Jobs vs Yr (BAU)'!F11)</f>
        <v>1E-4</v>
      </c>
      <c r="G35" s="335">
        <f>MAX(G59*G$14,'Output - Jobs vs Yr (BAU)'!G11)</f>
        <v>1E-4</v>
      </c>
      <c r="H35" s="287">
        <f>'Output - Jobs vs Yr (BAU)'!H11</f>
        <v>1E-4</v>
      </c>
      <c r="I35" s="287">
        <f>MAX(I59*I$14,'Output - Jobs vs Yr (BAU)'!I11)</f>
        <v>1.0424641869777768E-4</v>
      </c>
      <c r="J35" s="287">
        <f>MAX(J59*J$14,'Output - Jobs vs Yr (BAU)'!J11)</f>
        <v>1.0705879054101122E-4</v>
      </c>
      <c r="K35" s="287">
        <f>MAX(K59*K$14,'Output - Jobs vs Yr (BAU)'!K11)</f>
        <v>1.1286148439698342E-4</v>
      </c>
      <c r="L35" s="287">
        <f>MAX(L59*L$14,'Output - Jobs vs Yr (BAU)'!L11)</f>
        <v>1.1680842471902693E-4</v>
      </c>
      <c r="M35" s="287">
        <f>MAX(M59*M$14,'Output - Jobs vs Yr (BAU)'!M11)</f>
        <v>1.2068889670875322E-4</v>
      </c>
      <c r="N35" s="288">
        <f>MAX(Inputs!$E19*N$21,'Output - Jobs vs Yr (BAU)'!N11)</f>
        <v>1.247046238494317E-4</v>
      </c>
      <c r="O35" s="287">
        <f>MAX(O59*O$14,'Output - Jobs vs Yr (BAU)'!O11)</f>
        <v>1.3101582249979378E-4</v>
      </c>
      <c r="P35" s="287">
        <f>MAX(P59*P$14,'Output - Jobs vs Yr (BAU)'!P11)</f>
        <v>1.3774895368326955E-4</v>
      </c>
      <c r="Q35" s="287">
        <f>MAX(Q59*Q$14,'Output - Jobs vs Yr (BAU)'!Q11)</f>
        <v>1.4335189150559521E-4</v>
      </c>
      <c r="R35" s="287">
        <f>MAX(R59*R$14,'Output - Jobs vs Yr (BAU)'!R11)</f>
        <v>1.5034182046398534E-4</v>
      </c>
      <c r="S35" s="287">
        <f>MAX(S59*S$14,'Output - Jobs vs Yr (BAU)'!S11)</f>
        <v>1.5677279858864466E-4</v>
      </c>
      <c r="T35" s="287">
        <f>MAX(T59*T$14,'Output - Jobs vs Yr (BAU)'!T11)</f>
        <v>1.6277663548538426E-4</v>
      </c>
      <c r="U35" s="287">
        <f>MAX(U59*U$14,'Output - Jobs vs Yr (BAU)'!U11)</f>
        <v>1.716151016793476E-4</v>
      </c>
      <c r="V35" s="287">
        <f>MAX(V59*V$14,'Output - Jobs vs Yr (BAU)'!V11)</f>
        <v>1.7852363438996294E-4</v>
      </c>
      <c r="W35" s="287">
        <f>MAX(W59*W$14,'Output - Jobs vs Yr (BAU)'!W11)</f>
        <v>1.8687178334374926E-4</v>
      </c>
      <c r="X35" s="288">
        <f>Inputs!F19*'Output -Jobs vs Yr'!$X$14</f>
        <v>1.9499126950618057E-4</v>
      </c>
      <c r="Y35" s="287">
        <f>MAX(Y59*Y$14,'Output - Jobs vs Yr (BAU)'!Y11)</f>
        <v>1.9479765321831901E-4</v>
      </c>
      <c r="Z35" s="287">
        <f>MAX(Z59*Z$14,'Output - Jobs vs Yr (BAU)'!Z11)</f>
        <v>1.9537693947727165E-4</v>
      </c>
      <c r="AA35" s="287">
        <f>MAX(AA59*AA$14,'Output - Jobs vs Yr (BAU)'!AA11)</f>
        <v>1.965026447139093E-4</v>
      </c>
      <c r="AB35" s="287">
        <f>MAX(AB59*AB$14,'Output - Jobs vs Yr (BAU)'!AB11)</f>
        <v>1.9839301775176745E-4</v>
      </c>
      <c r="AC35" s="287">
        <f>MAX(AC59*AC$14,'Output - Jobs vs Yr (BAU)'!AC11)</f>
        <v>1.9881529872683732E-4</v>
      </c>
      <c r="AD35" s="287">
        <f>MAX(AD59*AD$14,'Output - Jobs vs Yr (BAU)'!AD11)</f>
        <v>2.0009270312749432E-4</v>
      </c>
      <c r="AE35" s="287">
        <f>MAX(AE59*AE$14,'Output - Jobs vs Yr (BAU)'!AE11)</f>
        <v>2.0117955741089861E-4</v>
      </c>
      <c r="AF35" s="287">
        <f>MAX(AF59*AF$14,'Output - Jobs vs Yr (BAU)'!AF11)</f>
        <v>2.0188206006628001E-4</v>
      </c>
      <c r="AG35" s="287">
        <f>MAX(AG59*AG$14,'Output - Jobs vs Yr (BAU)'!AG11)</f>
        <v>2.0496813812811171E-4</v>
      </c>
      <c r="AH35" s="288">
        <f>Inputs!I19*'Output -Jobs vs Yr'!$AH$14</f>
        <v>2.0719612212914573E-4</v>
      </c>
      <c r="AI35" s="128"/>
    </row>
    <row r="36" spans="1:36">
      <c r="A36" s="9" t="s">
        <v>119</v>
      </c>
      <c r="B36" s="35">
        <v>1</v>
      </c>
      <c r="C36" s="335">
        <v>0</v>
      </c>
      <c r="D36" s="335">
        <v>0</v>
      </c>
      <c r="E36" s="335">
        <v>0</v>
      </c>
      <c r="F36" s="335">
        <v>0</v>
      </c>
      <c r="G36" s="335">
        <v>0</v>
      </c>
      <c r="H36" s="287">
        <v>0</v>
      </c>
      <c r="I36" s="118">
        <v>0</v>
      </c>
      <c r="J36" s="118">
        <v>0</v>
      </c>
      <c r="K36" s="118">
        <v>0</v>
      </c>
      <c r="L36" s="118">
        <v>0</v>
      </c>
      <c r="M36" s="118">
        <v>0</v>
      </c>
      <c r="N36" s="185">
        <v>0</v>
      </c>
      <c r="O36" s="118">
        <v>0</v>
      </c>
      <c r="P36" s="118">
        <v>0</v>
      </c>
      <c r="Q36" s="118">
        <v>0</v>
      </c>
      <c r="R36" s="118">
        <v>0</v>
      </c>
      <c r="S36" s="118">
        <v>0</v>
      </c>
      <c r="T36" s="118">
        <v>0</v>
      </c>
      <c r="U36" s="118">
        <v>0</v>
      </c>
      <c r="V36" s="118">
        <v>0</v>
      </c>
      <c r="W36" s="118">
        <v>0</v>
      </c>
      <c r="X36" s="185">
        <v>0</v>
      </c>
      <c r="Y36" s="175">
        <v>0</v>
      </c>
      <c r="Z36" s="175">
        <v>0</v>
      </c>
      <c r="AA36" s="175">
        <v>0</v>
      </c>
      <c r="AB36" s="175">
        <v>0</v>
      </c>
      <c r="AC36" s="175">
        <v>0</v>
      </c>
      <c r="AD36" s="175">
        <v>0</v>
      </c>
      <c r="AE36" s="175">
        <v>0</v>
      </c>
      <c r="AF36" s="175">
        <v>0</v>
      </c>
      <c r="AG36" s="175">
        <v>0</v>
      </c>
      <c r="AH36" s="185">
        <v>0</v>
      </c>
      <c r="AI36" s="128"/>
    </row>
    <row r="37" spans="1:36">
      <c r="A37" s="9" t="s">
        <v>51</v>
      </c>
      <c r="B37" s="35">
        <v>1</v>
      </c>
      <c r="C37" s="335">
        <f>EIA_RE_aeo2014!E75*1000</f>
        <v>137</v>
      </c>
      <c r="D37" s="335">
        <f>MAX(D61*D$14,'Output - Jobs vs Yr (BAU)'!D12)</f>
        <v>144.62096026409168</v>
      </c>
      <c r="E37" s="335">
        <f>MAX(E61*E$14,'Output - Jobs vs Yr (BAU)'!E12)</f>
        <v>159.50753418414268</v>
      </c>
      <c r="F37" s="335">
        <f>MAX(F61*F$14,'Output - Jobs vs Yr (BAU)'!F12)</f>
        <v>188.49535846044182</v>
      </c>
      <c r="G37" s="335">
        <f>MAX(G61*G$14,'Output - Jobs vs Yr (BAU)'!G12)</f>
        <v>142.19311454102899</v>
      </c>
      <c r="H37" s="287">
        <f>'Output - Jobs vs Yr (BAU)'!H12</f>
        <v>146.54565817331957</v>
      </c>
      <c r="I37" s="118">
        <f>MAX(I61*I$14,'Output - Jobs vs Yr (BAU)'!I12)</f>
        <v>153.05533734752476</v>
      </c>
      <c r="J37" s="118">
        <f>MAX(J61*J$14,'Output - Jobs vs Yr (BAU)'!J12)</f>
        <v>157.47950707088262</v>
      </c>
      <c r="K37" s="118">
        <f>MAX(K61*K$14,'Output - Jobs vs Yr (BAU)'!K12)</f>
        <v>166.32665404441025</v>
      </c>
      <c r="L37" s="118">
        <f>MAX(L61*L$14,'Output - Jobs vs Yr (BAU)'!L12)</f>
        <v>172.46645600223621</v>
      </c>
      <c r="M37" s="118">
        <f>MAX(M61*M$14,'Output - Jobs vs Yr (BAU)'!M12)</f>
        <v>178.5303960232803</v>
      </c>
      <c r="N37" s="185">
        <f>MAX(Inputs!$E20*N$21,'Output - Jobs vs Yr (BAU)'!N12)</f>
        <v>184.81694494638396</v>
      </c>
      <c r="O37" s="175">
        <f>MAX(O61*O$14,'Output - Jobs vs Yr (BAU)'!O12)</f>
        <v>194.17037882480997</v>
      </c>
      <c r="P37" s="175">
        <f>MAX(P61*P$14,'Output - Jobs vs Yr (BAU)'!P12)</f>
        <v>204.14913259384184</v>
      </c>
      <c r="Q37" s="175">
        <f>MAX(Q61*Q$14,'Output - Jobs vs Yr (BAU)'!Q12)</f>
        <v>212.45289727458905</v>
      </c>
      <c r="R37" s="175">
        <f>MAX(R61*R$14,'Output - Jobs vs Yr (BAU)'!R12)</f>
        <v>222.81223500886352</v>
      </c>
      <c r="S37" s="175">
        <f>MAX(S61*S$14,'Output - Jobs vs Yr (BAU)'!S12)</f>
        <v>232.3431865752755</v>
      </c>
      <c r="T37" s="175">
        <f>MAX(T61*T$14,'Output - Jobs vs Yr (BAU)'!T12)</f>
        <v>241.24109876938576</v>
      </c>
      <c r="U37" s="175">
        <f>MAX(U61*U$14,'Output - Jobs vs Yr (BAU)'!U12)</f>
        <v>254.3400382437751</v>
      </c>
      <c r="V37" s="175">
        <f>MAX(V61*V$14,'Output - Jobs vs Yr (BAU)'!V12)</f>
        <v>264.57874367605893</v>
      </c>
      <c r="W37" s="175">
        <f>MAX(W61*W$14,'Output - Jobs vs Yr (BAU)'!W12)</f>
        <v>276.95101455078617</v>
      </c>
      <c r="X37" s="185">
        <f>Inputs!F20*'Output -Jobs vs Yr'!$X$14</f>
        <v>288.9843985645727</v>
      </c>
      <c r="Y37" s="175">
        <f>MAX(Y61*Y$14,'Output - Jobs vs Yr (BAU)'!Y12)</f>
        <v>288.69745194054349</v>
      </c>
      <c r="Z37" s="175">
        <f>MAX(Z61*Z$14,'Output - Jobs vs Yr (BAU)'!Z12)</f>
        <v>289.55597597376868</v>
      </c>
      <c r="AA37" s="175">
        <f>MAX(AA61*AA$14,'Output - Jobs vs Yr (BAU)'!AA12)</f>
        <v>291.22431349264622</v>
      </c>
      <c r="AB37" s="175">
        <f>MAX(AB61*AB$14,'Output - Jobs vs Yr (BAU)'!AB12)</f>
        <v>294.02591746595027</v>
      </c>
      <c r="AC37" s="175">
        <f>MAX(AC61*AC$14,'Output - Jobs vs Yr (BAU)'!AC12)</f>
        <v>294.65175376064633</v>
      </c>
      <c r="AD37" s="175">
        <f>MAX(AD61*AD$14,'Output - Jobs vs Yr (BAU)'!AD12)</f>
        <v>296.5449151487561</v>
      </c>
      <c r="AE37" s="175">
        <f>MAX(AE61*AE$14,'Output - Jobs vs Yr (BAU)'!AE12)</f>
        <v>298.15567409305316</v>
      </c>
      <c r="AF37" s="175">
        <f>MAX(AF61*AF$14,'Output - Jobs vs Yr (BAU)'!AF12)</f>
        <v>299.19680946218813</v>
      </c>
      <c r="AG37" s="175">
        <f>MAX(AG61*AG$14,'Output - Jobs vs Yr (BAU)'!AG12)</f>
        <v>303.77049327316246</v>
      </c>
      <c r="AH37" s="185">
        <f>Inputs!I20*'Output -Jobs vs Yr'!$AH$14</f>
        <v>307.07244939756163</v>
      </c>
      <c r="AI37" s="128"/>
    </row>
    <row r="38" spans="1:36" s="20" customFormat="1">
      <c r="A38" s="9" t="s">
        <v>347</v>
      </c>
      <c r="B38" s="35">
        <v>1</v>
      </c>
      <c r="C38" s="335">
        <f>'Output - Jobs vs Yr (BAU)'!C13</f>
        <v>0</v>
      </c>
      <c r="D38" s="335">
        <f>MAX(D62*D$14,'Output - Jobs vs Yr (BAU)'!D13)</f>
        <v>0</v>
      </c>
      <c r="E38" s="335">
        <f>MAX(E62*E$14,'Output - Jobs vs Yr (BAU)'!E13)</f>
        <v>0.2</v>
      </c>
      <c r="F38" s="335">
        <f>MAX(F62*F$14,'Output - Jobs vs Yr (BAU)'!F13)</f>
        <v>0.2</v>
      </c>
      <c r="G38" s="335">
        <f>MAX(G62*G$14,'Output - Jobs vs Yr (BAU)'!G13)</f>
        <v>0.2</v>
      </c>
      <c r="H38" s="287">
        <f>'Output - Jobs vs Yr (BAU)'!H13</f>
        <v>0.2</v>
      </c>
      <c r="I38" s="118">
        <f>MAX(I62*I$14,'Output - Jobs vs Yr (BAU)'!I13)</f>
        <v>0.20849283739555532</v>
      </c>
      <c r="J38" s="118">
        <f>MAX(J62*J$14,'Output - Jobs vs Yr (BAU)'!J13)</f>
        <v>0.21411758108202242</v>
      </c>
      <c r="K38" s="118">
        <f>MAX(K62*K$14,'Output - Jobs vs Yr (BAU)'!K13)</f>
        <v>0.22572296879396681</v>
      </c>
      <c r="L38" s="118">
        <f>MAX(L62*L$14,'Output - Jobs vs Yr (BAU)'!L13)</f>
        <v>0.2336168494380538</v>
      </c>
      <c r="M38" s="118">
        <f>MAX(M62*M$14,'Output - Jobs vs Yr (BAU)'!M13)</f>
        <v>0.24137779341750643</v>
      </c>
      <c r="N38" s="185">
        <f>MAX(Inputs!$E21*N$21,'Output - Jobs vs Yr (BAU)'!N13)</f>
        <v>0.24940924769886344</v>
      </c>
      <c r="O38" s="175">
        <f>MAX(O62*O$14,'Output - Jobs vs Yr (BAU)'!O13)</f>
        <v>0.26203164499958759</v>
      </c>
      <c r="P38" s="175">
        <f>MAX(P62*P$14,'Output - Jobs vs Yr (BAU)'!P13)</f>
        <v>0.27549790736653912</v>
      </c>
      <c r="Q38" s="175">
        <f>MAX(Q62*Q$14,'Output - Jobs vs Yr (BAU)'!Q13)</f>
        <v>0.28670378301119043</v>
      </c>
      <c r="R38" s="175">
        <f>MAX(R62*R$14,'Output - Jobs vs Yr (BAU)'!R13)</f>
        <v>0.30068364092797067</v>
      </c>
      <c r="S38" s="175">
        <f>MAX(S62*S$14,'Output - Jobs vs Yr (BAU)'!S13)</f>
        <v>0.31354559717728925</v>
      </c>
      <c r="T38" s="175">
        <f>MAX(T62*T$14,'Output - Jobs vs Yr (BAU)'!T13)</f>
        <v>0.32555327097076847</v>
      </c>
      <c r="U38" s="175">
        <f>MAX(U62*U$14,'Output - Jobs vs Yr (BAU)'!U13)</f>
        <v>0.34323020335869514</v>
      </c>
      <c r="V38" s="175">
        <f>MAX(V62*V$14,'Output - Jobs vs Yr (BAU)'!V13)</f>
        <v>0.35704726877992587</v>
      </c>
      <c r="W38" s="175">
        <f>MAX(W62*W$14,'Output - Jobs vs Yr (BAU)'!W13)</f>
        <v>0.37374356668749853</v>
      </c>
      <c r="X38" s="185">
        <f>Inputs!F21*'Output -Jobs vs Yr'!$X$14</f>
        <v>0.38998253901236118</v>
      </c>
      <c r="Y38" s="175">
        <f>MAX(Y62*Y$14,'Output - Jobs vs Yr (BAU)'!Y13)</f>
        <v>0.38959530643663809</v>
      </c>
      <c r="Z38" s="175">
        <f>MAX(Z62*Z$14,'Output - Jobs vs Yr (BAU)'!Z13)</f>
        <v>0.39075387895454333</v>
      </c>
      <c r="AA38" s="175">
        <f>MAX(AA62*AA$14,'Output - Jobs vs Yr (BAU)'!AA13)</f>
        <v>0.39300528942781865</v>
      </c>
      <c r="AB38" s="175">
        <f>MAX(AB62*AB$14,'Output - Jobs vs Yr (BAU)'!AB13)</f>
        <v>0.39678603550353492</v>
      </c>
      <c r="AC38" s="175">
        <f>MAX(AC62*AC$14,'Output - Jobs vs Yr (BAU)'!AC13)</f>
        <v>0.39763059745367468</v>
      </c>
      <c r="AD38" s="175">
        <f>MAX(AD62*AD$14,'Output - Jobs vs Yr (BAU)'!AD13)</f>
        <v>0.40018540625498866</v>
      </c>
      <c r="AE38" s="175">
        <f>MAX(AE62*AE$14,'Output - Jobs vs Yr (BAU)'!AE13)</f>
        <v>0.40235911482179731</v>
      </c>
      <c r="AF38" s="175">
        <f>MAX(AF62*AF$14,'Output - Jobs vs Yr (BAU)'!AF13)</f>
        <v>0.40376412013256008</v>
      </c>
      <c r="AG38" s="175">
        <f>MAX(AG62*AG$14,'Output - Jobs vs Yr (BAU)'!AG13)</f>
        <v>0.40993627625622348</v>
      </c>
      <c r="AH38" s="185">
        <f>Inputs!I21*'Output -Jobs vs Yr'!$AH$14</f>
        <v>0.41439224425829146</v>
      </c>
      <c r="AI38" s="128"/>
    </row>
    <row r="39" spans="1:36" s="20" customFormat="1">
      <c r="A39" s="9" t="s">
        <v>348</v>
      </c>
      <c r="B39" s="35">
        <v>1</v>
      </c>
      <c r="C39" s="335">
        <f>'Output - Jobs vs Yr (BAU)'!C14</f>
        <v>0</v>
      </c>
      <c r="D39" s="335">
        <f>MAX(D63*D$14,'Output - Jobs vs Yr (BAU)'!D14)</f>
        <v>0</v>
      </c>
      <c r="E39" s="335">
        <f>MAX(E63*E$14,'Output - Jobs vs Yr (BAU)'!E14)</f>
        <v>0.1</v>
      </c>
      <c r="F39" s="335">
        <f>MAX(F63*F$14,'Output - Jobs vs Yr (BAU)'!F14)</f>
        <v>0.1</v>
      </c>
      <c r="G39" s="335">
        <f>MAX(G63*G$14,'Output - Jobs vs Yr (BAU)'!G14)</f>
        <v>0.1</v>
      </c>
      <c r="H39" s="287">
        <f>'Output - Jobs vs Yr (BAU)'!H14</f>
        <v>0.1</v>
      </c>
      <c r="I39" s="118">
        <f>MAX(I63*I$14,'Output - Jobs vs Yr (BAU)'!I14)</f>
        <v>0.10424641869777766</v>
      </c>
      <c r="J39" s="118">
        <f>MAX(J63*J$14,'Output - Jobs vs Yr (BAU)'!J14)</f>
        <v>0.10705879054101121</v>
      </c>
      <c r="K39" s="118">
        <f>MAX(K63*K$14,'Output - Jobs vs Yr (BAU)'!K14)</f>
        <v>0.1128614843969834</v>
      </c>
      <c r="L39" s="118">
        <f>MAX(L63*L$14,'Output - Jobs vs Yr (BAU)'!L14)</f>
        <v>0.1168084247190269</v>
      </c>
      <c r="M39" s="118">
        <f>MAX(M63*M$14,'Output - Jobs vs Yr (BAU)'!M14)</f>
        <v>0.12068889670875321</v>
      </c>
      <c r="N39" s="185">
        <f>MAX(Inputs!$E22*N$21,'Output - Jobs vs Yr (BAU)'!N14)</f>
        <v>0.12470462384943172</v>
      </c>
      <c r="O39" s="175">
        <f>MAX(O63*O$14,'Output - Jobs vs Yr (BAU)'!O14)</f>
        <v>0.13101582249979379</v>
      </c>
      <c r="P39" s="175">
        <f>MAX(P63*P$14,'Output - Jobs vs Yr (BAU)'!P14)</f>
        <v>0.13774895368326956</v>
      </c>
      <c r="Q39" s="175">
        <f>MAX(Q63*Q$14,'Output - Jobs vs Yr (BAU)'!Q14)</f>
        <v>0.14335189150559521</v>
      </c>
      <c r="R39" s="175">
        <f>MAX(R63*R$14,'Output - Jobs vs Yr (BAU)'!R14)</f>
        <v>0.15034182046398534</v>
      </c>
      <c r="S39" s="175">
        <f>MAX(S63*S$14,'Output - Jobs vs Yr (BAU)'!S14)</f>
        <v>0.15677279858864462</v>
      </c>
      <c r="T39" s="175">
        <f>MAX(T63*T$14,'Output - Jobs vs Yr (BAU)'!T14)</f>
        <v>0.16277663548538424</v>
      </c>
      <c r="U39" s="175">
        <f>MAX(U63*U$14,'Output - Jobs vs Yr (BAU)'!U14)</f>
        <v>0.17161510167934757</v>
      </c>
      <c r="V39" s="175">
        <f>MAX(V63*V$14,'Output - Jobs vs Yr (BAU)'!V14)</f>
        <v>0.17852363438996294</v>
      </c>
      <c r="W39" s="175">
        <f>MAX(W63*W$14,'Output - Jobs vs Yr (BAU)'!W14)</f>
        <v>0.18687178334374926</v>
      </c>
      <c r="X39" s="185">
        <f>Inputs!F22*'Output -Jobs vs Yr'!$X$14</f>
        <v>0.19499126950618059</v>
      </c>
      <c r="Y39" s="175">
        <f>MAX(Y63*Y$14,'Output - Jobs vs Yr (BAU)'!Y14)</f>
        <v>0.19479765321831904</v>
      </c>
      <c r="Z39" s="175">
        <f>MAX(Z63*Z$14,'Output - Jobs vs Yr (BAU)'!Z14)</f>
        <v>0.19537693947727167</v>
      </c>
      <c r="AA39" s="175">
        <f>MAX(AA63*AA$14,'Output - Jobs vs Yr (BAU)'!AA14)</f>
        <v>0.19650264471390932</v>
      </c>
      <c r="AB39" s="175">
        <f>MAX(AB63*AB$14,'Output - Jobs vs Yr (BAU)'!AB14)</f>
        <v>0.19839301775176746</v>
      </c>
      <c r="AC39" s="175">
        <f>MAX(AC63*AC$14,'Output - Jobs vs Yr (BAU)'!AC14)</f>
        <v>0.19881529872683734</v>
      </c>
      <c r="AD39" s="175">
        <f>MAX(AD63*AD$14,'Output - Jobs vs Yr (BAU)'!AD14)</f>
        <v>0.20009270312749433</v>
      </c>
      <c r="AE39" s="175">
        <f>MAX(AE63*AE$14,'Output - Jobs vs Yr (BAU)'!AE14)</f>
        <v>0.20117955741089866</v>
      </c>
      <c r="AF39" s="175">
        <f>MAX(AF63*AF$14,'Output - Jobs vs Yr (BAU)'!AF14)</f>
        <v>0.20188206006628004</v>
      </c>
      <c r="AG39" s="175">
        <f>MAX(AG63*AG$14,'Output - Jobs vs Yr (BAU)'!AG14)</f>
        <v>0.20496813812811174</v>
      </c>
      <c r="AH39" s="185">
        <f>Inputs!I22*'Output -Jobs vs Yr'!$AH$14</f>
        <v>0.20719612212914573</v>
      </c>
      <c r="AI39" s="128"/>
    </row>
    <row r="40" spans="1:36" s="20" customFormat="1">
      <c r="A40" s="9" t="s">
        <v>344</v>
      </c>
      <c r="B40" s="35">
        <v>1</v>
      </c>
      <c r="C40" s="335">
        <f>'Output - Jobs vs Yr (BAU)'!C15</f>
        <v>0.01</v>
      </c>
      <c r="D40" s="335">
        <f>MAX(D64*D$14,'Output - Jobs vs Yr (BAU)'!D15)</f>
        <v>1.0536498135099492E-2</v>
      </c>
      <c r="E40" s="335">
        <f>MAX(E64*E$14,'Output - Jobs vs Yr (BAU)'!E15)</f>
        <v>1.0254472754720995E-2</v>
      </c>
      <c r="F40" s="335">
        <f>MAX(F64*F$14,'Output - Jobs vs Yr (BAU)'!F15)</f>
        <v>1.0328498220199957E-2</v>
      </c>
      <c r="G40" s="335">
        <f>MAX(G64*G$14,'Output - Jobs vs Yr (BAU)'!G15)</f>
        <v>1.0301500392952681E-2</v>
      </c>
      <c r="H40" s="287">
        <f>'Output - Jobs vs Yr (BAU)'!H15</f>
        <v>0.01</v>
      </c>
      <c r="I40" s="118">
        <f>MAX(I64*I$14,'Output - Jobs vs Yr (BAU)'!I15)</f>
        <v>1.0424641869777766E-2</v>
      </c>
      <c r="J40" s="118">
        <f>MAX(J64*J$14,'Output - Jobs vs Yr (BAU)'!J15)</f>
        <v>1.0705879054101119E-2</v>
      </c>
      <c r="K40" s="118">
        <f>MAX(K64*K$14,'Output - Jobs vs Yr (BAU)'!K15)</f>
        <v>1.128614843969834E-2</v>
      </c>
      <c r="L40" s="118">
        <f>MAX(L64*L$14,'Output - Jobs vs Yr (BAU)'!L15)</f>
        <v>1.1680842471902691E-2</v>
      </c>
      <c r="M40" s="118">
        <f>MAX(M64*M$14,'Output - Jobs vs Yr (BAU)'!M15)</f>
        <v>1.2068889670875322E-2</v>
      </c>
      <c r="N40" s="185">
        <f>MAX(Inputs!$E18*N$21,'Output - Jobs vs Yr (BAU)'!N15)</f>
        <v>1.2470462384943171E-2</v>
      </c>
      <c r="O40" s="175">
        <f>MAX(O64*O$14,'Output - Jobs vs Yr (BAU)'!O15)</f>
        <v>1.3101582249979378E-2</v>
      </c>
      <c r="P40" s="175">
        <f>MAX(P64*P$14,'Output - Jobs vs Yr (BAU)'!P15)</f>
        <v>1.3774895368326955E-2</v>
      </c>
      <c r="Q40" s="175">
        <f>MAX(Q64*Q$14,'Output - Jobs vs Yr (BAU)'!Q15)</f>
        <v>1.433518915055952E-2</v>
      </c>
      <c r="R40" s="175">
        <f>MAX(R64*R$14,'Output - Jobs vs Yr (BAU)'!R15)</f>
        <v>1.5034182046398531E-2</v>
      </c>
      <c r="S40" s="175">
        <f>MAX(S64*S$14,'Output - Jobs vs Yr (BAU)'!S15)</f>
        <v>1.5677279858864461E-2</v>
      </c>
      <c r="T40" s="175">
        <f>MAX(T64*T$14,'Output - Jobs vs Yr (BAU)'!T15)</f>
        <v>1.6277663548538424E-2</v>
      </c>
      <c r="U40" s="175">
        <f>MAX(U64*U$14,'Output - Jobs vs Yr (BAU)'!U15)</f>
        <v>1.7161510167934758E-2</v>
      </c>
      <c r="V40" s="175">
        <f>MAX(V64*V$14,'Output - Jobs vs Yr (BAU)'!V15)</f>
        <v>1.7852363438996294E-2</v>
      </c>
      <c r="W40" s="175">
        <f>MAX(W64*W$14,'Output - Jobs vs Yr (BAU)'!W15)</f>
        <v>1.8687178334374929E-2</v>
      </c>
      <c r="X40" s="185">
        <f>Inputs!F18*'Output -Jobs vs Yr'!$X$14</f>
        <v>1.9499126950618052E-2</v>
      </c>
      <c r="Y40" s="175">
        <f>MAX(Y64*Y$14,'Output - Jobs vs Yr (BAU)'!Y15)</f>
        <v>1.9479765321831898E-2</v>
      </c>
      <c r="Z40" s="175">
        <f>MAX(Z64*Z$14,'Output - Jobs vs Yr (BAU)'!Z15)</f>
        <v>1.9537693947727162E-2</v>
      </c>
      <c r="AA40" s="175">
        <f>MAX(AA64*AA$14,'Output - Jobs vs Yr (BAU)'!AA15)</f>
        <v>1.9650264471390927E-2</v>
      </c>
      <c r="AB40" s="175">
        <f>MAX(AB64*AB$14,'Output - Jobs vs Yr (BAU)'!AB15)</f>
        <v>1.9839301775176739E-2</v>
      </c>
      <c r="AC40" s="175">
        <f>MAX(AC64*AC$14,'Output - Jobs vs Yr (BAU)'!AC15)</f>
        <v>1.9881529872683729E-2</v>
      </c>
      <c r="AD40" s="175">
        <f>MAX(AD64*AD$14,'Output - Jobs vs Yr (BAU)'!AD15)</f>
        <v>2.0009270312749426E-2</v>
      </c>
      <c r="AE40" s="175">
        <f>MAX(AE64*AE$14,'Output - Jobs vs Yr (BAU)'!AE15)</f>
        <v>2.0117955741089859E-2</v>
      </c>
      <c r="AF40" s="175">
        <f>MAX(AF64*AF$14,'Output - Jobs vs Yr (BAU)'!AF15)</f>
        <v>2.0188206006627997E-2</v>
      </c>
      <c r="AG40" s="175">
        <f>MAX(AG64*AG$14,'Output - Jobs vs Yr (BAU)'!AG15)</f>
        <v>2.0496813812811165E-2</v>
      </c>
      <c r="AH40" s="185">
        <f>Inputs!I18*'Output -Jobs vs Yr'!$AH$14</f>
        <v>2.0719612212914566E-2</v>
      </c>
      <c r="AI40" s="128"/>
    </row>
    <row r="41" spans="1:36" s="253" customFormat="1">
      <c r="A41" s="10" t="s">
        <v>120</v>
      </c>
      <c r="B41" s="37">
        <v>1</v>
      </c>
      <c r="C41" s="335">
        <v>0</v>
      </c>
      <c r="D41" s="335">
        <v>0</v>
      </c>
      <c r="E41" s="335">
        <v>0</v>
      </c>
      <c r="F41" s="335">
        <v>0</v>
      </c>
      <c r="G41" s="335">
        <v>0</v>
      </c>
      <c r="H41" s="287">
        <v>1</v>
      </c>
      <c r="I41" s="287">
        <v>2</v>
      </c>
      <c r="J41" s="287">
        <v>3</v>
      </c>
      <c r="K41" s="287">
        <v>4</v>
      </c>
      <c r="L41" s="287">
        <v>5</v>
      </c>
      <c r="M41" s="287">
        <v>6</v>
      </c>
      <c r="N41" s="288">
        <v>7</v>
      </c>
      <c r="O41" s="287">
        <v>8</v>
      </c>
      <c r="P41" s="287">
        <v>9</v>
      </c>
      <c r="Q41" s="287">
        <v>10</v>
      </c>
      <c r="R41" s="287">
        <v>11</v>
      </c>
      <c r="S41" s="287">
        <v>12</v>
      </c>
      <c r="T41" s="287">
        <v>13</v>
      </c>
      <c r="U41" s="287">
        <v>14</v>
      </c>
      <c r="V41" s="287">
        <v>15</v>
      </c>
      <c r="W41" s="287">
        <v>16</v>
      </c>
      <c r="X41" s="288">
        <v>17</v>
      </c>
      <c r="Y41" s="253">
        <v>18</v>
      </c>
      <c r="Z41" s="253">
        <v>19</v>
      </c>
      <c r="AA41" s="253">
        <v>20</v>
      </c>
      <c r="AB41" s="253">
        <v>21</v>
      </c>
      <c r="AC41" s="253">
        <v>22</v>
      </c>
      <c r="AD41" s="198">
        <v>23</v>
      </c>
      <c r="AE41" s="253">
        <v>24</v>
      </c>
      <c r="AF41" s="253">
        <v>25</v>
      </c>
      <c r="AG41" s="253">
        <v>26</v>
      </c>
      <c r="AH41" s="288">
        <v>27</v>
      </c>
      <c r="AI41" s="253">
        <f>EXP(0.01)</f>
        <v>1.0100501670841679</v>
      </c>
      <c r="AJ41" s="488">
        <v>0.01</v>
      </c>
    </row>
    <row r="42" spans="1:36" s="20" customFormat="1">
      <c r="A42" s="9" t="s">
        <v>53</v>
      </c>
      <c r="B42" s="35">
        <v>1</v>
      </c>
      <c r="C42" s="335">
        <f>EIA_RE_aeo2014!E78*1000</f>
        <v>0</v>
      </c>
      <c r="D42" s="335">
        <f>MAX(D66*D$14,'Output - Jobs vs Yr (BAU)'!D16)</f>
        <v>0</v>
      </c>
      <c r="E42" s="335">
        <f>MAX(E66*E$14,'Output - Jobs vs Yr (BAU)'!E16)</f>
        <v>6E-9</v>
      </c>
      <c r="F42" s="335">
        <f>MAX(F66*F$14,'Output - Jobs vs Yr (BAU)'!F16)</f>
        <v>6E-9</v>
      </c>
      <c r="G42" s="335">
        <f>MAX(G66*G$14,'Output - Jobs vs Yr (BAU)'!G16)</f>
        <v>6E-9</v>
      </c>
      <c r="H42" s="287">
        <f>'Output - Jobs vs Yr (BAU)'!H16</f>
        <v>6E-9</v>
      </c>
      <c r="I42" s="118">
        <f>MAX(I66*I$14,'Output - Jobs vs Yr (BAU)'!I16)</f>
        <v>2.7954859999999998E-3</v>
      </c>
      <c r="J42" s="118">
        <f>MAX(J66*J$14,'Output - Jobs vs Yr (BAU)'!J16)</f>
        <v>3.8111909999999998E-3</v>
      </c>
      <c r="K42" s="118">
        <f>MAX(K66*K$14,'Output - Jobs vs Yr (BAU)'!K16)</f>
        <v>3.8111909999999998E-3</v>
      </c>
      <c r="L42" s="118">
        <f>MAX(L66*L$14,'Output - Jobs vs Yr (BAU)'!L16)</f>
        <v>3.811732E-3</v>
      </c>
      <c r="M42" s="118">
        <f>MAX(M66*M$14,'Output - Jobs vs Yr (BAU)'!M16)</f>
        <v>3.8115529999999996E-3</v>
      </c>
      <c r="N42" s="185">
        <f>MAX(Inputs!$E23*N$21,'Output - Jobs vs Yr (BAU)'!N16)</f>
        <v>4.7532850892632855E-3</v>
      </c>
      <c r="O42" s="175">
        <f>MAX(O66*O$14,'Output - Jobs vs Yr (BAU)'!O16)</f>
        <v>4.9938449459400068E-3</v>
      </c>
      <c r="P42" s="175">
        <f>MAX(P66*P$14,'Output - Jobs vs Yr (BAU)'!P16)</f>
        <v>5.2504873307252821E-3</v>
      </c>
      <c r="Q42" s="175">
        <f>MAX(Q66*Q$14,'Output - Jobs vs Yr (BAU)'!Q16)</f>
        <v>5.4640508697892847E-3</v>
      </c>
      <c r="R42" s="175">
        <f>MAX(R66*R$14,'Output - Jobs vs Yr (BAU)'!R16)</f>
        <v>5.7304814484424186E-3</v>
      </c>
      <c r="S42" s="175">
        <f>MAX(S66*S$14,'Output - Jobs vs Yr (BAU)'!S16)</f>
        <v>5.9756068614842759E-3</v>
      </c>
      <c r="T42" s="175">
        <f>MAX(T66*T$14,'Output - Jobs vs Yr (BAU)'!T16)</f>
        <v>6.204451209983316E-3</v>
      </c>
      <c r="U42" s="175">
        <f>MAX(U66*U$14,'Output - Jobs vs Yr (BAU)'!U16)</f>
        <v>6.5413412808955898E-3</v>
      </c>
      <c r="V42" s="175">
        <f>MAX(V66*V$14,'Output - Jobs vs Yr (BAU)'!V16)</f>
        <v>6.804669331679853E-3</v>
      </c>
      <c r="W42" s="175">
        <f>MAX(W66*W$14,'Output - Jobs vs Yr (BAU)'!W16)</f>
        <v>7.122870299054505E-3</v>
      </c>
      <c r="X42" s="185">
        <f>Inputs!F23*'Output -Jobs vs Yr'!$X$14</f>
        <v>7.4323554754419027E-3</v>
      </c>
      <c r="Y42" s="175">
        <f>MAX(Y66*Y$14,'Output - Jobs vs Yr (BAU)'!Y16)</f>
        <v>7.424975529248071E-3</v>
      </c>
      <c r="Z42" s="175">
        <f>MAX(Z66*Z$14,'Output - Jobs vs Yr (BAU)'!Z16)</f>
        <v>7.4470558070445008E-3</v>
      </c>
      <c r="AA42" s="175">
        <f>MAX(AA66*AA$14,'Output - Jobs vs Yr (BAU)'!AA16)</f>
        <v>7.4899635818410143E-3</v>
      </c>
      <c r="AB42" s="175">
        <f>MAX(AB66*AB$14,'Output - Jobs vs Yr (BAU)'!AB16)</f>
        <v>7.5620177021825776E-3</v>
      </c>
      <c r="AC42" s="175">
        <f>MAX(AC66*AC$14,'Output - Jobs vs Yr (BAU)'!AC16)</f>
        <v>7.5781135116266829E-3</v>
      </c>
      <c r="AD42" s="175">
        <f>MAX(AD66*AD$14,'Output - Jobs vs Yr (BAU)'!AD16)</f>
        <v>7.6268035048536655E-3</v>
      </c>
      <c r="AE42" s="175">
        <f>MAX(AE66*AE$14,'Output - Jobs vs Yr (BAU)'!AE16)</f>
        <v>7.6682304231189026E-3</v>
      </c>
      <c r="AF42" s="175">
        <f>MAX(AF66*AF$14,'Output - Jobs vs Yr (BAU)'!AF16)</f>
        <v>7.6950072602073498E-3</v>
      </c>
      <c r="AG42" s="175">
        <f>MAX(AG66*AG$14,'Output - Jobs vs Yr (BAU)'!AG16)</f>
        <v>7.8126372917394476E-3</v>
      </c>
      <c r="AH42" s="185">
        <f>Inputs!I23*'Output -Jobs vs Yr'!$AH$14</f>
        <v>7.89755990971726E-3</v>
      </c>
      <c r="AI42" s="128"/>
    </row>
    <row r="43" spans="1:36">
      <c r="A43" s="10" t="s">
        <v>332</v>
      </c>
      <c r="B43" s="37"/>
      <c r="C43" s="335">
        <f>SUM(C31:C42)</f>
        <v>56230</v>
      </c>
      <c r="D43" s="335">
        <f t="shared" ref="D43:AG43" si="29">SUM(D31:D42)</f>
        <v>58780.025798023591</v>
      </c>
      <c r="E43" s="335">
        <f t="shared" si="29"/>
        <v>56809.583635875548</v>
      </c>
      <c r="F43" s="335">
        <f t="shared" si="29"/>
        <v>56870.953348927971</v>
      </c>
      <c r="G43" s="335">
        <f t="shared" si="29"/>
        <v>56347.960578039063</v>
      </c>
      <c r="H43" s="287">
        <f t="shared" si="29"/>
        <v>56173.962002611581</v>
      </c>
      <c r="I43" s="83">
        <f t="shared" si="29"/>
        <v>58311.846242889951</v>
      </c>
      <c r="J43" s="83">
        <f t="shared" si="29"/>
        <v>60181.57198061065</v>
      </c>
      <c r="K43" s="83">
        <f t="shared" si="29"/>
        <v>62745.121964127648</v>
      </c>
      <c r="L43" s="83">
        <f t="shared" si="29"/>
        <v>64830.497637589127</v>
      </c>
      <c r="M43" s="83">
        <f t="shared" si="29"/>
        <v>66944.564863784151</v>
      </c>
      <c r="N43" s="185">
        <f t="shared" si="29"/>
        <v>69215.813747462802</v>
      </c>
      <c r="O43" s="83">
        <f t="shared" si="29"/>
        <v>69956.178349398819</v>
      </c>
      <c r="P43" s="83">
        <f t="shared" si="29"/>
        <v>70527.95150341095</v>
      </c>
      <c r="Q43" s="83">
        <f t="shared" si="29"/>
        <v>70499.966340270941</v>
      </c>
      <c r="R43" s="83">
        <f t="shared" si="29"/>
        <v>71023.951274319188</v>
      </c>
      <c r="S43" s="83">
        <f t="shared" si="29"/>
        <v>71148.448424259841</v>
      </c>
      <c r="T43" s="83">
        <f t="shared" si="29"/>
        <v>70972.322218286499</v>
      </c>
      <c r="U43" s="83">
        <f t="shared" si="29"/>
        <v>71893.24698137329</v>
      </c>
      <c r="V43" s="83">
        <f t="shared" si="29"/>
        <v>71862.49986666131</v>
      </c>
      <c r="W43" s="83">
        <f t="shared" si="29"/>
        <v>72287.588085255251</v>
      </c>
      <c r="X43" s="185">
        <f t="shared" si="29"/>
        <v>72492.260035652798</v>
      </c>
      <c r="Y43" s="175">
        <f t="shared" si="29"/>
        <v>72125.408809299275</v>
      </c>
      <c r="Z43" s="175">
        <f t="shared" si="29"/>
        <v>72044.073780154853</v>
      </c>
      <c r="AA43" s="175">
        <f t="shared" si="29"/>
        <v>72161.584542097669</v>
      </c>
      <c r="AB43" s="175">
        <f t="shared" si="29"/>
        <v>72555.244856479898</v>
      </c>
      <c r="AC43" s="175">
        <f t="shared" si="29"/>
        <v>72408.644911368829</v>
      </c>
      <c r="AD43" s="175">
        <f t="shared" si="29"/>
        <v>72570.805050777082</v>
      </c>
      <c r="AE43" s="175">
        <f t="shared" si="29"/>
        <v>72660.286069556532</v>
      </c>
      <c r="AF43" s="175">
        <f t="shared" si="29"/>
        <v>72608.278219988628</v>
      </c>
      <c r="AG43" s="175">
        <f t="shared" si="29"/>
        <v>73407.489922477544</v>
      </c>
      <c r="AH43" s="185">
        <f>SUM(AH31:AH42)</f>
        <v>73891.420054338538</v>
      </c>
      <c r="AI43" s="128"/>
    </row>
    <row r="44" spans="1:36">
      <c r="A44" s="10" t="s">
        <v>124</v>
      </c>
      <c r="B44" s="37"/>
      <c r="C44" s="336">
        <f>SUMPRODUCT($B34:$B42,C34:C42)</f>
        <v>1748.01</v>
      </c>
      <c r="D44" s="336">
        <f>SUMPRODUCT($B34:$B42,D34:D42)</f>
        <v>2071.5386456841911</v>
      </c>
      <c r="E44" s="336">
        <f t="shared" ref="E44:AG44" si="30">SUMPRODUCT($B34:$B42*E34:E42)</f>
        <v>2288.6763197626519</v>
      </c>
      <c r="F44" s="336">
        <f t="shared" si="30"/>
        <v>2622.9122992060288</v>
      </c>
      <c r="G44" s="336">
        <f t="shared" si="30"/>
        <v>2898.4566988265983</v>
      </c>
      <c r="H44" s="408">
        <f t="shared" si="30"/>
        <v>2250.096118269209</v>
      </c>
      <c r="I44" s="14">
        <f>SUMPRODUCT($B34:$B42*I34:I42)</f>
        <v>2643.164234304546</v>
      </c>
      <c r="J44" s="14">
        <f t="shared" si="30"/>
        <v>3566.1832986051377</v>
      </c>
      <c r="K44" s="14">
        <f t="shared" si="30"/>
        <v>3641.5235865543741</v>
      </c>
      <c r="L44" s="14">
        <f t="shared" si="30"/>
        <v>4255.6928373590736</v>
      </c>
      <c r="M44" s="14">
        <f t="shared" si="30"/>
        <v>4967.8431634129192</v>
      </c>
      <c r="N44" s="183">
        <f t="shared" si="30"/>
        <v>5802.4122858535175</v>
      </c>
      <c r="O44" s="14">
        <f t="shared" si="30"/>
        <v>6211.9548989920077</v>
      </c>
      <c r="P44" s="14">
        <f t="shared" si="30"/>
        <v>6410.6229222051015</v>
      </c>
      <c r="Q44" s="14">
        <f t="shared" si="30"/>
        <v>6672.0088941926797</v>
      </c>
      <c r="R44" s="14">
        <f t="shared" si="30"/>
        <v>6997.8526643130926</v>
      </c>
      <c r="S44" s="14">
        <f t="shared" si="30"/>
        <v>7297.7202482344856</v>
      </c>
      <c r="T44" s="14">
        <f t="shared" si="30"/>
        <v>7577.7372488842484</v>
      </c>
      <c r="U44" s="14">
        <f t="shared" si="30"/>
        <v>7989.488301952194</v>
      </c>
      <c r="V44" s="14">
        <f t="shared" si="30"/>
        <v>8311.5493349148746</v>
      </c>
      <c r="W44" s="14">
        <f t="shared" si="30"/>
        <v>8700.51381864824</v>
      </c>
      <c r="X44" s="188">
        <f t="shared" si="30"/>
        <v>9078.8516302548705</v>
      </c>
      <c r="Y44" s="14">
        <f t="shared" si="30"/>
        <v>9070.8536783042746</v>
      </c>
      <c r="Z44" s="14">
        <f t="shared" si="30"/>
        <v>9098.7749150517884</v>
      </c>
      <c r="AA44" s="14">
        <f t="shared" si="30"/>
        <v>9152.0899436150976</v>
      </c>
      <c r="AB44" s="14">
        <f t="shared" si="30"/>
        <v>9240.9414666001358</v>
      </c>
      <c r="AC44" s="14">
        <f t="shared" si="30"/>
        <v>9261.5661787836798</v>
      </c>
      <c r="AD44" s="14">
        <f t="shared" si="30"/>
        <v>9321.9311399940161</v>
      </c>
      <c r="AE44" s="14">
        <f t="shared" si="30"/>
        <v>9373.4406437521029</v>
      </c>
      <c r="AF44" s="14">
        <f t="shared" si="30"/>
        <v>9407.0881302218713</v>
      </c>
      <c r="AG44" s="14">
        <f t="shared" si="30"/>
        <v>9551.5077899149819</v>
      </c>
      <c r="AH44" s="188">
        <f>SUMPRODUCT($B34:$B42*AH34:AH42)</f>
        <v>9656.0491459104705</v>
      </c>
      <c r="AI44" s="128"/>
    </row>
    <row r="45" spans="1:36">
      <c r="A45" s="10" t="s">
        <v>117</v>
      </c>
      <c r="B45" s="37"/>
      <c r="C45" s="337">
        <f t="shared" ref="C45:AG45" si="31">C44/C14</f>
        <v>1.7289568950169136E-2</v>
      </c>
      <c r="D45" s="337">
        <f t="shared" si="31"/>
        <v>1.9712418598547797E-2</v>
      </c>
      <c r="E45" s="337">
        <f t="shared" si="31"/>
        <v>2.2683868615196667E-2</v>
      </c>
      <c r="F45" s="337">
        <f t="shared" si="31"/>
        <v>2.6163484758592599E-2</v>
      </c>
      <c r="G45" s="337">
        <f t="shared" si="31"/>
        <v>2.9384495944802809E-2</v>
      </c>
      <c r="H45" s="285">
        <f t="shared" si="31"/>
        <v>2.2312683540073229E-2</v>
      </c>
      <c r="I45" s="23">
        <f t="shared" si="31"/>
        <v>2.5486878887857757E-2</v>
      </c>
      <c r="J45" s="23">
        <f t="shared" si="31"/>
        <v>3.3942036326018422E-2</v>
      </c>
      <c r="K45" s="23">
        <f t="shared" si="31"/>
        <v>3.3327048153663649E-2</v>
      </c>
      <c r="L45" s="23">
        <f t="shared" si="31"/>
        <v>3.8146834201910208E-2</v>
      </c>
      <c r="M45" s="23">
        <f t="shared" si="31"/>
        <v>4.3688372713314473E-2</v>
      </c>
      <c r="N45" s="179">
        <f t="shared" si="31"/>
        <v>5.0060392597236672E-2</v>
      </c>
      <c r="O45" s="23">
        <f t="shared" si="31"/>
        <v>5.2757665963645083E-2</v>
      </c>
      <c r="P45" s="23">
        <f t="shared" si="31"/>
        <v>5.3555706699525661E-2</v>
      </c>
      <c r="Q45" s="208">
        <f t="shared" si="31"/>
        <v>5.5393629695646748E-2</v>
      </c>
      <c r="R45" s="208">
        <f t="shared" si="31"/>
        <v>5.7293377870907471E-2</v>
      </c>
      <c r="S45" s="208">
        <f t="shared" si="31"/>
        <v>5.9258239065326269E-2</v>
      </c>
      <c r="T45" s="208">
        <f t="shared" si="31"/>
        <v>6.1290409102595048E-2</v>
      </c>
      <c r="U45" s="208">
        <f t="shared" si="31"/>
        <v>6.3390081792426237E-2</v>
      </c>
      <c r="V45" s="208">
        <f t="shared" si="31"/>
        <v>6.556271351836862E-2</v>
      </c>
      <c r="W45" s="208">
        <f t="shared" si="31"/>
        <v>6.7808576447532284E-2</v>
      </c>
      <c r="X45" s="186">
        <f t="shared" si="31"/>
        <v>7.0131319739999615E-2</v>
      </c>
      <c r="Y45" s="173">
        <f t="shared" si="31"/>
        <v>7.0139182631772753E-2</v>
      </c>
      <c r="Z45" s="173">
        <f t="shared" si="31"/>
        <v>7.0146479402016362E-2</v>
      </c>
      <c r="AA45" s="173">
        <f t="shared" si="31"/>
        <v>7.0153305542175373E-2</v>
      </c>
      <c r="AB45" s="173">
        <f t="shared" si="31"/>
        <v>7.0159437020866688E-2</v>
      </c>
      <c r="AC45" s="173">
        <f t="shared" si="31"/>
        <v>7.0166674492092074E-2</v>
      </c>
      <c r="AD45" s="173">
        <f t="shared" si="31"/>
        <v>7.017313817854566E-2</v>
      </c>
      <c r="AE45" s="173">
        <f t="shared" si="31"/>
        <v>7.0179689894188768E-2</v>
      </c>
      <c r="AF45" s="173">
        <f t="shared" si="31"/>
        <v>7.0186525640743305E-2</v>
      </c>
      <c r="AG45" s="173">
        <f t="shared" si="31"/>
        <v>7.0191065929516849E-2</v>
      </c>
      <c r="AH45" s="186">
        <f>AH44/AH14</f>
        <v>7.0196281062788302E-2</v>
      </c>
      <c r="AI45" s="128"/>
    </row>
    <row r="46" spans="1:36" s="253" customFormat="1">
      <c r="A46" s="10" t="s">
        <v>333</v>
      </c>
      <c r="B46" s="37"/>
      <c r="C46" s="335">
        <f>SUM(EIA_electricity_aeo2014!E50,EIA_electricity_aeo2014!E55)*1000</f>
        <v>614</v>
      </c>
      <c r="D46" s="335">
        <f>SUM(EIA_electricity_aeo2014!F50,EIA_electricity_aeo2014!F55)*1000</f>
        <v>252</v>
      </c>
      <c r="E46" s="335">
        <f>SUM(EIA_electricity_aeo2014!G50,EIA_electricity_aeo2014!G55)*1000</f>
        <v>268.80220013350328</v>
      </c>
      <c r="F46" s="335">
        <f>SUM(EIA_electricity_aeo2014!H50,EIA_electricity_aeo2014!H55)*1000</f>
        <v>192.20893549365857</v>
      </c>
      <c r="G46" s="335">
        <f>SUM(EIA_electricity_aeo2014!I50,EIA_electricity_aeo2014!I55)*1000</f>
        <v>326.3879951453365</v>
      </c>
      <c r="H46" s="287">
        <f>SUM(EIA_electricity_aeo2014!J50,EIA_electricity_aeo2014!J55)*1000</f>
        <v>344.56437817828754</v>
      </c>
      <c r="I46" s="287">
        <f>SUM(EIA_electricity_aeo2014!K50,EIA_electricity_aeo2014!K55)*1000</f>
        <v>334.61748309970261</v>
      </c>
      <c r="J46" s="287">
        <f>SUM(EIA_electricity_aeo2014!L50,EIA_electricity_aeo2014!L55)*1000</f>
        <v>328.43975168396145</v>
      </c>
      <c r="K46" s="287">
        <f>SUM(EIA_electricity_aeo2014!M50,EIA_electricity_aeo2014!M55)*1000</f>
        <v>335.12268948358513</v>
      </c>
      <c r="L46" s="287">
        <f>SUM(EIA_electricity_aeo2014!N50,EIA_electricity_aeo2014!N55)*1000</f>
        <v>347.3908826991929</v>
      </c>
      <c r="M46" s="287">
        <f>SUM(EIA_electricity_aeo2014!O50,EIA_electricity_aeo2014!O55)*1000</f>
        <v>350.6666232174282</v>
      </c>
      <c r="N46" s="287">
        <f>SUM(EIA_electricity_aeo2014!P50,EIA_electricity_aeo2014!P55)*1000</f>
        <v>352.53607632304789</v>
      </c>
      <c r="O46" s="287">
        <f>SUM(EIA_electricity_aeo2014!Q50,EIA_electricity_aeo2014!Q55)*1000</f>
        <v>360.6382691078698</v>
      </c>
      <c r="P46" s="287">
        <f>SUM(EIA_electricity_aeo2014!R50,EIA_electricity_aeo2014!R55)*1000</f>
        <v>364.29806958119946</v>
      </c>
      <c r="Q46" s="287">
        <f>SUM(EIA_electricity_aeo2014!S50,EIA_electricity_aeo2014!S55)*1000</f>
        <v>366.48643949920353</v>
      </c>
      <c r="R46" s="287">
        <f>SUM(EIA_electricity_aeo2014!T50,EIA_electricity_aeo2014!T55)*1000</f>
        <v>368.52788570346343</v>
      </c>
      <c r="S46" s="287">
        <f>SUM(EIA_electricity_aeo2014!U50,EIA_electricity_aeo2014!U55)*1000</f>
        <v>336.66453380104224</v>
      </c>
      <c r="T46" s="287">
        <f>SUM(EIA_electricity_aeo2014!V50,EIA_electricity_aeo2014!V55)*1000</f>
        <v>273.18159575868526</v>
      </c>
      <c r="U46" s="287">
        <f>SUM(EIA_electricity_aeo2014!W50,EIA_electricity_aeo2014!W55)*1000</f>
        <v>242.86553046346111</v>
      </c>
      <c r="V46" s="287">
        <f>SUM(EIA_electricity_aeo2014!X50,EIA_electricity_aeo2014!X55)*1000</f>
        <v>227.88461463118969</v>
      </c>
      <c r="W46" s="287">
        <f>SUM(EIA_electricity_aeo2014!Y50,EIA_electricity_aeo2014!Y55)*1000</f>
        <v>227.18130253700923</v>
      </c>
      <c r="X46" s="287">
        <f>SUM(EIA_electricity_aeo2014!Z50,EIA_electricity_aeo2014!Z55)*1000</f>
        <v>226.02949089795345</v>
      </c>
      <c r="Y46" s="287">
        <f>SUM(EIA_electricity_aeo2014!AA50,EIA_electricity_aeo2014!AA55)*1000</f>
        <v>223.65479995796923</v>
      </c>
      <c r="Z46" s="287">
        <f>SUM(EIA_electricity_aeo2014!AB50,EIA_electricity_aeo2014!AB55)*1000</f>
        <v>221.95874995493506</v>
      </c>
      <c r="AA46" s="287">
        <f>SUM(EIA_electricity_aeo2014!AC50,EIA_electricity_aeo2014!AC55)*1000</f>
        <v>214.58612443154166</v>
      </c>
      <c r="AB46" s="287">
        <f>SUM(EIA_electricity_aeo2014!AD50,EIA_electricity_aeo2014!AD55)*1000</f>
        <v>215.05229883532829</v>
      </c>
      <c r="AC46" s="287">
        <f>SUM(EIA_electricity_aeo2014!AE50,EIA_electricity_aeo2014!AE55)*1000</f>
        <v>214.55077471371897</v>
      </c>
      <c r="AD46" s="287">
        <f>SUM(EIA_electricity_aeo2014!AF50,EIA_electricity_aeo2014!AF55)*1000</f>
        <v>214.70690263410251</v>
      </c>
      <c r="AE46" s="287">
        <f>SUM(EIA_electricity_aeo2014!AG50,EIA_electricity_aeo2014!AG55)*1000</f>
        <v>215.92558779748271</v>
      </c>
      <c r="AF46" s="287">
        <f>SUM(EIA_electricity_aeo2014!AH50,EIA_electricity_aeo2014!AH55)*1000</f>
        <v>216.40739252445897</v>
      </c>
      <c r="AG46" s="287">
        <f>SUM(EIA_electricity_aeo2014!AI50,EIA_electricity_aeo2014!AI55)*1000</f>
        <v>217.85843654178149</v>
      </c>
      <c r="AH46" s="287">
        <f>SUM(EIA_electricity_aeo2014!AJ50,EIA_electricity_aeo2014!AJ55)*1000</f>
        <v>218.0738862483241</v>
      </c>
      <c r="AI46" s="297"/>
    </row>
    <row r="47" spans="1:36" s="253" customFormat="1">
      <c r="A47" s="10" t="s">
        <v>142</v>
      </c>
      <c r="B47" s="37"/>
      <c r="C47" s="335">
        <f>(C$14-C$43-C$46)*0.7</f>
        <v>30980.6</v>
      </c>
      <c r="D47" s="335">
        <f>(D$14-D$30-D$43-D$46)*EIA_electricity_aeo2014!F60</f>
        <v>35700.535087095224</v>
      </c>
      <c r="E47" s="335">
        <f>(E$14-E$30-E$43-E$46)*EIA_electricity_aeo2014!G60</f>
        <v>30638.078700956903</v>
      </c>
      <c r="F47" s="335">
        <f>(F$14-F$30-F$43-F$46)*EIA_electricity_aeo2014!H60</f>
        <v>24965.688164416359</v>
      </c>
      <c r="G47" s="335">
        <f>(G$14-G$30-G$43-G$46)*EIA_electricity_aeo2014!I60</f>
        <v>26116.668118502806</v>
      </c>
      <c r="H47" s="287">
        <f>(H$14-H$30-H$43-H$46)*EIA_electricity_aeo2014!J60</f>
        <v>29971.139048465877</v>
      </c>
      <c r="I47" s="287">
        <f>(I$14-I$30-I$43-I$46)*EIA_electricity_aeo2014!K60</f>
        <v>27309.694785749714</v>
      </c>
      <c r="J47" s="287">
        <f>(J$14-J$30-J$43-J$46)*EIA_electricity_aeo2014!L60</f>
        <v>25286.024682440344</v>
      </c>
      <c r="K47" s="287">
        <f>(K$14-K$30-K$43-K$46)*EIA_electricity_aeo2014!M60</f>
        <v>27343.30404314159</v>
      </c>
      <c r="L47" s="287">
        <f>(L$14-L$30-L$43-L$46)*EIA_electricity_aeo2014!N60</f>
        <v>30054.121425557052</v>
      </c>
      <c r="M47" s="287">
        <f>(M$14-M$30-M$43-M$46)*EIA_electricity_aeo2014!O60</f>
        <v>30651.404715014531</v>
      </c>
      <c r="N47" s="288">
        <f>(N$14-N$43-N$46)*EIA_electricity_aeo2014!P60 - N30</f>
        <v>29450.10468248856</v>
      </c>
      <c r="O47" s="287">
        <f>(O$14-O$43-O$46)*EIA_electricity_aeo2014!Q60 - O30</f>
        <v>30295.419467121443</v>
      </c>
      <c r="P47" s="287">
        <f>(P$14-P$43-P$46)*EIA_electricity_aeo2014!R60 - P30</f>
        <v>30446.908449587045</v>
      </c>
      <c r="Q47" s="287">
        <f>(Q$14-Q$43-Q$46)*EIA_electricity_aeo2014!S60 - Q30</f>
        <v>30786.97194990635</v>
      </c>
      <c r="R47" s="287">
        <f>(R$14-R$43-R$46)*EIA_electricity_aeo2014!T60 - R30</f>
        <v>30898.780184079838</v>
      </c>
      <c r="S47" s="287">
        <f>(S$14-S$43-S$46)*EIA_electricity_aeo2014!U60 - S30</f>
        <v>31169.529736723012</v>
      </c>
      <c r="T47" s="287">
        <f>(T$14-T$43-T$46)*EIA_electricity_aeo2014!V60 - T30</f>
        <v>31283.128097212862</v>
      </c>
      <c r="U47" s="287">
        <f>(U$14-U$43-U$46)*EIA_electricity_aeo2014!W60 - U30</f>
        <v>30873.486660705483</v>
      </c>
      <c r="V47" s="287">
        <f>(V$14-V$43-V$46)*EIA_electricity_aeo2014!X60 - V30</f>
        <v>30894.615368814597</v>
      </c>
      <c r="W47" s="287">
        <f>(W$14-W$43-W$46)*EIA_electricity_aeo2014!Y60 - W30</f>
        <v>30799.952901306937</v>
      </c>
      <c r="X47" s="288">
        <f>(X$14-X$43-X$46)*EIA_electricity_aeo2014!Z60 - X30</f>
        <v>30755.446036245616</v>
      </c>
      <c r="Y47" s="287">
        <f>(Y$14-Y$43-Y$46)*EIA_electricity_aeo2014!AA60 - Y30</f>
        <v>30969.364821155352</v>
      </c>
      <c r="Z47" s="287">
        <f>(Z$14-Z$43-Z$46)*EIA_electricity_aeo2014!AB60 - Z30</f>
        <v>31095.188123006981</v>
      </c>
      <c r="AA47" s="287">
        <f>(AA$14-AA$43-AA$46)*EIA_electricity_aeo2014!AC60 - AA30</f>
        <v>31078.181051726693</v>
      </c>
      <c r="AB47" s="287">
        <f>(AB$14-AB$43-AB$46)*EIA_electricity_aeo2014!AD60 - AB30</f>
        <v>30960.61084578995</v>
      </c>
      <c r="AC47" s="287">
        <f>(AC$14-AC$43-AC$46)*EIA_electricity_aeo2014!AE60 - AC30</f>
        <v>31049.015553002719</v>
      </c>
      <c r="AD47" s="287">
        <f>(AD$14-AD$43-AD$46)*EIA_electricity_aeo2014!AF60 - AD30</f>
        <v>31182.853683616369</v>
      </c>
      <c r="AE47" s="287">
        <f>(AE$14-AE$43-AE$46)*EIA_electricity_aeo2014!AG60 - AE30</f>
        <v>31182.838352301333</v>
      </c>
      <c r="AF47" s="287">
        <f>(AF$14-AF$43-AF$46)*EIA_electricity_aeo2014!AH60 - AF30</f>
        <v>31226.727281315863</v>
      </c>
      <c r="AG47" s="287">
        <f>(AG$14-AG$43-AG$46)*EIA_electricity_aeo2014!AI60 - AG30</f>
        <v>31034.390360906717</v>
      </c>
      <c r="AH47" s="288">
        <f>(AH$14-AH$43-AH$46)*EIA_electricity_aeo2014!AJ60 - AH30</f>
        <v>30855.038766085181</v>
      </c>
      <c r="AI47" s="297"/>
      <c r="AJ47" s="404"/>
    </row>
    <row r="48" spans="1:36" s="253" customFormat="1">
      <c r="A48" s="10" t="s">
        <v>222</v>
      </c>
      <c r="B48" s="37"/>
      <c r="C48" s="335">
        <f>(C$14-C$43-C$46)* 0.3</f>
        <v>13277.4</v>
      </c>
      <c r="D48" s="335">
        <f t="shared" ref="D48:AH48" si="32">(D$14-SUM(D30:D42,D46:D47))</f>
        <v>10355.439114881199</v>
      </c>
      <c r="E48" s="335">
        <f t="shared" si="32"/>
        <v>13177.979818499618</v>
      </c>
      <c r="F48" s="335">
        <f>(F$14-SUM(F30:F42,F46:F47))</f>
        <v>18222.026810339536</v>
      </c>
      <c r="G48" s="335">
        <f t="shared" si="32"/>
        <v>15847.963002611214</v>
      </c>
      <c r="H48" s="287">
        <f t="shared" si="32"/>
        <v>14354.148997102777</v>
      </c>
      <c r="I48" s="287">
        <f t="shared" si="32"/>
        <v>17750.703593050552</v>
      </c>
      <c r="J48" s="287">
        <f t="shared" si="32"/>
        <v>19270.827115531894</v>
      </c>
      <c r="K48" s="287">
        <f t="shared" si="32"/>
        <v>18842.761651649897</v>
      </c>
      <c r="L48" s="287">
        <f t="shared" si="32"/>
        <v>16328.829279601254</v>
      </c>
      <c r="M48" s="287">
        <f t="shared" si="32"/>
        <v>15764.240511387281</v>
      </c>
      <c r="N48" s="288">
        <f t="shared" si="32"/>
        <v>16889.791210795942</v>
      </c>
      <c r="O48" s="287">
        <f t="shared" si="32"/>
        <v>17132.830636478568</v>
      </c>
      <c r="P48" s="287">
        <f t="shared" si="32"/>
        <v>18360.93216896485</v>
      </c>
      <c r="Q48" s="287">
        <f t="shared" si="32"/>
        <v>18793.798729973714</v>
      </c>
      <c r="R48" s="287">
        <f t="shared" si="32"/>
        <v>19849.429935565116</v>
      </c>
      <c r="S48" s="287">
        <f t="shared" si="32"/>
        <v>20496.506636357735</v>
      </c>
      <c r="T48" s="287">
        <f t="shared" si="32"/>
        <v>21107.959193881208</v>
      </c>
      <c r="U48" s="287">
        <f t="shared" si="32"/>
        <v>23027.283507529763</v>
      </c>
      <c r="V48" s="287">
        <f t="shared" si="32"/>
        <v>23787.503740462533</v>
      </c>
      <c r="W48" s="287">
        <f t="shared" si="32"/>
        <v>24995.20949925459</v>
      </c>
      <c r="X48" s="288">
        <f t="shared" si="32"/>
        <v>25981.287726558905</v>
      </c>
      <c r="Y48" s="287">
        <f t="shared" si="32"/>
        <v>26008.052688219905</v>
      </c>
      <c r="Z48" s="287">
        <f t="shared" si="32"/>
        <v>26349.849561908777</v>
      </c>
      <c r="AA48" s="287">
        <f t="shared" si="32"/>
        <v>27004.07604767404</v>
      </c>
      <c r="AB48" s="287">
        <f t="shared" si="32"/>
        <v>27982.541521753912</v>
      </c>
      <c r="AC48" s="287">
        <f t="shared" si="32"/>
        <v>28321.591314967314</v>
      </c>
      <c r="AD48" s="287">
        <f t="shared" si="32"/>
        <v>28873.507791458382</v>
      </c>
      <c r="AE48" s="287">
        <f t="shared" si="32"/>
        <v>29504.387758231853</v>
      </c>
      <c r="AF48" s="287">
        <f t="shared" si="32"/>
        <v>29978.417537912101</v>
      </c>
      <c r="AG48" s="287">
        <f t="shared" si="32"/>
        <v>31418.943993145105</v>
      </c>
      <c r="AH48" s="288">
        <f t="shared" si="32"/>
        <v>32593.312234906087</v>
      </c>
      <c r="AI48" s="297"/>
    </row>
    <row r="49" spans="1:35" s="253" customFormat="1">
      <c r="A49" s="10" t="s">
        <v>334</v>
      </c>
      <c r="B49" s="37"/>
      <c r="C49" s="335">
        <f>SUM(C43,C46:C48)</f>
        <v>101102</v>
      </c>
      <c r="D49" s="335">
        <f t="shared" ref="D49:M49" si="33">SUM(D43,D46:D48)+D30</f>
        <v>105088.00000000001</v>
      </c>
      <c r="E49" s="335">
        <f t="shared" si="33"/>
        <v>100894.44435546557</v>
      </c>
      <c r="F49" s="335">
        <f t="shared" si="33"/>
        <v>100250.87725917753</v>
      </c>
      <c r="G49" s="335">
        <f t="shared" si="33"/>
        <v>98638.97969429841</v>
      </c>
      <c r="H49" s="287">
        <f>SUM(H43,H46:H48)+H30</f>
        <v>100843.81442635853</v>
      </c>
      <c r="I49" s="287">
        <f t="shared" si="33"/>
        <v>103706.86210478992</v>
      </c>
      <c r="J49" s="287">
        <f t="shared" si="33"/>
        <v>105066.86353026686</v>
      </c>
      <c r="K49" s="287">
        <f t="shared" si="33"/>
        <v>109266.31034840272</v>
      </c>
      <c r="L49" s="287">
        <f t="shared" si="33"/>
        <v>111560.83922544663</v>
      </c>
      <c r="M49" s="287">
        <f t="shared" si="33"/>
        <v>113710.8767134034</v>
      </c>
      <c r="N49" s="288">
        <f t="shared" ref="N49:AH49" si="34">SUM(N43,N46:N48)+N30</f>
        <v>115908.24571707034</v>
      </c>
      <c r="O49" s="287">
        <f t="shared" si="34"/>
        <v>117745.0667221067</v>
      </c>
      <c r="P49" s="287">
        <f t="shared" si="34"/>
        <v>119700.09019154405</v>
      </c>
      <c r="Q49" s="287">
        <f t="shared" si="34"/>
        <v>120447.22345965021</v>
      </c>
      <c r="R49" s="287">
        <f t="shared" si="34"/>
        <v>122140.6892796676</v>
      </c>
      <c r="S49" s="287">
        <f t="shared" si="34"/>
        <v>123151.14933114163</v>
      </c>
      <c r="T49" s="287">
        <f t="shared" si="34"/>
        <v>123636.59110513925</v>
      </c>
      <c r="U49" s="287">
        <f t="shared" si="34"/>
        <v>126036.882680072</v>
      </c>
      <c r="V49" s="287">
        <f t="shared" si="34"/>
        <v>126772.50359056963</v>
      </c>
      <c r="W49" s="287">
        <f t="shared" si="34"/>
        <v>128309.93178835379</v>
      </c>
      <c r="X49" s="288">
        <f t="shared" si="34"/>
        <v>129455.02328935527</v>
      </c>
      <c r="Y49" s="287">
        <f t="shared" si="34"/>
        <v>129326.4811186325</v>
      </c>
      <c r="Z49" s="287">
        <f t="shared" si="34"/>
        <v>129711.07021502555</v>
      </c>
      <c r="AA49" s="287">
        <f t="shared" si="34"/>
        <v>130458.42776592994</v>
      </c>
      <c r="AB49" s="287">
        <f t="shared" si="34"/>
        <v>131713.4495228591</v>
      </c>
      <c r="AC49" s="287">
        <f t="shared" si="34"/>
        <v>131993.80255405259</v>
      </c>
      <c r="AD49" s="287">
        <f t="shared" si="34"/>
        <v>132841.87342848594</v>
      </c>
      <c r="AE49" s="287">
        <f t="shared" si="34"/>
        <v>133563.4377678872</v>
      </c>
      <c r="AF49" s="287">
        <f t="shared" si="34"/>
        <v>134029.83043174105</v>
      </c>
      <c r="AG49" s="287">
        <f t="shared" si="34"/>
        <v>136078.68271307115</v>
      </c>
      <c r="AH49" s="288">
        <f t="shared" si="34"/>
        <v>137557.84494157814</v>
      </c>
      <c r="AI49" s="297"/>
    </row>
    <row r="50" spans="1:35">
      <c r="A50" s="10"/>
      <c r="B50" s="37"/>
      <c r="C50" s="337" t="b">
        <f t="shared" ref="C50:AH50" si="35">(C49=C14)</f>
        <v>1</v>
      </c>
      <c r="D50" s="337" t="b">
        <f t="shared" si="35"/>
        <v>1</v>
      </c>
      <c r="E50" s="337" t="b">
        <f t="shared" si="35"/>
        <v>1</v>
      </c>
      <c r="F50" s="337" t="b">
        <f t="shared" si="35"/>
        <v>1</v>
      </c>
      <c r="G50" s="337" t="b">
        <f t="shared" si="35"/>
        <v>1</v>
      </c>
      <c r="H50" s="285" t="b">
        <f t="shared" si="35"/>
        <v>1</v>
      </c>
      <c r="I50" s="91" t="b">
        <f t="shared" si="35"/>
        <v>1</v>
      </c>
      <c r="J50" s="91" t="b">
        <f t="shared" si="35"/>
        <v>1</v>
      </c>
      <c r="K50" s="91" t="b">
        <f t="shared" si="35"/>
        <v>1</v>
      </c>
      <c r="L50" s="91" t="b">
        <f t="shared" si="35"/>
        <v>1</v>
      </c>
      <c r="M50" s="91" t="b">
        <f t="shared" si="35"/>
        <v>1</v>
      </c>
      <c r="N50" s="186"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6" t="b">
        <f t="shared" si="35"/>
        <v>1</v>
      </c>
      <c r="Y50" s="173" t="b">
        <f t="shared" si="35"/>
        <v>1</v>
      </c>
      <c r="Z50" s="173" t="b">
        <f t="shared" si="35"/>
        <v>1</v>
      </c>
      <c r="AA50" s="173" t="b">
        <f t="shared" si="35"/>
        <v>1</v>
      </c>
      <c r="AB50" s="173" t="b">
        <f t="shared" si="35"/>
        <v>1</v>
      </c>
      <c r="AC50" s="173" t="b">
        <f t="shared" si="35"/>
        <v>1</v>
      </c>
      <c r="AD50" s="173" t="b">
        <f t="shared" si="35"/>
        <v>1</v>
      </c>
      <c r="AE50" s="173" t="b">
        <f t="shared" si="35"/>
        <v>1</v>
      </c>
      <c r="AF50" s="173" t="b">
        <f t="shared" si="35"/>
        <v>1</v>
      </c>
      <c r="AG50" s="173" t="b">
        <f t="shared" si="35"/>
        <v>1</v>
      </c>
      <c r="AH50" s="186" t="b">
        <f t="shared" si="35"/>
        <v>1</v>
      </c>
      <c r="AI50" s="128"/>
    </row>
    <row r="51" spans="1:35">
      <c r="A51" s="10" t="s">
        <v>542</v>
      </c>
      <c r="B51" s="37"/>
      <c r="C51" s="337"/>
      <c r="D51" s="337">
        <f>D44/C44-1</f>
        <v>0.185083978743938</v>
      </c>
      <c r="E51" s="337">
        <f t="shared" ref="E51:X51" si="36">E44/D44-1</f>
        <v>0.10481951400271572</v>
      </c>
      <c r="F51" s="337">
        <f t="shared" si="36"/>
        <v>0.1460389905541728</v>
      </c>
      <c r="G51" s="337">
        <f>G44/F44-1</f>
        <v>0.10505284515383084</v>
      </c>
      <c r="H51" s="285"/>
      <c r="I51" s="165">
        <f t="shared" ref="I51:N51" si="37">I44/H44-1</f>
        <v>0.17468947786003386</v>
      </c>
      <c r="J51" s="173">
        <f t="shared" si="37"/>
        <v>0.34920987970444872</v>
      </c>
      <c r="K51" s="173">
        <f t="shared" si="37"/>
        <v>2.1126308336059108E-2</v>
      </c>
      <c r="L51" s="173">
        <f t="shared" si="37"/>
        <v>0.16865722168391306</v>
      </c>
      <c r="M51" s="173">
        <f t="shared" si="37"/>
        <v>0.16734063130735244</v>
      </c>
      <c r="N51" s="173">
        <f t="shared" si="37"/>
        <v>0.16799425726379957</v>
      </c>
      <c r="O51" s="173">
        <f t="shared" ref="O51:R51" si="38">O44/N44-1</f>
        <v>7.0581439746529195E-2</v>
      </c>
      <c r="P51" s="173">
        <f t="shared" si="38"/>
        <v>3.198156239758454E-2</v>
      </c>
      <c r="Q51" s="173">
        <f t="shared" si="38"/>
        <v>4.0773880348224711E-2</v>
      </c>
      <c r="R51" s="173">
        <f t="shared" si="38"/>
        <v>4.883743041829991E-2</v>
      </c>
      <c r="S51" s="165">
        <f t="shared" si="36"/>
        <v>4.2851371457222287E-2</v>
      </c>
      <c r="T51" s="165">
        <f t="shared" si="36"/>
        <v>3.837047613842226E-2</v>
      </c>
      <c r="U51" s="165">
        <f t="shared" si="36"/>
        <v>5.4336939846861609E-2</v>
      </c>
      <c r="V51" s="165">
        <f t="shared" si="36"/>
        <v>4.0310595721629205E-2</v>
      </c>
      <c r="W51" s="165">
        <f t="shared" si="36"/>
        <v>4.6798071943027209E-2</v>
      </c>
      <c r="X51" s="186">
        <f t="shared" si="36"/>
        <v>4.3484536602392376E-2</v>
      </c>
      <c r="Y51" s="173">
        <f t="shared" ref="Y51:AH51" si="39">Y44/X44-1</f>
        <v>-8.8094312764652738E-4</v>
      </c>
      <c r="Z51" s="173">
        <f t="shared" si="39"/>
        <v>3.0781266833017629E-3</v>
      </c>
      <c r="AA51" s="173">
        <f t="shared" si="39"/>
        <v>5.8595831923604624E-3</v>
      </c>
      <c r="AB51" s="173">
        <f t="shared" si="39"/>
        <v>9.7083314884842675E-3</v>
      </c>
      <c r="AC51" s="173">
        <f t="shared" si="39"/>
        <v>2.2318843007596012E-3</v>
      </c>
      <c r="AD51" s="173">
        <f t="shared" si="39"/>
        <v>6.5177919204011392E-3</v>
      </c>
      <c r="AE51" s="173">
        <f t="shared" si="39"/>
        <v>5.5256258584763795E-3</v>
      </c>
      <c r="AF51" s="173">
        <f t="shared" si="39"/>
        <v>3.5896622967572789E-3</v>
      </c>
      <c r="AG51" s="173">
        <f t="shared" si="39"/>
        <v>1.5352217146678671E-2</v>
      </c>
      <c r="AH51" s="186">
        <f t="shared" si="39"/>
        <v>1.0945010808227407E-2</v>
      </c>
      <c r="AI51" s="128"/>
    </row>
    <row r="52" spans="1:35">
      <c r="A52" s="10"/>
      <c r="B52" s="37"/>
      <c r="C52" s="337"/>
      <c r="D52" s="337"/>
      <c r="E52" s="337"/>
      <c r="F52" s="337"/>
      <c r="G52" s="337"/>
      <c r="H52" s="285"/>
      <c r="I52" s="173"/>
      <c r="J52" s="173"/>
      <c r="K52" s="173"/>
      <c r="L52" s="173"/>
      <c r="M52" s="173"/>
      <c r="N52" s="186"/>
      <c r="O52" s="173"/>
      <c r="P52" s="173"/>
      <c r="Q52" s="173"/>
      <c r="R52" s="173"/>
      <c r="S52" s="173"/>
      <c r="T52" s="173"/>
      <c r="U52" s="173"/>
      <c r="V52" s="173"/>
      <c r="W52" s="173"/>
      <c r="X52" s="186"/>
      <c r="Y52" s="20"/>
      <c r="Z52" s="20"/>
      <c r="AA52" s="20"/>
      <c r="AB52" s="20"/>
      <c r="AC52" s="20"/>
      <c r="AD52" s="20"/>
      <c r="AE52" s="20"/>
      <c r="AF52" s="20"/>
      <c r="AG52" s="20"/>
      <c r="AH52" s="280"/>
      <c r="AI52" s="128"/>
    </row>
    <row r="53" spans="1:35">
      <c r="A53" s="1" t="s">
        <v>541</v>
      </c>
      <c r="B53" s="37"/>
      <c r="C53" s="337"/>
      <c r="D53" s="337"/>
      <c r="E53" s="337"/>
      <c r="F53" s="337"/>
      <c r="G53" s="337"/>
      <c r="H53" s="285"/>
      <c r="I53" s="165"/>
      <c r="J53" s="165"/>
      <c r="K53" s="165"/>
      <c r="L53" s="165"/>
      <c r="M53" s="165"/>
      <c r="N53" s="185" t="s">
        <v>0</v>
      </c>
      <c r="O53" s="175" t="s">
        <v>0</v>
      </c>
      <c r="P53" s="165"/>
      <c r="Q53" s="165"/>
      <c r="R53" s="165"/>
      <c r="S53" s="165"/>
      <c r="T53" s="165"/>
      <c r="U53" s="165"/>
      <c r="V53" s="165"/>
      <c r="W53" s="165"/>
      <c r="X53" s="186"/>
      <c r="Y53" s="20"/>
      <c r="Z53" s="20"/>
      <c r="AA53" s="20"/>
      <c r="AB53" s="20"/>
      <c r="AC53" s="20"/>
      <c r="AD53" s="20"/>
      <c r="AE53" s="20"/>
      <c r="AF53" s="20"/>
      <c r="AG53" s="20"/>
      <c r="AH53" s="280"/>
      <c r="AI53" s="128"/>
    </row>
    <row r="54" spans="1:35">
      <c r="A54" s="9" t="s">
        <v>282</v>
      </c>
      <c r="B54" s="37"/>
      <c r="C54" s="337"/>
      <c r="D54" s="337"/>
      <c r="E54" s="337"/>
      <c r="F54" s="337"/>
      <c r="G54" s="337"/>
      <c r="H54" s="285"/>
      <c r="I54" s="165"/>
      <c r="J54" s="165"/>
      <c r="K54" s="165"/>
      <c r="L54" s="165"/>
      <c r="M54" s="165"/>
      <c r="N54" s="186" t="s">
        <v>0</v>
      </c>
      <c r="O54" s="165"/>
      <c r="P54" s="165"/>
      <c r="Q54" s="165"/>
      <c r="R54" s="165"/>
      <c r="S54" s="165"/>
      <c r="T54" s="165"/>
      <c r="U54" s="165"/>
      <c r="V54" s="165"/>
      <c r="W54" s="165"/>
      <c r="X54" s="186"/>
      <c r="Y54" s="20"/>
      <c r="Z54" s="20"/>
      <c r="AA54" s="20"/>
      <c r="AB54" s="20"/>
      <c r="AC54" s="20"/>
      <c r="AD54" s="20"/>
      <c r="AE54" s="20"/>
      <c r="AF54" s="20"/>
      <c r="AG54" s="20"/>
      <c r="AH54" s="280"/>
      <c r="AI54" s="128"/>
    </row>
    <row r="55" spans="1:35">
      <c r="A55" s="20" t="s">
        <v>122</v>
      </c>
      <c r="B55" s="37"/>
      <c r="C55" s="337"/>
      <c r="D55" s="337"/>
      <c r="E55" s="337"/>
      <c r="F55" s="337"/>
      <c r="G55" s="337"/>
      <c r="H55" s="285"/>
      <c r="I55" s="165"/>
      <c r="J55" s="165"/>
      <c r="K55" s="165"/>
      <c r="L55" s="165"/>
      <c r="M55" s="165"/>
      <c r="N55" s="186"/>
      <c r="O55" s="165"/>
      <c r="P55" s="165"/>
      <c r="Q55" s="165"/>
      <c r="R55" s="165"/>
      <c r="S55" s="165"/>
      <c r="T55" s="165"/>
      <c r="U55" s="165"/>
      <c r="V55" s="165"/>
      <c r="W55" s="165"/>
      <c r="X55" s="186"/>
      <c r="Y55" s="20"/>
      <c r="Z55" s="20"/>
      <c r="AA55" s="20"/>
      <c r="AB55" s="20"/>
      <c r="AC55" s="20"/>
      <c r="AD55" s="20"/>
      <c r="AE55" s="20"/>
      <c r="AF55" s="20"/>
      <c r="AG55" s="20"/>
      <c r="AH55" s="280"/>
      <c r="AI55" s="128"/>
    </row>
    <row r="56" spans="1:35">
      <c r="A56" s="9" t="s">
        <v>49</v>
      </c>
      <c r="B56" s="37"/>
      <c r="C56" s="341">
        <f t="shared" ref="C56:M56" si="40">C31/C$49</f>
        <v>2.3065715811754463E-2</v>
      </c>
      <c r="D56" s="341">
        <f t="shared" si="40"/>
        <v>2.330752192324435E-2</v>
      </c>
      <c r="E56" s="341">
        <f t="shared" si="40"/>
        <v>2.3549328034734234E-2</v>
      </c>
      <c r="F56" s="341">
        <f t="shared" si="40"/>
        <v>2.3791134146224129E-2</v>
      </c>
      <c r="G56" s="341">
        <f t="shared" si="40"/>
        <v>2.4032940257714012E-2</v>
      </c>
      <c r="H56" s="402">
        <f t="shared" si="40"/>
        <v>2.7869516995039412E-2</v>
      </c>
      <c r="I56" s="174">
        <f t="shared" si="40"/>
        <v>2.7512194668890048E-2</v>
      </c>
      <c r="J56" s="174">
        <f t="shared" si="40"/>
        <v>2.7154872342740676E-2</v>
      </c>
      <c r="K56" s="174">
        <f t="shared" si="40"/>
        <v>2.6797550016591308E-2</v>
      </c>
      <c r="L56" s="174">
        <f t="shared" si="40"/>
        <v>2.644022769044194E-2</v>
      </c>
      <c r="M56" s="174">
        <f t="shared" si="40"/>
        <v>2.6082905364292572E-2</v>
      </c>
      <c r="N56" s="179">
        <f>N26</f>
        <v>2.5725583038143207E-2</v>
      </c>
      <c r="O56" s="116">
        <f t="shared" ref="O56:AH56" si="41">O31/O$49</f>
        <v>2.5456378787917063E-2</v>
      </c>
      <c r="P56" s="116">
        <f t="shared" si="41"/>
        <v>2.5187174537690919E-2</v>
      </c>
      <c r="Q56" s="116">
        <f t="shared" si="41"/>
        <v>2.4917970287464775E-2</v>
      </c>
      <c r="R56" s="116">
        <f t="shared" si="41"/>
        <v>2.4648766037238631E-2</v>
      </c>
      <c r="S56" s="116">
        <f t="shared" si="41"/>
        <v>2.4379561787012487E-2</v>
      </c>
      <c r="T56" s="116">
        <f t="shared" si="41"/>
        <v>2.4110357536786343E-2</v>
      </c>
      <c r="U56" s="116">
        <f t="shared" si="41"/>
        <v>2.38411532865602E-2</v>
      </c>
      <c r="V56" s="116">
        <f t="shared" si="41"/>
        <v>2.3571949036334056E-2</v>
      </c>
      <c r="W56" s="116">
        <f t="shared" si="41"/>
        <v>2.3302744786107912E-2</v>
      </c>
      <c r="X56" s="179">
        <f t="shared" si="41"/>
        <v>2.3033540535881782E-2</v>
      </c>
      <c r="Y56" s="174">
        <f t="shared" si="41"/>
        <v>2.2925959190392437E-2</v>
      </c>
      <c r="Z56" s="174">
        <f t="shared" si="41"/>
        <v>2.2818377844903093E-2</v>
      </c>
      <c r="AA56" s="174">
        <f t="shared" si="41"/>
        <v>2.2710796499413748E-2</v>
      </c>
      <c r="AB56" s="174">
        <f t="shared" si="41"/>
        <v>2.2603215153924404E-2</v>
      </c>
      <c r="AC56" s="174">
        <f t="shared" si="41"/>
        <v>2.2495633808435059E-2</v>
      </c>
      <c r="AD56" s="174">
        <f t="shared" si="41"/>
        <v>2.2388052462945715E-2</v>
      </c>
      <c r="AE56" s="174">
        <f t="shared" si="41"/>
        <v>2.2280471117456371E-2</v>
      </c>
      <c r="AF56" s="174">
        <f t="shared" si="41"/>
        <v>2.2172889771967026E-2</v>
      </c>
      <c r="AG56" s="174">
        <f t="shared" si="41"/>
        <v>2.2065308426477682E-2</v>
      </c>
      <c r="AH56" s="179">
        <f t="shared" si="41"/>
        <v>2.1957727080988334E-2</v>
      </c>
      <c r="AI56" s="128"/>
    </row>
    <row r="57" spans="1:35">
      <c r="A57" s="9" t="s">
        <v>59</v>
      </c>
      <c r="B57" s="37"/>
      <c r="C57" s="341">
        <f t="shared" ref="C57:M57" si="42">C32/C$49</f>
        <v>0.51581571086625388</v>
      </c>
      <c r="D57" s="341">
        <f t="shared" si="42"/>
        <v>0.51632104796427269</v>
      </c>
      <c r="E57" s="341">
        <f t="shared" si="42"/>
        <v>0.5168263850622915</v>
      </c>
      <c r="F57" s="341">
        <f t="shared" si="42"/>
        <v>0.51733172216031031</v>
      </c>
      <c r="G57" s="341">
        <f t="shared" si="42"/>
        <v>0.51783705925832912</v>
      </c>
      <c r="H57" s="402">
        <f t="shared" si="42"/>
        <v>0.50685704200199688</v>
      </c>
      <c r="I57" s="116">
        <f t="shared" si="42"/>
        <v>0.50927660482574078</v>
      </c>
      <c r="J57" s="116">
        <f t="shared" si="42"/>
        <v>0.51169616764948467</v>
      </c>
      <c r="K57" s="116">
        <f t="shared" si="42"/>
        <v>0.51411573047322856</v>
      </c>
      <c r="L57" s="116">
        <f t="shared" si="42"/>
        <v>0.51653529329697245</v>
      </c>
      <c r="M57" s="116">
        <f t="shared" si="42"/>
        <v>0.51895485612071635</v>
      </c>
      <c r="N57" s="179">
        <f>N18</f>
        <v>0.52137441894446035</v>
      </c>
      <c r="O57" s="116">
        <f t="shared" ref="O57:AH57" si="43">O32/O$49</f>
        <v>0.51591851890398588</v>
      </c>
      <c r="P57" s="116">
        <f t="shared" si="43"/>
        <v>0.51046261886351141</v>
      </c>
      <c r="Q57" s="116">
        <f t="shared" si="43"/>
        <v>0.50500671882303694</v>
      </c>
      <c r="R57" s="116">
        <f t="shared" si="43"/>
        <v>0.49955081878256247</v>
      </c>
      <c r="S57" s="116">
        <f t="shared" si="43"/>
        <v>0.494094918742088</v>
      </c>
      <c r="T57" s="116">
        <f t="shared" si="43"/>
        <v>0.48863901870161353</v>
      </c>
      <c r="U57" s="116">
        <f t="shared" si="43"/>
        <v>0.48318311866113905</v>
      </c>
      <c r="V57" s="116">
        <f t="shared" si="43"/>
        <v>0.47772721862066458</v>
      </c>
      <c r="W57" s="116">
        <f>W32/W$49</f>
        <v>0.47227131858019011</v>
      </c>
      <c r="X57" s="179">
        <f t="shared" si="43"/>
        <v>0.46681541853971587</v>
      </c>
      <c r="Y57" s="174">
        <f t="shared" si="43"/>
        <v>0.46463509238692835</v>
      </c>
      <c r="Z57" s="174">
        <f t="shared" si="43"/>
        <v>0.46245476623414083</v>
      </c>
      <c r="AA57" s="174">
        <f t="shared" si="43"/>
        <v>0.46027444008135332</v>
      </c>
      <c r="AB57" s="174">
        <f t="shared" si="43"/>
        <v>0.4580941139285658</v>
      </c>
      <c r="AC57" s="174">
        <f t="shared" si="43"/>
        <v>0.45591378777577829</v>
      </c>
      <c r="AD57" s="174">
        <f t="shared" si="43"/>
        <v>0.45373346162299077</v>
      </c>
      <c r="AE57" s="174">
        <f t="shared" si="43"/>
        <v>0.45155313547020326</v>
      </c>
      <c r="AF57" s="174">
        <f t="shared" si="43"/>
        <v>0.44937280931741574</v>
      </c>
      <c r="AG57" s="174">
        <f t="shared" si="43"/>
        <v>0.44719248316462823</v>
      </c>
      <c r="AH57" s="179">
        <f t="shared" si="43"/>
        <v>0.44501215701184077</v>
      </c>
      <c r="AI57" s="128"/>
    </row>
    <row r="58" spans="1:35">
      <c r="A58" s="9" t="s">
        <v>121</v>
      </c>
      <c r="B58" s="37"/>
      <c r="C58" s="341">
        <f>C34/C$49</f>
        <v>1.5934402880259539E-2</v>
      </c>
      <c r="D58" s="341">
        <f t="shared" ref="D58:G59" si="44">C58*($N71)</f>
        <v>1.8336129233803709E-2</v>
      </c>
      <c r="E58" s="341">
        <f t="shared" si="44"/>
        <v>2.1099857823682362E-2</v>
      </c>
      <c r="F58" s="341">
        <f t="shared" si="44"/>
        <v>2.4280151743196192E-2</v>
      </c>
      <c r="G58" s="341">
        <f t="shared" si="44"/>
        <v>2.7939798154040293E-2</v>
      </c>
      <c r="H58" s="402">
        <f>H34/H$49</f>
        <v>2.0846497844694837E-2</v>
      </c>
      <c r="I58" s="116">
        <f t="shared" ref="I58:N59" si="45">H58*($N71)</f>
        <v>2.3988603867050526E-2</v>
      </c>
      <c r="J58" s="116">
        <f t="shared" si="45"/>
        <v>2.760430647763297E-2</v>
      </c>
      <c r="K58" s="116">
        <f t="shared" si="45"/>
        <v>3.1764988922833033E-2</v>
      </c>
      <c r="L58" s="116">
        <f t="shared" si="45"/>
        <v>3.6552793749239185E-2</v>
      </c>
      <c r="M58" s="116">
        <f t="shared" si="45"/>
        <v>4.2062244508261445E-2</v>
      </c>
      <c r="N58" s="179">
        <f t="shared" si="45"/>
        <v>4.8402111893556567E-2</v>
      </c>
      <c r="O58" s="116">
        <f t="shared" ref="O58:W58" si="46">N58*$X71</f>
        <v>5.0058417357770106E-2</v>
      </c>
      <c r="P58" s="116">
        <f t="shared" si="46"/>
        <v>5.1771401088353854E-2</v>
      </c>
      <c r="Q58" s="116">
        <f t="shared" si="46"/>
        <v>5.3543002598246785E-2</v>
      </c>
      <c r="R58" s="116">
        <f t="shared" si="46"/>
        <v>5.5375227769927399E-2</v>
      </c>
      <c r="S58" s="116">
        <f t="shared" si="46"/>
        <v>5.7270151126559074E-2</v>
      </c>
      <c r="T58" s="116">
        <f t="shared" si="46"/>
        <v>5.9229918180853304E-2</v>
      </c>
      <c r="U58" s="116">
        <f t="shared" si="46"/>
        <v>6.1256747864310318E-2</v>
      </c>
      <c r="V58" s="116">
        <f t="shared" si="46"/>
        <v>6.3352935039587582E-2</v>
      </c>
      <c r="W58" s="116">
        <f t="shared" si="46"/>
        <v>6.5520853098840759E-2</v>
      </c>
      <c r="X58" s="179">
        <f t="shared" ref="X58:X66" si="47">X34/X$49</f>
        <v>6.7762956650979186E-2</v>
      </c>
      <c r="Y58" s="174">
        <f>X58*$AH71</f>
        <v>6.7762956650979186E-2</v>
      </c>
      <c r="Z58" s="174">
        <f t="shared" ref="Z58:AG58" si="48">Y58*$AH71</f>
        <v>6.7762956650979186E-2</v>
      </c>
      <c r="AA58" s="174">
        <f t="shared" si="48"/>
        <v>6.7762956650979186E-2</v>
      </c>
      <c r="AB58" s="174">
        <f t="shared" si="48"/>
        <v>6.7762956650979186E-2</v>
      </c>
      <c r="AC58" s="174">
        <f t="shared" si="48"/>
        <v>6.7762956650979186E-2</v>
      </c>
      <c r="AD58" s="174">
        <f t="shared" si="48"/>
        <v>6.7762956650979186E-2</v>
      </c>
      <c r="AE58" s="174">
        <f t="shared" si="48"/>
        <v>6.7762956650979186E-2</v>
      </c>
      <c r="AF58" s="174">
        <f t="shared" si="48"/>
        <v>6.7762956650979186E-2</v>
      </c>
      <c r="AG58" s="174">
        <f t="shared" si="48"/>
        <v>6.7762956650979186E-2</v>
      </c>
      <c r="AH58" s="179">
        <f t="shared" ref="AH58:AH66" si="49">AH34/AH$49</f>
        <v>6.7762956650979186E-2</v>
      </c>
      <c r="AI58" s="128"/>
    </row>
    <row r="59" spans="1:35">
      <c r="A59" s="9" t="s">
        <v>50</v>
      </c>
      <c r="B59" s="37"/>
      <c r="C59" s="341">
        <f t="shared" ref="C59:C65" si="50">C35/C$49</f>
        <v>0</v>
      </c>
      <c r="D59" s="341">
        <f t="shared" si="44"/>
        <v>0</v>
      </c>
      <c r="E59" s="341">
        <f t="shared" si="44"/>
        <v>0</v>
      </c>
      <c r="F59" s="341">
        <f t="shared" si="44"/>
        <v>0</v>
      </c>
      <c r="G59" s="341">
        <f t="shared" si="44"/>
        <v>0</v>
      </c>
      <c r="H59" s="402">
        <f>H35/H$49</f>
        <v>9.9163246222727212E-10</v>
      </c>
      <c r="I59" s="116">
        <f t="shared" si="45"/>
        <v>1.0052027086929172E-9</v>
      </c>
      <c r="J59" s="116">
        <f t="shared" si="45"/>
        <v>1.018958660645376E-9</v>
      </c>
      <c r="K59" s="116">
        <f t="shared" si="45"/>
        <v>1.0329028594185825E-9</v>
      </c>
      <c r="L59" s="116">
        <f t="shared" si="45"/>
        <v>1.0470378811240005E-9</v>
      </c>
      <c r="M59" s="116">
        <f t="shared" si="45"/>
        <v>1.061366337126546E-9</v>
      </c>
      <c r="N59" s="179">
        <f t="shared" si="45"/>
        <v>1.075890874527022E-9</v>
      </c>
      <c r="O59" s="116">
        <f t="shared" ref="O59:V59" si="51">N59*$X72</f>
        <v>1.112707531169928E-9</v>
      </c>
      <c r="P59" s="116">
        <f t="shared" si="51"/>
        <v>1.1507840425420208E-9</v>
      </c>
      <c r="Q59" s="116">
        <f t="shared" si="51"/>
        <v>1.1901635204867804E-9</v>
      </c>
      <c r="R59" s="116">
        <f t="shared" si="51"/>
        <v>1.2308905521217843E-9</v>
      </c>
      <c r="S59" s="116">
        <f t="shared" si="51"/>
        <v>1.2730112503221357E-9</v>
      </c>
      <c r="T59" s="116">
        <f t="shared" si="51"/>
        <v>1.3165733059314191E-9</v>
      </c>
      <c r="U59" s="116">
        <f t="shared" si="51"/>
        <v>1.3616260417592991E-9</v>
      </c>
      <c r="V59" s="116">
        <f t="shared" si="51"/>
        <v>1.4082204684269009E-9</v>
      </c>
      <c r="W59" s="116">
        <f>V59*$X72</f>
        <v>1.4564093421232019E-9</v>
      </c>
      <c r="X59" s="179">
        <f t="shared" si="47"/>
        <v>1.5062472243378303E-9</v>
      </c>
      <c r="Y59" s="174">
        <f>X59*$AH72</f>
        <v>1.5062472243378303E-9</v>
      </c>
      <c r="Z59" s="174">
        <f t="shared" ref="Z59:AG59" si="52">Y59*$AH72</f>
        <v>1.5062472243378303E-9</v>
      </c>
      <c r="AA59" s="174">
        <f t="shared" si="52"/>
        <v>1.5062472243378303E-9</v>
      </c>
      <c r="AB59" s="174">
        <f t="shared" si="52"/>
        <v>1.5062472243378303E-9</v>
      </c>
      <c r="AC59" s="174">
        <f t="shared" si="52"/>
        <v>1.5062472243378303E-9</v>
      </c>
      <c r="AD59" s="174">
        <f t="shared" si="52"/>
        <v>1.5062472243378303E-9</v>
      </c>
      <c r="AE59" s="174">
        <f t="shared" si="52"/>
        <v>1.5062472243378303E-9</v>
      </c>
      <c r="AF59" s="174">
        <f t="shared" si="52"/>
        <v>1.5062472243378303E-9</v>
      </c>
      <c r="AG59" s="174">
        <f t="shared" si="52"/>
        <v>1.5062472243378303E-9</v>
      </c>
      <c r="AH59" s="179">
        <f t="shared" si="49"/>
        <v>1.5062472243378303E-9</v>
      </c>
      <c r="AI59" s="128"/>
    </row>
    <row r="60" spans="1:35">
      <c r="A60" s="9" t="s">
        <v>119</v>
      </c>
      <c r="B60" s="37"/>
      <c r="C60" s="341">
        <f t="shared" si="50"/>
        <v>0</v>
      </c>
      <c r="D60" s="341">
        <v>0</v>
      </c>
      <c r="E60" s="341">
        <v>0</v>
      </c>
      <c r="F60" s="341">
        <v>0</v>
      </c>
      <c r="G60" s="341">
        <v>0</v>
      </c>
      <c r="H60" s="402">
        <f t="shared" ref="H60:H66" si="53">H36/H$49</f>
        <v>0</v>
      </c>
      <c r="I60" s="174">
        <v>0</v>
      </c>
      <c r="J60" s="174">
        <v>0</v>
      </c>
      <c r="K60" s="174">
        <v>0</v>
      </c>
      <c r="L60" s="174">
        <v>0</v>
      </c>
      <c r="M60" s="174">
        <v>0</v>
      </c>
      <c r="N60" s="179">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9">
        <f t="shared" si="47"/>
        <v>0</v>
      </c>
      <c r="Y60" s="174">
        <f t="shared" ref="Y60:AG66" si="55">X60*$AH73</f>
        <v>0</v>
      </c>
      <c r="Z60" s="174">
        <f t="shared" si="55"/>
        <v>0</v>
      </c>
      <c r="AA60" s="174">
        <f t="shared" si="55"/>
        <v>0</v>
      </c>
      <c r="AB60" s="174">
        <f t="shared" si="55"/>
        <v>0</v>
      </c>
      <c r="AC60" s="174">
        <f t="shared" si="55"/>
        <v>0</v>
      </c>
      <c r="AD60" s="174">
        <f t="shared" si="55"/>
        <v>0</v>
      </c>
      <c r="AE60" s="174">
        <f t="shared" si="55"/>
        <v>0</v>
      </c>
      <c r="AF60" s="174">
        <f t="shared" si="55"/>
        <v>0</v>
      </c>
      <c r="AG60" s="174">
        <f t="shared" si="55"/>
        <v>0</v>
      </c>
      <c r="AH60" s="179">
        <f t="shared" si="49"/>
        <v>0</v>
      </c>
      <c r="AI60" s="128"/>
    </row>
    <row r="61" spans="1:35">
      <c r="A61" s="9" t="s">
        <v>51</v>
      </c>
      <c r="B61" s="37"/>
      <c r="C61" s="341">
        <f t="shared" si="50"/>
        <v>1.3550671598979249E-3</v>
      </c>
      <c r="D61" s="341">
        <f t="shared" ref="D61:M61" si="56">C61*($N74)</f>
        <v>1.3761891011732229E-3</v>
      </c>
      <c r="E61" s="341">
        <f t="shared" si="56"/>
        <v>1.3976402780882294E-3</v>
      </c>
      <c r="F61" s="341">
        <f t="shared" si="56"/>
        <v>1.4194258225626408E-3</v>
      </c>
      <c r="G61" s="341">
        <f t="shared" si="56"/>
        <v>1.4415509465093151E-3</v>
      </c>
      <c r="H61" s="402">
        <f t="shared" si="53"/>
        <v>1.4531943184312502E-3</v>
      </c>
      <c r="I61" s="116">
        <f t="shared" si="56"/>
        <v>1.4758458046187049E-3</v>
      </c>
      <c r="J61" s="116">
        <f t="shared" si="56"/>
        <v>1.4988503680374652E-3</v>
      </c>
      <c r="K61" s="116">
        <f t="shared" si="56"/>
        <v>1.5222135122350789E-3</v>
      </c>
      <c r="L61" s="116">
        <f t="shared" si="56"/>
        <v>1.5459408265449588E-3</v>
      </c>
      <c r="M61" s="116">
        <f t="shared" si="56"/>
        <v>1.570037987423559E-3</v>
      </c>
      <c r="N61" s="179">
        <f>M61*($N74)</f>
        <v>1.5945107598083945E-3</v>
      </c>
      <c r="O61" s="116">
        <f t="shared" ref="O61:W61" si="57">N61*$X74</f>
        <v>1.6490744302950435E-3</v>
      </c>
      <c r="P61" s="116">
        <f t="shared" si="57"/>
        <v>1.7055052528963217E-3</v>
      </c>
      <c r="Q61" s="116">
        <f t="shared" si="57"/>
        <v>1.7638671209864851E-3</v>
      </c>
      <c r="R61" s="116">
        <f t="shared" si="57"/>
        <v>1.824226114351513E-3</v>
      </c>
      <c r="S61" s="116">
        <f t="shared" si="57"/>
        <v>1.8866505740074496E-3</v>
      </c>
      <c r="T61" s="116">
        <f t="shared" si="57"/>
        <v>1.951211179579004E-3</v>
      </c>
      <c r="U61" s="116">
        <f t="shared" si="57"/>
        <v>2.0179810293260245E-3</v>
      </c>
      <c r="V61" s="116">
        <f t="shared" si="57"/>
        <v>2.0870357229084528E-3</v>
      </c>
      <c r="W61" s="116">
        <f t="shared" si="57"/>
        <v>2.15845344698347E-3</v>
      </c>
      <c r="X61" s="179">
        <f t="shared" si="47"/>
        <v>2.2323150637317533E-3</v>
      </c>
      <c r="Y61" s="174">
        <f t="shared" si="55"/>
        <v>2.2323150637317533E-3</v>
      </c>
      <c r="Z61" s="174">
        <f t="shared" si="55"/>
        <v>2.2323150637317533E-3</v>
      </c>
      <c r="AA61" s="174">
        <f t="shared" si="55"/>
        <v>2.2323150637317533E-3</v>
      </c>
      <c r="AB61" s="174">
        <f t="shared" si="55"/>
        <v>2.2323150637317533E-3</v>
      </c>
      <c r="AC61" s="174">
        <f t="shared" si="55"/>
        <v>2.2323150637317533E-3</v>
      </c>
      <c r="AD61" s="174">
        <f t="shared" si="55"/>
        <v>2.2323150637317533E-3</v>
      </c>
      <c r="AE61" s="174">
        <f t="shared" si="55"/>
        <v>2.2323150637317533E-3</v>
      </c>
      <c r="AF61" s="174">
        <f t="shared" si="55"/>
        <v>2.2323150637317533E-3</v>
      </c>
      <c r="AG61" s="174">
        <f t="shared" si="55"/>
        <v>2.2323150637317533E-3</v>
      </c>
      <c r="AH61" s="179">
        <f t="shared" si="49"/>
        <v>2.2323150637317533E-3</v>
      </c>
      <c r="AI61" s="128"/>
    </row>
    <row r="62" spans="1:35">
      <c r="A62" s="9" t="s">
        <v>347</v>
      </c>
      <c r="B62" s="37"/>
      <c r="C62" s="344">
        <f t="shared" si="50"/>
        <v>0</v>
      </c>
      <c r="D62" s="344">
        <f t="shared" ref="D62:N62" si="58">C62*($N75)</f>
        <v>0</v>
      </c>
      <c r="E62" s="344">
        <f t="shared" si="58"/>
        <v>0</v>
      </c>
      <c r="F62" s="344">
        <f t="shared" si="58"/>
        <v>0</v>
      </c>
      <c r="G62" s="344">
        <f t="shared" si="58"/>
        <v>0</v>
      </c>
      <c r="H62" s="402">
        <f t="shared" si="53"/>
        <v>1.9832649244545441E-6</v>
      </c>
      <c r="I62" s="116">
        <f t="shared" si="58"/>
        <v>2.010405417385834E-6</v>
      </c>
      <c r="J62" s="116">
        <f t="shared" si="58"/>
        <v>2.0379173212907517E-6</v>
      </c>
      <c r="K62" s="116">
        <f t="shared" si="58"/>
        <v>2.0658057188371646E-6</v>
      </c>
      <c r="L62" s="116">
        <f t="shared" si="58"/>
        <v>2.0940757622480006E-6</v>
      </c>
      <c r="M62" s="116">
        <f t="shared" si="58"/>
        <v>2.1227326742530919E-6</v>
      </c>
      <c r="N62" s="179">
        <f t="shared" si="58"/>
        <v>2.1517817490540437E-6</v>
      </c>
      <c r="O62" s="116">
        <f t="shared" ref="O62:W62" si="59">N62*$X75</f>
        <v>2.225415062339856E-6</v>
      </c>
      <c r="P62" s="116">
        <f t="shared" si="59"/>
        <v>2.3015680850840416E-6</v>
      </c>
      <c r="Q62" s="116">
        <f t="shared" si="59"/>
        <v>2.3803270409735608E-6</v>
      </c>
      <c r="R62" s="116">
        <f t="shared" si="59"/>
        <v>2.4617811042435685E-6</v>
      </c>
      <c r="S62" s="116">
        <f t="shared" si="59"/>
        <v>2.5460225006442712E-6</v>
      </c>
      <c r="T62" s="116">
        <f t="shared" si="59"/>
        <v>2.6331466118628378E-6</v>
      </c>
      <c r="U62" s="116">
        <f t="shared" si="59"/>
        <v>2.7232520835185978E-6</v>
      </c>
      <c r="V62" s="116">
        <f t="shared" si="59"/>
        <v>2.8164409368538017E-6</v>
      </c>
      <c r="W62" s="116">
        <f t="shared" si="59"/>
        <v>2.9128186842464039E-6</v>
      </c>
      <c r="X62" s="179">
        <f t="shared" si="47"/>
        <v>3.012494448675661E-6</v>
      </c>
      <c r="Y62" s="174">
        <f t="shared" si="55"/>
        <v>3.012494448675661E-6</v>
      </c>
      <c r="Z62" s="174">
        <f t="shared" si="55"/>
        <v>3.012494448675661E-6</v>
      </c>
      <c r="AA62" s="174">
        <f t="shared" si="55"/>
        <v>3.012494448675661E-6</v>
      </c>
      <c r="AB62" s="174">
        <f t="shared" si="55"/>
        <v>3.012494448675661E-6</v>
      </c>
      <c r="AC62" s="174">
        <f t="shared" si="55"/>
        <v>3.012494448675661E-6</v>
      </c>
      <c r="AD62" s="174">
        <f t="shared" si="55"/>
        <v>3.012494448675661E-6</v>
      </c>
      <c r="AE62" s="174">
        <f t="shared" si="55"/>
        <v>3.012494448675661E-6</v>
      </c>
      <c r="AF62" s="174">
        <f t="shared" si="55"/>
        <v>3.012494448675661E-6</v>
      </c>
      <c r="AG62" s="174">
        <f t="shared" si="55"/>
        <v>3.012494448675661E-6</v>
      </c>
      <c r="AH62" s="179">
        <f t="shared" si="49"/>
        <v>3.012494448675661E-6</v>
      </c>
      <c r="AI62" s="128"/>
    </row>
    <row r="63" spans="1:35">
      <c r="A63" s="9" t="s">
        <v>348</v>
      </c>
      <c r="B63" s="37"/>
      <c r="C63" s="344">
        <f t="shared" si="50"/>
        <v>0</v>
      </c>
      <c r="D63" s="344">
        <f t="shared" ref="D63:N63" si="60">C63*($N76)</f>
        <v>0</v>
      </c>
      <c r="E63" s="344">
        <f t="shared" si="60"/>
        <v>0</v>
      </c>
      <c r="F63" s="344">
        <f t="shared" si="60"/>
        <v>0</v>
      </c>
      <c r="G63" s="344">
        <f t="shared" si="60"/>
        <v>0</v>
      </c>
      <c r="H63" s="402">
        <f t="shared" si="53"/>
        <v>9.9163246222727205E-7</v>
      </c>
      <c r="I63" s="116">
        <f t="shared" si="60"/>
        <v>1.005202708692917E-6</v>
      </c>
      <c r="J63" s="116">
        <f t="shared" si="60"/>
        <v>1.0189586606453759E-6</v>
      </c>
      <c r="K63" s="116">
        <f t="shared" si="60"/>
        <v>1.0329028594185823E-6</v>
      </c>
      <c r="L63" s="116">
        <f t="shared" si="60"/>
        <v>1.0470378811240003E-6</v>
      </c>
      <c r="M63" s="116">
        <f t="shared" si="60"/>
        <v>1.061366337126546E-6</v>
      </c>
      <c r="N63" s="179">
        <f t="shared" si="60"/>
        <v>1.0758908745270219E-6</v>
      </c>
      <c r="O63" s="116">
        <f t="shared" ref="O63:W63" si="61">N63*$X76</f>
        <v>1.112707531169928E-6</v>
      </c>
      <c r="P63" s="116">
        <f t="shared" si="61"/>
        <v>1.1507840425420208E-6</v>
      </c>
      <c r="Q63" s="116">
        <f t="shared" si="61"/>
        <v>1.1901635204867804E-6</v>
      </c>
      <c r="R63" s="116">
        <f t="shared" si="61"/>
        <v>1.2308905521217842E-6</v>
      </c>
      <c r="S63" s="116">
        <f t="shared" si="61"/>
        <v>1.2730112503221356E-6</v>
      </c>
      <c r="T63" s="116">
        <f t="shared" si="61"/>
        <v>1.3165733059314189E-6</v>
      </c>
      <c r="U63" s="116">
        <f t="shared" si="61"/>
        <v>1.3616260417592989E-6</v>
      </c>
      <c r="V63" s="116">
        <f t="shared" si="61"/>
        <v>1.4082204684269008E-6</v>
      </c>
      <c r="W63" s="116">
        <f t="shared" si="61"/>
        <v>1.4564093421232019E-6</v>
      </c>
      <c r="X63" s="179">
        <f t="shared" si="47"/>
        <v>1.5062472243378305E-6</v>
      </c>
      <c r="Y63" s="174">
        <f t="shared" si="55"/>
        <v>1.5062472243378305E-6</v>
      </c>
      <c r="Z63" s="174">
        <f t="shared" si="55"/>
        <v>1.5062472243378305E-6</v>
      </c>
      <c r="AA63" s="174">
        <f t="shared" si="55"/>
        <v>1.5062472243378305E-6</v>
      </c>
      <c r="AB63" s="174">
        <f t="shared" si="55"/>
        <v>1.5062472243378305E-6</v>
      </c>
      <c r="AC63" s="174">
        <f t="shared" si="55"/>
        <v>1.5062472243378305E-6</v>
      </c>
      <c r="AD63" s="174">
        <f t="shared" si="55"/>
        <v>1.5062472243378305E-6</v>
      </c>
      <c r="AE63" s="174">
        <f t="shared" si="55"/>
        <v>1.5062472243378305E-6</v>
      </c>
      <c r="AF63" s="174">
        <f t="shared" si="55"/>
        <v>1.5062472243378305E-6</v>
      </c>
      <c r="AG63" s="174">
        <f t="shared" si="55"/>
        <v>1.5062472243378305E-6</v>
      </c>
      <c r="AH63" s="179">
        <f t="shared" si="49"/>
        <v>1.5062472243378305E-6</v>
      </c>
      <c r="AI63" s="128"/>
    </row>
    <row r="64" spans="1:35">
      <c r="A64" s="9" t="s">
        <v>344</v>
      </c>
      <c r="B64" s="37"/>
      <c r="C64" s="341">
        <f t="shared" si="50"/>
        <v>9.8910011671381373E-8</v>
      </c>
      <c r="D64" s="341">
        <f t="shared" ref="D64:N64" si="62">C64*($N77)</f>
        <v>1.0026357086536513E-7</v>
      </c>
      <c r="E64" s="341">
        <f t="shared" si="62"/>
        <v>1.0163565318416363E-7</v>
      </c>
      <c r="F64" s="341">
        <f t="shared" si="62"/>
        <v>1.0302651211218631E-7</v>
      </c>
      <c r="G64" s="341">
        <f t="shared" si="62"/>
        <v>1.0443640460271443E-7</v>
      </c>
      <c r="H64" s="402">
        <f t="shared" si="53"/>
        <v>9.9163246222727199E-8</v>
      </c>
      <c r="I64" s="116">
        <f t="shared" si="62"/>
        <v>1.0052027086929169E-7</v>
      </c>
      <c r="J64" s="116">
        <f t="shared" si="62"/>
        <v>1.0189586606453758E-7</v>
      </c>
      <c r="K64" s="116">
        <f t="shared" si="62"/>
        <v>1.0329028594185823E-7</v>
      </c>
      <c r="L64" s="116">
        <f t="shared" si="62"/>
        <v>1.0470378811240004E-7</v>
      </c>
      <c r="M64" s="116">
        <f t="shared" si="62"/>
        <v>1.061366337126546E-7</v>
      </c>
      <c r="N64" s="179">
        <f t="shared" si="62"/>
        <v>1.0758908745270219E-7</v>
      </c>
      <c r="O64" s="116">
        <f t="shared" ref="O64:W64" si="63">N64*$X77</f>
        <v>1.1127075311699279E-7</v>
      </c>
      <c r="P64" s="116">
        <f t="shared" si="63"/>
        <v>1.1507840425420207E-7</v>
      </c>
      <c r="Q64" s="116">
        <f t="shared" si="63"/>
        <v>1.1901635204867802E-7</v>
      </c>
      <c r="R64" s="116">
        <f t="shared" si="63"/>
        <v>1.230890552121784E-7</v>
      </c>
      <c r="S64" s="116">
        <f t="shared" si="63"/>
        <v>1.2730112503221355E-7</v>
      </c>
      <c r="T64" s="116">
        <f t="shared" si="63"/>
        <v>1.3165733059314189E-7</v>
      </c>
      <c r="U64" s="116">
        <f t="shared" si="63"/>
        <v>1.361626041759299E-7</v>
      </c>
      <c r="V64" s="116">
        <f t="shared" si="63"/>
        <v>1.408220468426901E-7</v>
      </c>
      <c r="W64" s="116">
        <f t="shared" si="63"/>
        <v>1.4564093421232022E-7</v>
      </c>
      <c r="X64" s="179">
        <f t="shared" si="47"/>
        <v>1.50624722433783E-7</v>
      </c>
      <c r="Y64" s="174">
        <f t="shared" si="55"/>
        <v>1.50624722433783E-7</v>
      </c>
      <c r="Z64" s="174">
        <f t="shared" si="55"/>
        <v>1.50624722433783E-7</v>
      </c>
      <c r="AA64" s="174">
        <f t="shared" si="55"/>
        <v>1.50624722433783E-7</v>
      </c>
      <c r="AB64" s="174">
        <f t="shared" si="55"/>
        <v>1.50624722433783E-7</v>
      </c>
      <c r="AC64" s="174">
        <f t="shared" si="55"/>
        <v>1.50624722433783E-7</v>
      </c>
      <c r="AD64" s="174">
        <f t="shared" si="55"/>
        <v>1.50624722433783E-7</v>
      </c>
      <c r="AE64" s="174">
        <f t="shared" si="55"/>
        <v>1.50624722433783E-7</v>
      </c>
      <c r="AF64" s="174">
        <f t="shared" si="55"/>
        <v>1.50624722433783E-7</v>
      </c>
      <c r="AG64" s="174">
        <f t="shared" si="55"/>
        <v>1.50624722433783E-7</v>
      </c>
      <c r="AH64" s="179">
        <f t="shared" si="49"/>
        <v>1.50624722433783E-7</v>
      </c>
      <c r="AI64" s="128"/>
    </row>
    <row r="65" spans="1:35">
      <c r="A65" s="9" t="s">
        <v>120</v>
      </c>
      <c r="B65" s="37"/>
      <c r="C65" s="341">
        <f t="shared" si="50"/>
        <v>0</v>
      </c>
      <c r="D65" s="341">
        <v>0</v>
      </c>
      <c r="E65" s="341">
        <v>0</v>
      </c>
      <c r="F65" s="341">
        <v>0</v>
      </c>
      <c r="G65" s="341">
        <v>0</v>
      </c>
      <c r="H65" s="402">
        <f t="shared" si="53"/>
        <v>9.91632462227272E-6</v>
      </c>
      <c r="I65" s="174">
        <v>0</v>
      </c>
      <c r="J65" s="174">
        <v>0</v>
      </c>
      <c r="K65" s="174">
        <v>0</v>
      </c>
      <c r="L65" s="174">
        <v>0</v>
      </c>
      <c r="M65" s="174">
        <v>0</v>
      </c>
      <c r="N65" s="179">
        <v>0</v>
      </c>
      <c r="O65" s="116">
        <f t="shared" ref="O65:AG65" si="64">O41/O$49</f>
        <v>6.7943398587399126E-5</v>
      </c>
      <c r="P65" s="116">
        <f t="shared" si="64"/>
        <v>7.5187913272230651E-5</v>
      </c>
      <c r="Q65" s="116">
        <f t="shared" si="64"/>
        <v>8.3023914647148325E-5</v>
      </c>
      <c r="R65" s="116">
        <f t="shared" si="64"/>
        <v>9.0060077971339388E-5</v>
      </c>
      <c r="S65" s="116">
        <f t="shared" si="64"/>
        <v>9.7441234330125092E-5</v>
      </c>
      <c r="T65" s="116">
        <f t="shared" si="64"/>
        <v>1.051468653721206E-4</v>
      </c>
      <c r="U65" s="116">
        <f t="shared" si="64"/>
        <v>1.1107859621962528E-4</v>
      </c>
      <c r="V65" s="116">
        <f t="shared" si="64"/>
        <v>1.1832218797575142E-4</v>
      </c>
      <c r="W65" s="116">
        <f t="shared" si="64"/>
        <v>1.2469806332990555E-4</v>
      </c>
      <c r="X65" s="179">
        <f t="shared" si="47"/>
        <v>1.313197399995977E-4</v>
      </c>
      <c r="Y65" s="174">
        <f t="shared" si="64"/>
        <v>1.3918263177274898E-4</v>
      </c>
      <c r="Z65" s="174">
        <f t="shared" si="64"/>
        <v>1.4647940201636749E-4</v>
      </c>
      <c r="AA65" s="174">
        <f t="shared" si="64"/>
        <v>1.5330554217535288E-4</v>
      </c>
      <c r="AB65" s="174">
        <f t="shared" si="64"/>
        <v>1.5943702086669147E-4</v>
      </c>
      <c r="AC65" s="174">
        <f t="shared" si="64"/>
        <v>1.6667449209208752E-4</v>
      </c>
      <c r="AD65" s="174">
        <f t="shared" si="64"/>
        <v>1.7313817854565123E-4</v>
      </c>
      <c r="AE65" s="174">
        <f t="shared" si="64"/>
        <v>1.7968989418876987E-4</v>
      </c>
      <c r="AF65" s="174">
        <f t="shared" si="64"/>
        <v>1.8652564074332723E-4</v>
      </c>
      <c r="AG65" s="174">
        <f t="shared" si="64"/>
        <v>1.9106592951683937E-4</v>
      </c>
      <c r="AH65" s="179">
        <f t="shared" si="49"/>
        <v>1.9628106278829176E-4</v>
      </c>
      <c r="AI65" s="128"/>
    </row>
    <row r="66" spans="1:35">
      <c r="A66" s="9" t="s">
        <v>53</v>
      </c>
      <c r="B66" s="37"/>
      <c r="C66" s="341">
        <f>C42/C$49</f>
        <v>0</v>
      </c>
      <c r="D66" s="341">
        <f t="shared" ref="D66:N66" si="65">C66*($N79)</f>
        <v>0</v>
      </c>
      <c r="E66" s="341">
        <f t="shared" si="65"/>
        <v>0</v>
      </c>
      <c r="F66" s="341">
        <f t="shared" si="65"/>
        <v>0</v>
      </c>
      <c r="G66" s="341">
        <f t="shared" si="65"/>
        <v>0</v>
      </c>
      <c r="H66" s="402">
        <f t="shared" si="53"/>
        <v>5.9497947733636321E-14</v>
      </c>
      <c r="I66" s="116">
        <f t="shared" si="65"/>
        <v>5.5919709922108427E-13</v>
      </c>
      <c r="J66" s="116">
        <f t="shared" si="65"/>
        <v>5.2556669211044715E-12</v>
      </c>
      <c r="K66" s="116">
        <f t="shared" si="65"/>
        <v>4.9395883533850561E-11</v>
      </c>
      <c r="L66" s="116">
        <f t="shared" si="65"/>
        <v>4.6425189166610586E-10</v>
      </c>
      <c r="M66" s="116">
        <f t="shared" si="65"/>
        <v>4.3633153918151301E-9</v>
      </c>
      <c r="N66" s="179">
        <f t="shared" si="65"/>
        <v>4.1009033135277985E-8</v>
      </c>
      <c r="O66" s="116">
        <f t="shared" ref="O66:W66" si="66">N66*$X79</f>
        <v>4.2412349705708814E-8</v>
      </c>
      <c r="P66" s="116">
        <f t="shared" si="66"/>
        <v>4.386368733994648E-8</v>
      </c>
      <c r="Q66" s="116">
        <f t="shared" si="66"/>
        <v>4.5364689304106215E-8</v>
      </c>
      <c r="R66" s="116">
        <f t="shared" si="66"/>
        <v>4.6917055096367094E-8</v>
      </c>
      <c r="S66" s="116">
        <f t="shared" si="66"/>
        <v>4.8522542371216057E-8</v>
      </c>
      <c r="T66" s="116">
        <f t="shared" si="66"/>
        <v>5.0182968929538962E-8</v>
      </c>
      <c r="U66" s="116">
        <f t="shared" si="66"/>
        <v>5.1900214776811974E-8</v>
      </c>
      <c r="V66" s="116">
        <f t="shared" si="66"/>
        <v>5.3676224251723616E-8</v>
      </c>
      <c r="W66" s="116">
        <f t="shared" si="66"/>
        <v>5.5513008227637615E-8</v>
      </c>
      <c r="X66" s="179">
        <f t="shared" si="47"/>
        <v>5.7412646389389237E-8</v>
      </c>
      <c r="Y66" s="174">
        <f t="shared" si="55"/>
        <v>5.7412646389389237E-8</v>
      </c>
      <c r="Z66" s="174">
        <f t="shared" si="55"/>
        <v>5.7412646389389237E-8</v>
      </c>
      <c r="AA66" s="174">
        <f t="shared" si="55"/>
        <v>5.7412646389389237E-8</v>
      </c>
      <c r="AB66" s="174">
        <f t="shared" si="55"/>
        <v>5.7412646389389237E-8</v>
      </c>
      <c r="AC66" s="174">
        <f t="shared" si="55"/>
        <v>5.7412646389389237E-8</v>
      </c>
      <c r="AD66" s="174">
        <f t="shared" si="55"/>
        <v>5.7412646389389237E-8</v>
      </c>
      <c r="AE66" s="174">
        <f t="shared" si="55"/>
        <v>5.7412646389389237E-8</v>
      </c>
      <c r="AF66" s="174">
        <f t="shared" si="55"/>
        <v>5.7412646389389237E-8</v>
      </c>
      <c r="AG66" s="174">
        <f t="shared" si="55"/>
        <v>5.7412646389389237E-8</v>
      </c>
      <c r="AH66" s="179">
        <f t="shared" si="49"/>
        <v>5.7412646389389231E-8</v>
      </c>
      <c r="AI66" s="128"/>
    </row>
    <row r="67" spans="1:35" s="1" customFormat="1">
      <c r="A67" s="11" t="s">
        <v>540</v>
      </c>
      <c r="B67" s="36"/>
      <c r="C67" s="345">
        <f t="shared" ref="C67:AG67" si="67">SUM(C58:C66)</f>
        <v>1.7289568950169136E-2</v>
      </c>
      <c r="D67" s="345">
        <f t="shared" si="67"/>
        <v>1.9712418598547797E-2</v>
      </c>
      <c r="E67" s="345">
        <f t="shared" si="67"/>
        <v>2.2497599737423775E-2</v>
      </c>
      <c r="F67" s="345">
        <f t="shared" si="67"/>
        <v>2.5699680592270947E-2</v>
      </c>
      <c r="G67" s="345">
        <f t="shared" si="67"/>
        <v>2.9381453536954212E-2</v>
      </c>
      <c r="H67" s="409">
        <f t="shared" si="67"/>
        <v>2.2312683540073226E-2</v>
      </c>
      <c r="I67" s="85">
        <f t="shared" si="67"/>
        <v>2.5467566805828089E-2</v>
      </c>
      <c r="J67" s="85">
        <f t="shared" si="67"/>
        <v>2.9106316641732764E-2</v>
      </c>
      <c r="K67" s="85">
        <f t="shared" si="67"/>
        <v>3.3290405516231053E-2</v>
      </c>
      <c r="L67" s="85">
        <f t="shared" si="67"/>
        <v>3.8101981904505401E-2</v>
      </c>
      <c r="M67" s="85">
        <f t="shared" si="67"/>
        <v>4.3635578156011816E-2</v>
      </c>
      <c r="N67" s="184">
        <f>SUM(N58:N66)</f>
        <v>5.000000000000001E-2</v>
      </c>
      <c r="O67" s="85">
        <f t="shared" si="67"/>
        <v>5.1778928105056417E-2</v>
      </c>
      <c r="P67" s="85">
        <f t="shared" si="67"/>
        <v>5.3555706699525682E-2</v>
      </c>
      <c r="Q67" s="85">
        <f t="shared" si="67"/>
        <v>5.5393629695646762E-2</v>
      </c>
      <c r="R67" s="85">
        <f t="shared" si="67"/>
        <v>5.7293377870907478E-2</v>
      </c>
      <c r="S67" s="85">
        <f t="shared" si="67"/>
        <v>5.9258239065326276E-2</v>
      </c>
      <c r="T67" s="85">
        <f t="shared" si="67"/>
        <v>6.1290409102595055E-2</v>
      </c>
      <c r="U67" s="85">
        <f t="shared" si="67"/>
        <v>6.3390081792426251E-2</v>
      </c>
      <c r="V67" s="85">
        <f t="shared" si="67"/>
        <v>6.5562713518368648E-2</v>
      </c>
      <c r="W67" s="85">
        <f t="shared" si="67"/>
        <v>6.7808576447532298E-2</v>
      </c>
      <c r="X67" s="184">
        <f t="shared" si="67"/>
        <v>7.0131319739999587E-2</v>
      </c>
      <c r="Y67" s="85">
        <f t="shared" si="67"/>
        <v>7.013918263177274E-2</v>
      </c>
      <c r="Z67" s="85">
        <f t="shared" si="67"/>
        <v>7.0146479402016362E-2</v>
      </c>
      <c r="AA67" s="85">
        <f t="shared" si="67"/>
        <v>7.0153305542175345E-2</v>
      </c>
      <c r="AB67" s="85">
        <f t="shared" si="67"/>
        <v>7.0159437020866688E-2</v>
      </c>
      <c r="AC67" s="85">
        <f t="shared" si="67"/>
        <v>7.0166674492092074E-2</v>
      </c>
      <c r="AD67" s="85">
        <f t="shared" si="67"/>
        <v>7.0173138178545647E-2</v>
      </c>
      <c r="AE67" s="85">
        <f t="shared" si="67"/>
        <v>7.0179689894188768E-2</v>
      </c>
      <c r="AF67" s="85">
        <f t="shared" si="67"/>
        <v>7.0186525640743319E-2</v>
      </c>
      <c r="AG67" s="85">
        <f t="shared" si="67"/>
        <v>7.0191065929516835E-2</v>
      </c>
      <c r="AH67" s="184">
        <f>SUM(AH58:AH66)</f>
        <v>7.0196281062788288E-2</v>
      </c>
      <c r="AI67" s="197"/>
    </row>
    <row r="68" spans="1:35" s="253" customFormat="1">
      <c r="A68" s="10" t="s">
        <v>548</v>
      </c>
      <c r="B68" s="37"/>
      <c r="C68" s="337"/>
      <c r="D68" s="337">
        <f>D67/C67-1</f>
        <v>0.14013360630109628</v>
      </c>
      <c r="E68" s="337">
        <f t="shared" ref="E68:W68" si="68">E67/D67-1</f>
        <v>0.14129068561283287</v>
      </c>
      <c r="F68" s="337">
        <f t="shared" si="68"/>
        <v>0.14232988817561054</v>
      </c>
      <c r="G68" s="337">
        <f t="shared" si="68"/>
        <v>0.14326142815138887</v>
      </c>
      <c r="H68" s="285"/>
      <c r="I68" s="285">
        <f t="shared" si="68"/>
        <v>0.1413941653449593</v>
      </c>
      <c r="J68" s="285">
        <f t="shared" si="68"/>
        <v>0.14287779683263535</v>
      </c>
      <c r="K68" s="285">
        <f t="shared" si="68"/>
        <v>0.14375191907653218</v>
      </c>
      <c r="L68" s="285">
        <f t="shared" si="68"/>
        <v>0.14453342678353431</v>
      </c>
      <c r="M68" s="285">
        <f t="shared" si="68"/>
        <v>0.14523119205124835</v>
      </c>
      <c r="N68" s="284">
        <f t="shared" si="68"/>
        <v>0.14585395938225565</v>
      </c>
      <c r="O68" s="285">
        <f t="shared" si="68"/>
        <v>3.5578562101128197E-2</v>
      </c>
      <c r="P68" s="285">
        <f t="shared" si="68"/>
        <v>3.4314704060004697E-2</v>
      </c>
      <c r="Q68" s="285">
        <f t="shared" si="68"/>
        <v>3.431796739108961E-2</v>
      </c>
      <c r="R68" s="285">
        <f t="shared" si="68"/>
        <v>3.4295426851402189E-2</v>
      </c>
      <c r="S68" s="285">
        <f t="shared" si="68"/>
        <v>3.4294734704698238E-2</v>
      </c>
      <c r="T68" s="285">
        <f t="shared" si="68"/>
        <v>3.4293459767316348E-2</v>
      </c>
      <c r="U68" s="285">
        <f t="shared" si="68"/>
        <v>3.4257769210130684E-2</v>
      </c>
      <c r="V68" s="285">
        <f t="shared" si="68"/>
        <v>3.4274000987359221E-2</v>
      </c>
      <c r="W68" s="285">
        <f t="shared" si="68"/>
        <v>3.4255185739596072E-2</v>
      </c>
      <c r="X68" s="285">
        <f>X67/W67-1</f>
        <v>3.4254417570092066E-2</v>
      </c>
      <c r="Y68" s="290">
        <f t="shared" ref="Y68:AG68" si="69">Y67/X67-1</f>
        <v>1.1211669482769082E-4</v>
      </c>
      <c r="Z68" s="290">
        <f t="shared" si="69"/>
        <v>1.040327242183281E-4</v>
      </c>
      <c r="AA68" s="290">
        <f t="shared" si="69"/>
        <v>9.7312655134906834E-5</v>
      </c>
      <c r="AB68" s="290">
        <f t="shared" si="69"/>
        <v>8.7401137322862255E-5</v>
      </c>
      <c r="AC68" s="290">
        <f t="shared" si="69"/>
        <v>1.0315748718503492E-4</v>
      </c>
      <c r="AD68" s="290">
        <f t="shared" si="69"/>
        <v>9.2119036570581514E-5</v>
      </c>
      <c r="AE68" s="290">
        <f t="shared" si="69"/>
        <v>9.3365008508650149E-5</v>
      </c>
      <c r="AF68" s="290">
        <f t="shared" si="69"/>
        <v>9.7403487602454319E-5</v>
      </c>
      <c r="AG68" s="290">
        <f t="shared" si="69"/>
        <v>6.4688894799491692E-5</v>
      </c>
      <c r="AH68" s="284">
        <f>AH67/AG67-1</f>
        <v>7.429910348832891E-5</v>
      </c>
      <c r="AI68" s="297"/>
    </row>
    <row r="69" spans="1:35">
      <c r="A69" s="10"/>
      <c r="B69" s="37"/>
      <c r="C69" s="337"/>
      <c r="D69" s="337"/>
      <c r="E69" s="337"/>
      <c r="F69" s="337"/>
      <c r="G69" s="337"/>
      <c r="H69" s="285"/>
      <c r="I69" s="165"/>
      <c r="J69" s="165"/>
      <c r="K69" s="165"/>
      <c r="L69" s="165"/>
      <c r="M69" s="165"/>
      <c r="N69" s="186"/>
      <c r="O69" s="165"/>
      <c r="P69" s="165"/>
      <c r="Q69" s="165"/>
      <c r="R69" s="165"/>
      <c r="S69" s="165"/>
      <c r="T69" s="165"/>
      <c r="U69" s="165"/>
      <c r="V69" s="165"/>
      <c r="W69" s="165"/>
      <c r="X69" s="186"/>
      <c r="Y69" s="20"/>
      <c r="Z69" s="20"/>
      <c r="AA69" s="20"/>
      <c r="AB69" s="20"/>
      <c r="AC69" s="20"/>
      <c r="AD69" s="20"/>
      <c r="AE69" s="20"/>
      <c r="AF69" s="20"/>
      <c r="AG69" s="20"/>
      <c r="AH69" s="280"/>
      <c r="AI69" s="128"/>
    </row>
    <row r="70" spans="1:35">
      <c r="A70" s="11" t="s">
        <v>545</v>
      </c>
      <c r="B70" s="37"/>
      <c r="C70" s="337"/>
      <c r="D70" s="337"/>
      <c r="E70" s="337"/>
      <c r="F70" s="337"/>
      <c r="G70" s="337"/>
      <c r="H70" s="285"/>
      <c r="I70" s="165"/>
      <c r="J70" s="165"/>
      <c r="K70" s="165"/>
      <c r="L70" s="165"/>
      <c r="M70" s="165"/>
      <c r="N70" s="200" t="s">
        <v>711</v>
      </c>
      <c r="O70" s="165"/>
      <c r="P70" s="165"/>
      <c r="Q70" s="165"/>
      <c r="R70" s="165"/>
      <c r="S70" s="165"/>
      <c r="T70" s="165"/>
      <c r="U70" s="165"/>
      <c r="V70" s="165"/>
      <c r="W70" s="165"/>
      <c r="X70" s="200" t="s">
        <v>546</v>
      </c>
      <c r="Y70" s="20"/>
      <c r="Z70" s="20"/>
      <c r="AA70" s="20"/>
      <c r="AB70" s="20"/>
      <c r="AC70" s="20"/>
      <c r="AD70" s="20"/>
      <c r="AE70" s="20"/>
      <c r="AF70" s="20"/>
      <c r="AG70" s="20"/>
      <c r="AH70" s="280" t="s">
        <v>708</v>
      </c>
      <c r="AI70" s="128"/>
    </row>
    <row r="71" spans="1:35">
      <c r="A71" s="9" t="s">
        <v>121</v>
      </c>
      <c r="B71" s="37"/>
      <c r="C71" s="337"/>
      <c r="D71" s="337"/>
      <c r="E71" s="337"/>
      <c r="F71" s="337"/>
      <c r="G71" s="337"/>
      <c r="H71" s="285"/>
      <c r="I71" s="165"/>
      <c r="J71" s="165"/>
      <c r="K71" s="401"/>
      <c r="L71" s="401"/>
      <c r="M71" s="165"/>
      <c r="N71" s="187">
        <f>(N86/H86)^(1/6)</f>
        <v>1.1507258459317335</v>
      </c>
      <c r="O71" s="165"/>
      <c r="P71" s="165"/>
      <c r="Q71" s="165"/>
      <c r="R71" s="165"/>
      <c r="S71" s="165"/>
      <c r="T71" s="165"/>
      <c r="U71" s="165"/>
      <c r="V71" s="165"/>
      <c r="W71" s="165"/>
      <c r="X71" s="187">
        <f>(X86/N86)^(1/10)</f>
        <v>1.0342196941293802</v>
      </c>
      <c r="Y71" s="20"/>
      <c r="Z71" s="20"/>
      <c r="AA71" s="20"/>
      <c r="AB71" s="20"/>
      <c r="AC71" s="20"/>
      <c r="AD71" s="20"/>
      <c r="AE71" s="20"/>
      <c r="AF71" s="20"/>
      <c r="AG71" s="20"/>
      <c r="AH71" s="187">
        <f>(AH86/X86)^(1/10)</f>
        <v>1</v>
      </c>
      <c r="AI71" s="128"/>
    </row>
    <row r="72" spans="1:35">
      <c r="A72" s="9" t="s">
        <v>50</v>
      </c>
      <c r="B72" s="37"/>
      <c r="C72" s="337"/>
      <c r="D72" s="337"/>
      <c r="E72" s="337"/>
      <c r="F72" s="337"/>
      <c r="G72" s="337"/>
      <c r="H72" s="285"/>
      <c r="I72" s="165"/>
      <c r="J72" s="165"/>
      <c r="K72" s="401"/>
      <c r="L72" s="401"/>
      <c r="M72" s="165"/>
      <c r="N72" s="187">
        <f>(N87/H87)^(1/6)</f>
        <v>1.0136847541630145</v>
      </c>
      <c r="O72" s="165"/>
      <c r="P72" s="165"/>
      <c r="Q72" s="165"/>
      <c r="R72" s="165"/>
      <c r="S72" s="165"/>
      <c r="T72" s="165"/>
      <c r="U72" s="165"/>
      <c r="V72" s="165"/>
      <c r="W72" s="165"/>
      <c r="X72" s="187">
        <f>(X87/N87)^(1/10)</f>
        <v>1.0342196941293802</v>
      </c>
      <c r="Y72" s="20"/>
      <c r="Z72" s="20"/>
      <c r="AA72" s="20"/>
      <c r="AB72" s="20"/>
      <c r="AC72" s="20"/>
      <c r="AD72" s="20"/>
      <c r="AE72" s="20"/>
      <c r="AF72" s="20"/>
      <c r="AG72" s="20"/>
      <c r="AH72" s="187">
        <f>(AH87/X87)^(1/10)</f>
        <v>1</v>
      </c>
      <c r="AI72" s="128"/>
    </row>
    <row r="73" spans="1:35">
      <c r="A73" s="9" t="s">
        <v>119</v>
      </c>
      <c r="B73" s="37"/>
      <c r="C73" s="337"/>
      <c r="D73" s="337"/>
      <c r="E73" s="337"/>
      <c r="F73" s="337"/>
      <c r="G73" s="337"/>
      <c r="H73" s="285"/>
      <c r="I73" s="165"/>
      <c r="J73" s="165"/>
      <c r="K73" s="401"/>
      <c r="L73" s="401"/>
      <c r="M73" s="165"/>
      <c r="N73" s="187"/>
      <c r="O73" s="165"/>
      <c r="P73" s="165"/>
      <c r="Q73" s="165"/>
      <c r="R73" s="165"/>
      <c r="S73" s="165"/>
      <c r="T73" s="165"/>
      <c r="U73" s="165"/>
      <c r="V73" s="165"/>
      <c r="W73" s="165"/>
      <c r="X73" s="187"/>
      <c r="AH73" s="187"/>
      <c r="AI73" s="128"/>
    </row>
    <row r="74" spans="1:35">
      <c r="A74" s="9" t="s">
        <v>51</v>
      </c>
      <c r="B74" s="37"/>
      <c r="C74" s="337"/>
      <c r="D74" s="337"/>
      <c r="E74" s="337"/>
      <c r="F74" s="337"/>
      <c r="G74" s="337"/>
      <c r="H74" s="285"/>
      <c r="I74" s="165"/>
      <c r="J74" s="165"/>
      <c r="K74" s="401"/>
      <c r="L74" s="401"/>
      <c r="M74" s="165"/>
      <c r="N74" s="180">
        <f>(N89/H89)^(1/6)</f>
        <v>1.0155873759621545</v>
      </c>
      <c r="O74" s="165"/>
      <c r="P74" s="165"/>
      <c r="Q74" s="165"/>
      <c r="R74" s="165"/>
      <c r="S74" s="165"/>
      <c r="T74" s="165"/>
      <c r="U74" s="165"/>
      <c r="V74" s="165"/>
      <c r="W74" s="165"/>
      <c r="X74" s="187">
        <f>(X89/N89)^(1/10)</f>
        <v>1.0342196941293802</v>
      </c>
      <c r="AH74" s="187">
        <f>(AH89/X89)^(1/10)</f>
        <v>1</v>
      </c>
      <c r="AI74" s="128"/>
    </row>
    <row r="75" spans="1:35">
      <c r="A75" s="9" t="s">
        <v>347</v>
      </c>
      <c r="B75" s="37"/>
      <c r="C75" s="337"/>
      <c r="D75" s="337"/>
      <c r="E75" s="337"/>
      <c r="F75" s="337"/>
      <c r="G75" s="337"/>
      <c r="H75" s="285"/>
      <c r="I75" s="165"/>
      <c r="J75" s="165"/>
      <c r="K75" s="401"/>
      <c r="L75" s="401"/>
      <c r="M75" s="165"/>
      <c r="N75" s="180">
        <f>(N90/H90)^(1/6)</f>
        <v>1.0136847541630145</v>
      </c>
      <c r="O75" s="165"/>
      <c r="P75" s="165"/>
      <c r="Q75" s="165"/>
      <c r="R75" s="165"/>
      <c r="S75" s="165"/>
      <c r="T75" s="165"/>
      <c r="U75" s="165"/>
      <c r="V75" s="165"/>
      <c r="W75" s="165"/>
      <c r="X75" s="187">
        <f>(X90/N90)^(1/10)</f>
        <v>1.0342196941293802</v>
      </c>
      <c r="AH75" s="187">
        <f>(AH90/X90)^(1/10)</f>
        <v>1</v>
      </c>
      <c r="AI75" s="128"/>
    </row>
    <row r="76" spans="1:35">
      <c r="A76" s="9" t="s">
        <v>348</v>
      </c>
      <c r="B76" s="37"/>
      <c r="C76" s="337"/>
      <c r="D76" s="337"/>
      <c r="E76" s="337"/>
      <c r="F76" s="337"/>
      <c r="G76" s="337"/>
      <c r="H76" s="285"/>
      <c r="I76" s="165"/>
      <c r="J76" s="165"/>
      <c r="K76" s="401"/>
      <c r="L76" s="401"/>
      <c r="M76" s="165"/>
      <c r="N76" s="180">
        <f>(N91/H91)^(1/6)</f>
        <v>1.0136847541630145</v>
      </c>
      <c r="O76" s="165"/>
      <c r="P76" s="165"/>
      <c r="Q76" s="165"/>
      <c r="R76" s="165"/>
      <c r="S76" s="165"/>
      <c r="T76" s="165"/>
      <c r="U76" s="165"/>
      <c r="V76" s="165"/>
      <c r="W76" s="165"/>
      <c r="X76" s="187">
        <f>(X91/N91)^(1/10)</f>
        <v>1.0342196941293802</v>
      </c>
      <c r="AH76" s="187">
        <f>(AH91/X91)^(1/10)</f>
        <v>1</v>
      </c>
      <c r="AI76" s="128"/>
    </row>
    <row r="77" spans="1:35">
      <c r="A77" s="9" t="s">
        <v>344</v>
      </c>
      <c r="B77" s="37"/>
      <c r="C77" s="337"/>
      <c r="D77" s="337"/>
      <c r="E77" s="337"/>
      <c r="F77" s="337"/>
      <c r="G77" s="337"/>
      <c r="H77" s="285"/>
      <c r="I77" s="165"/>
      <c r="J77" s="165"/>
      <c r="K77" s="401"/>
      <c r="L77" s="401"/>
      <c r="M77" s="165"/>
      <c r="N77" s="180">
        <f>(N92/H92)^(1/6)</f>
        <v>1.0136847541630145</v>
      </c>
      <c r="O77" s="165"/>
      <c r="P77" s="165"/>
      <c r="Q77" s="165"/>
      <c r="R77" s="165"/>
      <c r="S77" s="165"/>
      <c r="T77" s="165"/>
      <c r="U77" s="165"/>
      <c r="V77" s="165"/>
      <c r="W77" s="165"/>
      <c r="X77" s="187">
        <f>(X92/N92)^(1/10)</f>
        <v>1.0342196941293802</v>
      </c>
      <c r="AH77" s="187">
        <f>(AH92/X92)^(1/10)</f>
        <v>1</v>
      </c>
      <c r="AI77" s="128"/>
    </row>
    <row r="78" spans="1:35">
      <c r="A78" s="9" t="s">
        <v>120</v>
      </c>
      <c r="B78" s="37"/>
      <c r="C78" s="337"/>
      <c r="D78" s="337"/>
      <c r="E78" s="337"/>
      <c r="F78" s="337"/>
      <c r="G78" s="337"/>
      <c r="H78" s="285"/>
      <c r="I78" s="165"/>
      <c r="J78" s="165"/>
      <c r="K78" s="401"/>
      <c r="L78" s="401"/>
      <c r="M78" s="165"/>
      <c r="N78" s="187">
        <f t="shared" ref="N78:N79" si="70">(N93/H93)^(1/6)</f>
        <v>1.3513634296850732</v>
      </c>
      <c r="O78" s="165"/>
      <c r="P78" s="165"/>
      <c r="Q78" s="165"/>
      <c r="R78" s="165"/>
      <c r="S78" s="165"/>
      <c r="T78" s="165"/>
      <c r="U78" s="165"/>
      <c r="V78" s="165"/>
      <c r="W78" s="165"/>
      <c r="X78" s="187">
        <f t="shared" ref="X78:X79" si="71">(X93/N93)^(1/10)</f>
        <v>1.0807733587132786</v>
      </c>
      <c r="AH78" s="187">
        <f t="shared" ref="AH78:AH79" si="72">(AH93/X93)^(1/10)</f>
        <v>1.041009849655562</v>
      </c>
      <c r="AI78" s="128"/>
    </row>
    <row r="79" spans="1:35">
      <c r="A79" s="9" t="s">
        <v>53</v>
      </c>
      <c r="B79" s="37"/>
      <c r="C79" s="337"/>
      <c r="D79" s="337"/>
      <c r="E79" s="337"/>
      <c r="F79" s="337"/>
      <c r="G79" s="337"/>
      <c r="H79" s="285"/>
      <c r="I79" s="165"/>
      <c r="J79" s="165"/>
      <c r="K79" s="401"/>
      <c r="L79" s="401"/>
      <c r="M79" s="165"/>
      <c r="N79" s="187">
        <f t="shared" si="70"/>
        <v>9.3985947502681704</v>
      </c>
      <c r="O79" s="165"/>
      <c r="P79" s="165"/>
      <c r="Q79" s="165"/>
      <c r="R79" s="165"/>
      <c r="S79" s="165"/>
      <c r="T79" s="165"/>
      <c r="U79" s="165"/>
      <c r="V79" s="165"/>
      <c r="W79" s="165"/>
      <c r="X79" s="187">
        <f t="shared" si="71"/>
        <v>1.0342196941293802</v>
      </c>
      <c r="AH79" s="187">
        <f t="shared" si="72"/>
        <v>1</v>
      </c>
      <c r="AI79" s="128"/>
    </row>
    <row r="80" spans="1:35">
      <c r="A80" s="10"/>
      <c r="B80" s="37"/>
      <c r="C80" s="337"/>
      <c r="D80" s="337"/>
      <c r="E80" s="337"/>
      <c r="F80" s="337"/>
      <c r="G80" s="337"/>
      <c r="H80" s="285"/>
      <c r="I80" s="165"/>
      <c r="J80" s="165"/>
      <c r="K80" s="165"/>
      <c r="L80" s="165"/>
      <c r="M80" s="165"/>
      <c r="N80" s="181"/>
      <c r="O80" s="165"/>
      <c r="P80" s="165"/>
      <c r="Q80" s="165"/>
      <c r="R80" s="165"/>
      <c r="S80" s="165"/>
      <c r="T80" s="165"/>
      <c r="U80" s="165"/>
      <c r="V80" s="165"/>
      <c r="W80" s="165"/>
      <c r="X80" s="186"/>
      <c r="AI80" s="128"/>
    </row>
    <row r="81" spans="1:35">
      <c r="A81" s="1" t="s">
        <v>547</v>
      </c>
      <c r="B81" s="37"/>
      <c r="C81" s="337"/>
      <c r="D81" s="337"/>
      <c r="E81" s="337"/>
      <c r="F81" s="337"/>
      <c r="G81" s="337"/>
      <c r="H81" s="285"/>
      <c r="I81" s="165"/>
      <c r="J81" s="165"/>
      <c r="K81" s="165"/>
      <c r="L81" s="165"/>
      <c r="M81" s="165"/>
      <c r="N81" s="185" t="s">
        <v>0</v>
      </c>
      <c r="O81" s="165"/>
      <c r="P81" s="165"/>
      <c r="Q81" s="165"/>
      <c r="R81" s="165"/>
      <c r="S81" s="165"/>
      <c r="T81" s="165"/>
      <c r="U81" s="165"/>
      <c r="V81" s="165"/>
      <c r="W81" s="165"/>
      <c r="X81" s="186"/>
      <c r="AI81" s="128"/>
    </row>
    <row r="82" spans="1:35">
      <c r="A82" s="9" t="s">
        <v>282</v>
      </c>
      <c r="B82" s="37"/>
      <c r="C82" s="337"/>
      <c r="D82" s="337"/>
      <c r="E82" s="337"/>
      <c r="F82" s="337"/>
      <c r="G82" s="337"/>
      <c r="H82" s="285"/>
      <c r="I82" s="165"/>
      <c r="J82" s="165"/>
      <c r="K82" s="165"/>
      <c r="L82" s="165"/>
      <c r="M82" s="165"/>
      <c r="N82" s="186" t="s">
        <v>0</v>
      </c>
      <c r="O82" s="165"/>
      <c r="P82" s="165"/>
      <c r="Q82" s="165"/>
      <c r="R82" s="165"/>
      <c r="S82" s="165"/>
      <c r="T82" s="165"/>
      <c r="U82" s="165"/>
      <c r="V82" s="165"/>
      <c r="W82" s="165"/>
      <c r="X82" s="186"/>
      <c r="AI82" s="128"/>
    </row>
    <row r="83" spans="1:35">
      <c r="A83" s="20" t="s">
        <v>122</v>
      </c>
      <c r="B83" s="37"/>
      <c r="C83" s="337"/>
      <c r="D83" s="337"/>
      <c r="E83" s="337"/>
      <c r="F83" s="337"/>
      <c r="G83" s="337"/>
      <c r="H83" s="285"/>
      <c r="I83" s="165"/>
      <c r="J83" s="165"/>
      <c r="K83" s="165"/>
      <c r="L83" s="165"/>
      <c r="M83" s="165"/>
      <c r="N83" s="181"/>
      <c r="O83" s="165"/>
      <c r="P83" s="165"/>
      <c r="Q83" s="165"/>
      <c r="R83" s="165"/>
      <c r="S83" s="165"/>
      <c r="T83" s="165"/>
      <c r="U83" s="165"/>
      <c r="V83" s="165"/>
      <c r="W83" s="165"/>
      <c r="X83" s="186"/>
      <c r="AI83" s="128"/>
    </row>
    <row r="84" spans="1:35">
      <c r="A84" s="9" t="s">
        <v>49</v>
      </c>
      <c r="B84" s="37"/>
      <c r="C84" s="341">
        <f t="shared" ref="C84:AH84" si="73">C31/C$49</f>
        <v>2.3065715811754463E-2</v>
      </c>
      <c r="D84" s="341">
        <f t="shared" si="73"/>
        <v>2.330752192324435E-2</v>
      </c>
      <c r="E84" s="341">
        <f t="shared" si="73"/>
        <v>2.3549328034734234E-2</v>
      </c>
      <c r="F84" s="341">
        <f t="shared" si="73"/>
        <v>2.3791134146224129E-2</v>
      </c>
      <c r="G84" s="341">
        <f t="shared" si="73"/>
        <v>2.4032940257714012E-2</v>
      </c>
      <c r="H84" s="402">
        <f t="shared" si="73"/>
        <v>2.7869516995039412E-2</v>
      </c>
      <c r="I84" s="116">
        <f t="shared" si="73"/>
        <v>2.7512194668890048E-2</v>
      </c>
      <c r="J84" s="116">
        <f t="shared" si="73"/>
        <v>2.7154872342740676E-2</v>
      </c>
      <c r="K84" s="116">
        <f t="shared" si="73"/>
        <v>2.6797550016591308E-2</v>
      </c>
      <c r="L84" s="116">
        <f t="shared" si="73"/>
        <v>2.644022769044194E-2</v>
      </c>
      <c r="M84" s="116">
        <f t="shared" si="73"/>
        <v>2.6082905364292572E-2</v>
      </c>
      <c r="N84" s="179">
        <f t="shared" si="73"/>
        <v>2.5725583038143207E-2</v>
      </c>
      <c r="O84" s="116">
        <f t="shared" si="73"/>
        <v>2.5456378787917063E-2</v>
      </c>
      <c r="P84" s="116">
        <f t="shared" si="73"/>
        <v>2.5187174537690919E-2</v>
      </c>
      <c r="Q84" s="116">
        <f t="shared" si="73"/>
        <v>2.4917970287464775E-2</v>
      </c>
      <c r="R84" s="116">
        <f t="shared" si="73"/>
        <v>2.4648766037238631E-2</v>
      </c>
      <c r="S84" s="116">
        <f t="shared" si="73"/>
        <v>2.4379561787012487E-2</v>
      </c>
      <c r="T84" s="116">
        <f t="shared" si="73"/>
        <v>2.4110357536786343E-2</v>
      </c>
      <c r="U84" s="116">
        <f t="shared" si="73"/>
        <v>2.38411532865602E-2</v>
      </c>
      <c r="V84" s="116">
        <f t="shared" si="73"/>
        <v>2.3571949036334056E-2</v>
      </c>
      <c r="W84" s="116">
        <f t="shared" si="73"/>
        <v>2.3302744786107912E-2</v>
      </c>
      <c r="X84" s="179">
        <f t="shared" si="73"/>
        <v>2.3033540535881782E-2</v>
      </c>
      <c r="Y84" s="174">
        <f t="shared" si="73"/>
        <v>2.2925959190392437E-2</v>
      </c>
      <c r="Z84" s="174">
        <f t="shared" si="73"/>
        <v>2.2818377844903093E-2</v>
      </c>
      <c r="AA84" s="174">
        <f t="shared" si="73"/>
        <v>2.2710796499413748E-2</v>
      </c>
      <c r="AB84" s="174">
        <f t="shared" si="73"/>
        <v>2.2603215153924404E-2</v>
      </c>
      <c r="AC84" s="174">
        <f t="shared" si="73"/>
        <v>2.2495633808435059E-2</v>
      </c>
      <c r="AD84" s="174">
        <f t="shared" si="73"/>
        <v>2.2388052462945715E-2</v>
      </c>
      <c r="AE84" s="174">
        <f t="shared" si="73"/>
        <v>2.2280471117456371E-2</v>
      </c>
      <c r="AF84" s="174">
        <f t="shared" si="73"/>
        <v>2.2172889771967026E-2</v>
      </c>
      <c r="AG84" s="174">
        <f t="shared" si="73"/>
        <v>2.2065308426477682E-2</v>
      </c>
      <c r="AH84" s="179">
        <f t="shared" si="73"/>
        <v>2.1957727080988334E-2</v>
      </c>
      <c r="AI84" s="128"/>
    </row>
    <row r="85" spans="1:35">
      <c r="A85" s="9" t="s">
        <v>59</v>
      </c>
      <c r="B85" s="37"/>
      <c r="C85" s="341">
        <f t="shared" ref="C85:AH85" si="74">C32/C$49</f>
        <v>0.51581571086625388</v>
      </c>
      <c r="D85" s="341">
        <f t="shared" si="74"/>
        <v>0.51632104796427269</v>
      </c>
      <c r="E85" s="341">
        <f t="shared" si="74"/>
        <v>0.5168263850622915</v>
      </c>
      <c r="F85" s="341">
        <f t="shared" si="74"/>
        <v>0.51733172216031031</v>
      </c>
      <c r="G85" s="341">
        <f t="shared" si="74"/>
        <v>0.51783705925832912</v>
      </c>
      <c r="H85" s="402">
        <f t="shared" si="74"/>
        <v>0.50685704200199688</v>
      </c>
      <c r="I85" s="116">
        <f t="shared" si="74"/>
        <v>0.50927660482574078</v>
      </c>
      <c r="J85" s="116">
        <f t="shared" si="74"/>
        <v>0.51169616764948467</v>
      </c>
      <c r="K85" s="116">
        <f t="shared" si="74"/>
        <v>0.51411573047322856</v>
      </c>
      <c r="L85" s="116">
        <f t="shared" si="74"/>
        <v>0.51653529329697245</v>
      </c>
      <c r="M85" s="116">
        <f t="shared" si="74"/>
        <v>0.51895485612071635</v>
      </c>
      <c r="N85" s="179">
        <f t="shared" si="74"/>
        <v>0.52137441894446035</v>
      </c>
      <c r="O85" s="116">
        <f t="shared" si="74"/>
        <v>0.51591851890398588</v>
      </c>
      <c r="P85" s="116">
        <f t="shared" si="74"/>
        <v>0.51046261886351141</v>
      </c>
      <c r="Q85" s="116">
        <f t="shared" si="74"/>
        <v>0.50500671882303694</v>
      </c>
      <c r="R85" s="116">
        <f t="shared" si="74"/>
        <v>0.49955081878256247</v>
      </c>
      <c r="S85" s="116">
        <f t="shared" si="74"/>
        <v>0.494094918742088</v>
      </c>
      <c r="T85" s="116">
        <f t="shared" si="74"/>
        <v>0.48863901870161353</v>
      </c>
      <c r="U85" s="116">
        <f t="shared" si="74"/>
        <v>0.48318311866113905</v>
      </c>
      <c r="V85" s="116">
        <f t="shared" si="74"/>
        <v>0.47772721862066458</v>
      </c>
      <c r="W85" s="116">
        <f t="shared" si="74"/>
        <v>0.47227131858019011</v>
      </c>
      <c r="X85" s="179">
        <f t="shared" si="74"/>
        <v>0.46681541853971587</v>
      </c>
      <c r="Y85" s="174">
        <f t="shared" si="74"/>
        <v>0.46463509238692835</v>
      </c>
      <c r="Z85" s="174">
        <f t="shared" si="74"/>
        <v>0.46245476623414083</v>
      </c>
      <c r="AA85" s="174">
        <f t="shared" si="74"/>
        <v>0.46027444008135332</v>
      </c>
      <c r="AB85" s="174">
        <f t="shared" si="74"/>
        <v>0.4580941139285658</v>
      </c>
      <c r="AC85" s="174">
        <f t="shared" si="74"/>
        <v>0.45591378777577829</v>
      </c>
      <c r="AD85" s="174">
        <f t="shared" si="74"/>
        <v>0.45373346162299077</v>
      </c>
      <c r="AE85" s="174">
        <f t="shared" si="74"/>
        <v>0.45155313547020326</v>
      </c>
      <c r="AF85" s="174">
        <f t="shared" si="74"/>
        <v>0.44937280931741574</v>
      </c>
      <c r="AG85" s="174">
        <f t="shared" si="74"/>
        <v>0.44719248316462823</v>
      </c>
      <c r="AH85" s="179">
        <f t="shared" si="74"/>
        <v>0.44501215701184077</v>
      </c>
      <c r="AI85" s="128"/>
    </row>
    <row r="86" spans="1:35" s="253" customFormat="1">
      <c r="A86" s="10" t="s">
        <v>121</v>
      </c>
      <c r="B86" s="37"/>
      <c r="C86" s="416">
        <f t="shared" ref="C86:AH86" si="75">C34/C$49</f>
        <v>1.5934402880259539E-2</v>
      </c>
      <c r="D86" s="341">
        <f t="shared" si="75"/>
        <v>1.8336129233803709E-2</v>
      </c>
      <c r="E86" s="341">
        <f t="shared" si="75"/>
        <v>2.1099857823682362E-2</v>
      </c>
      <c r="F86" s="341">
        <f t="shared" si="75"/>
        <v>2.4280151743196192E-2</v>
      </c>
      <c r="G86" s="341">
        <f t="shared" si="75"/>
        <v>2.7939798154040293E-2</v>
      </c>
      <c r="H86" s="415">
        <f t="shared" si="75"/>
        <v>2.0846497844694837E-2</v>
      </c>
      <c r="I86" s="402">
        <f t="shared" si="75"/>
        <v>2.3988603867050526E-2</v>
      </c>
      <c r="J86" s="402">
        <f t="shared" si="75"/>
        <v>3.241143664722413E-2</v>
      </c>
      <c r="K86" s="402">
        <f t="shared" si="75"/>
        <v>3.1764988922833033E-2</v>
      </c>
      <c r="L86" s="402">
        <f t="shared" si="75"/>
        <v>3.6552793749239185E-2</v>
      </c>
      <c r="M86" s="402">
        <f t="shared" si="75"/>
        <v>4.2062244508261445E-2</v>
      </c>
      <c r="N86" s="403">
        <f>N34/N$49</f>
        <v>4.840211189355656E-2</v>
      </c>
      <c r="O86" s="402">
        <f t="shared" si="75"/>
        <v>5.1037155216358786E-2</v>
      </c>
      <c r="P86" s="402">
        <f t="shared" si="75"/>
        <v>5.1771401088353854E-2</v>
      </c>
      <c r="Q86" s="402">
        <f t="shared" si="75"/>
        <v>5.3543002598246785E-2</v>
      </c>
      <c r="R86" s="402">
        <f t="shared" si="75"/>
        <v>5.5375227769927399E-2</v>
      </c>
      <c r="S86" s="402">
        <f t="shared" si="75"/>
        <v>5.7270151126559074E-2</v>
      </c>
      <c r="T86" s="402">
        <f t="shared" si="75"/>
        <v>5.9229918180853304E-2</v>
      </c>
      <c r="U86" s="402">
        <f t="shared" si="75"/>
        <v>6.1256747864310318E-2</v>
      </c>
      <c r="V86" s="402">
        <f t="shared" si="75"/>
        <v>6.3352935039587582E-2</v>
      </c>
      <c r="W86" s="402">
        <f t="shared" si="75"/>
        <v>6.5520853098840759E-2</v>
      </c>
      <c r="X86" s="403">
        <f t="shared" si="75"/>
        <v>6.7762956650979186E-2</v>
      </c>
      <c r="Y86" s="402">
        <f>Y34/Y$49</f>
        <v>6.7762956650979186E-2</v>
      </c>
      <c r="Z86" s="402">
        <f t="shared" si="75"/>
        <v>6.7762956650979186E-2</v>
      </c>
      <c r="AA86" s="402">
        <f t="shared" si="75"/>
        <v>6.7762956650979186E-2</v>
      </c>
      <c r="AB86" s="402">
        <f t="shared" si="75"/>
        <v>6.7762956650979186E-2</v>
      </c>
      <c r="AC86" s="402">
        <f t="shared" si="75"/>
        <v>6.7762956650979186E-2</v>
      </c>
      <c r="AD86" s="402">
        <f t="shared" si="75"/>
        <v>6.7762956650979186E-2</v>
      </c>
      <c r="AE86" s="402">
        <f t="shared" si="75"/>
        <v>6.7762956650979186E-2</v>
      </c>
      <c r="AF86" s="402">
        <f t="shared" si="75"/>
        <v>6.7762956650979186E-2</v>
      </c>
      <c r="AG86" s="402">
        <f t="shared" si="75"/>
        <v>6.7762956650979186E-2</v>
      </c>
      <c r="AH86" s="403">
        <f t="shared" si="75"/>
        <v>6.7762956650979186E-2</v>
      </c>
      <c r="AI86" s="297"/>
    </row>
    <row r="87" spans="1:35">
      <c r="A87" s="9" t="s">
        <v>50</v>
      </c>
      <c r="B87" s="37"/>
      <c r="C87" s="416">
        <f t="shared" ref="C87:AH87" si="76">C35/C$49</f>
        <v>0</v>
      </c>
      <c r="D87" s="341">
        <f t="shared" si="76"/>
        <v>0</v>
      </c>
      <c r="E87" s="341">
        <f t="shared" si="76"/>
        <v>9.9113485027664845E-10</v>
      </c>
      <c r="F87" s="341">
        <f t="shared" si="76"/>
        <v>9.9749750559759257E-10</v>
      </c>
      <c r="G87" s="341">
        <f t="shared" si="76"/>
        <v>1.0137979965924189E-9</v>
      </c>
      <c r="H87" s="415">
        <f t="shared" si="76"/>
        <v>9.9163246222727212E-10</v>
      </c>
      <c r="I87" s="116">
        <f t="shared" si="76"/>
        <v>1.0052027086929172E-9</v>
      </c>
      <c r="J87" s="116">
        <f>J35/J$49</f>
        <v>1.018958660645376E-9</v>
      </c>
      <c r="K87" s="116">
        <f t="shared" si="76"/>
        <v>1.0329028594185825E-9</v>
      </c>
      <c r="L87" s="116">
        <f t="shared" si="76"/>
        <v>1.0470378811240005E-9</v>
      </c>
      <c r="M87" s="116">
        <f t="shared" si="76"/>
        <v>1.061366337126546E-9</v>
      </c>
      <c r="N87" s="179">
        <f t="shared" si="76"/>
        <v>1.0758908745270214E-9</v>
      </c>
      <c r="O87" s="116">
        <f t="shared" si="76"/>
        <v>1.112707531169928E-9</v>
      </c>
      <c r="P87" s="116">
        <f t="shared" si="76"/>
        <v>1.1507840425420208E-9</v>
      </c>
      <c r="Q87" s="116">
        <f t="shared" si="76"/>
        <v>1.1901635204867804E-9</v>
      </c>
      <c r="R87" s="116">
        <f t="shared" si="76"/>
        <v>1.2308905521217843E-9</v>
      </c>
      <c r="S87" s="116">
        <f t="shared" si="76"/>
        <v>1.2730112503221357E-9</v>
      </c>
      <c r="T87" s="116">
        <f t="shared" si="76"/>
        <v>1.3165733059314191E-9</v>
      </c>
      <c r="U87" s="116">
        <f t="shared" si="76"/>
        <v>1.3616260417592991E-9</v>
      </c>
      <c r="V87" s="116">
        <f t="shared" si="76"/>
        <v>1.4082204684269009E-9</v>
      </c>
      <c r="W87" s="116">
        <f t="shared" si="76"/>
        <v>1.4564093421232019E-9</v>
      </c>
      <c r="X87" s="179">
        <f t="shared" si="76"/>
        <v>1.5062472243378303E-9</v>
      </c>
      <c r="Y87" s="174">
        <f t="shared" si="76"/>
        <v>1.5062472243378303E-9</v>
      </c>
      <c r="Z87" s="174">
        <f t="shared" si="76"/>
        <v>1.5062472243378303E-9</v>
      </c>
      <c r="AA87" s="174">
        <f t="shared" si="76"/>
        <v>1.5062472243378303E-9</v>
      </c>
      <c r="AB87" s="174">
        <f t="shared" si="76"/>
        <v>1.5062472243378303E-9</v>
      </c>
      <c r="AC87" s="174">
        <f t="shared" si="76"/>
        <v>1.5062472243378303E-9</v>
      </c>
      <c r="AD87" s="174">
        <f t="shared" si="76"/>
        <v>1.5062472243378303E-9</v>
      </c>
      <c r="AE87" s="174">
        <f t="shared" si="76"/>
        <v>1.5062472243378303E-9</v>
      </c>
      <c r="AF87" s="174">
        <f t="shared" si="76"/>
        <v>1.5062472243378303E-9</v>
      </c>
      <c r="AG87" s="174">
        <f t="shared" si="76"/>
        <v>1.5062472243378303E-9</v>
      </c>
      <c r="AH87" s="179">
        <f t="shared" si="76"/>
        <v>1.5062472243378303E-9</v>
      </c>
      <c r="AI87" s="128"/>
    </row>
    <row r="88" spans="1:35">
      <c r="A88" s="9" t="s">
        <v>119</v>
      </c>
      <c r="B88" s="37"/>
      <c r="C88" s="416">
        <f t="shared" ref="C88:AH88" si="77">C36/C$49</f>
        <v>0</v>
      </c>
      <c r="D88" s="341">
        <f t="shared" si="77"/>
        <v>0</v>
      </c>
      <c r="E88" s="341">
        <f t="shared" si="77"/>
        <v>0</v>
      </c>
      <c r="F88" s="341">
        <f t="shared" si="77"/>
        <v>0</v>
      </c>
      <c r="G88" s="341">
        <f t="shared" si="77"/>
        <v>0</v>
      </c>
      <c r="H88" s="415">
        <f t="shared" si="77"/>
        <v>0</v>
      </c>
      <c r="I88" s="116">
        <f t="shared" si="77"/>
        <v>0</v>
      </c>
      <c r="J88" s="116">
        <f t="shared" si="77"/>
        <v>0</v>
      </c>
      <c r="K88" s="116">
        <f t="shared" si="77"/>
        <v>0</v>
      </c>
      <c r="L88" s="116">
        <f t="shared" si="77"/>
        <v>0</v>
      </c>
      <c r="M88" s="116">
        <f t="shared" si="77"/>
        <v>0</v>
      </c>
      <c r="N88" s="179">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9">
        <f t="shared" si="77"/>
        <v>0</v>
      </c>
      <c r="Y88" s="174">
        <f t="shared" si="77"/>
        <v>0</v>
      </c>
      <c r="Z88" s="174">
        <f t="shared" si="77"/>
        <v>0</v>
      </c>
      <c r="AA88" s="174">
        <f t="shared" si="77"/>
        <v>0</v>
      </c>
      <c r="AB88" s="174">
        <f t="shared" si="77"/>
        <v>0</v>
      </c>
      <c r="AC88" s="174">
        <f t="shared" si="77"/>
        <v>0</v>
      </c>
      <c r="AD88" s="174">
        <f t="shared" si="77"/>
        <v>0</v>
      </c>
      <c r="AE88" s="174">
        <f t="shared" si="77"/>
        <v>0</v>
      </c>
      <c r="AF88" s="174">
        <f t="shared" si="77"/>
        <v>0</v>
      </c>
      <c r="AG88" s="174">
        <f t="shared" si="77"/>
        <v>0</v>
      </c>
      <c r="AH88" s="179">
        <f t="shared" si="77"/>
        <v>0</v>
      </c>
      <c r="AI88" s="128"/>
    </row>
    <row r="89" spans="1:35">
      <c r="A89" s="9" t="s">
        <v>51</v>
      </c>
      <c r="B89" s="37"/>
      <c r="C89" s="416">
        <f t="shared" ref="C89:AH89" si="78">C37/C$49</f>
        <v>1.3550671598979249E-3</v>
      </c>
      <c r="D89" s="341">
        <f t="shared" si="78"/>
        <v>1.3761891011732229E-3</v>
      </c>
      <c r="E89" s="341">
        <f t="shared" si="78"/>
        <v>1.5809347601159762E-3</v>
      </c>
      <c r="F89" s="341">
        <f t="shared" si="78"/>
        <v>1.8802364988101477E-3</v>
      </c>
      <c r="G89" s="341">
        <f t="shared" si="78"/>
        <v>1.4415509465093151E-3</v>
      </c>
      <c r="H89" s="415">
        <f t="shared" si="78"/>
        <v>1.4531943184312502E-3</v>
      </c>
      <c r="I89" s="116">
        <f t="shared" si="78"/>
        <v>1.4758458046187049E-3</v>
      </c>
      <c r="J89" s="116">
        <f t="shared" si="78"/>
        <v>1.4988503680374652E-3</v>
      </c>
      <c r="K89" s="116">
        <f t="shared" si="78"/>
        <v>1.5222135122350789E-3</v>
      </c>
      <c r="L89" s="116">
        <f t="shared" si="78"/>
        <v>1.5459408265449588E-3</v>
      </c>
      <c r="M89" s="116">
        <f t="shared" si="78"/>
        <v>1.570037987423559E-3</v>
      </c>
      <c r="N89" s="179">
        <f t="shared" si="78"/>
        <v>1.5945107598083947E-3</v>
      </c>
      <c r="O89" s="116">
        <f t="shared" si="78"/>
        <v>1.6490744302950435E-3</v>
      </c>
      <c r="P89" s="116">
        <f t="shared" si="78"/>
        <v>1.7055052528963217E-3</v>
      </c>
      <c r="Q89" s="116">
        <f t="shared" si="78"/>
        <v>1.7638671209864851E-3</v>
      </c>
      <c r="R89" s="116">
        <f t="shared" si="78"/>
        <v>1.824226114351513E-3</v>
      </c>
      <c r="S89" s="116">
        <f t="shared" si="78"/>
        <v>1.8866505740074496E-3</v>
      </c>
      <c r="T89" s="116">
        <f t="shared" si="78"/>
        <v>1.951211179579004E-3</v>
      </c>
      <c r="U89" s="116">
        <f t="shared" si="78"/>
        <v>2.0179810293260245E-3</v>
      </c>
      <c r="V89" s="116">
        <f t="shared" si="78"/>
        <v>2.0870357229084528E-3</v>
      </c>
      <c r="W89" s="116">
        <f t="shared" si="78"/>
        <v>2.15845344698347E-3</v>
      </c>
      <c r="X89" s="179">
        <f t="shared" si="78"/>
        <v>2.2323150637317533E-3</v>
      </c>
      <c r="Y89" s="174">
        <f t="shared" si="78"/>
        <v>2.2323150637317533E-3</v>
      </c>
      <c r="Z89" s="174">
        <f t="shared" si="78"/>
        <v>2.2323150637317533E-3</v>
      </c>
      <c r="AA89" s="174">
        <f t="shared" si="78"/>
        <v>2.2323150637317533E-3</v>
      </c>
      <c r="AB89" s="174">
        <f t="shared" si="78"/>
        <v>2.2323150637317533E-3</v>
      </c>
      <c r="AC89" s="174">
        <f t="shared" si="78"/>
        <v>2.2323150637317533E-3</v>
      </c>
      <c r="AD89" s="174">
        <f t="shared" si="78"/>
        <v>2.2323150637317533E-3</v>
      </c>
      <c r="AE89" s="174">
        <f t="shared" si="78"/>
        <v>2.2323150637317533E-3</v>
      </c>
      <c r="AF89" s="174">
        <f t="shared" si="78"/>
        <v>2.2323150637317533E-3</v>
      </c>
      <c r="AG89" s="174">
        <f t="shared" si="78"/>
        <v>2.2323150637317533E-3</v>
      </c>
      <c r="AH89" s="179">
        <f t="shared" si="78"/>
        <v>2.2323150637317533E-3</v>
      </c>
      <c r="AI89" s="128"/>
    </row>
    <row r="90" spans="1:35" s="253" customFormat="1">
      <c r="A90" s="10" t="s">
        <v>347</v>
      </c>
      <c r="B90" s="37"/>
      <c r="C90" s="416">
        <f t="shared" ref="C90:AH90" si="79">C38/C$49</f>
        <v>0</v>
      </c>
      <c r="D90" s="341">
        <f t="shared" si="79"/>
        <v>0</v>
      </c>
      <c r="E90" s="341">
        <f t="shared" si="79"/>
        <v>1.982269700553297E-6</v>
      </c>
      <c r="F90" s="341">
        <f t="shared" si="79"/>
        <v>1.9949950111951849E-6</v>
      </c>
      <c r="G90" s="341">
        <f t="shared" si="79"/>
        <v>2.0275959931848375E-6</v>
      </c>
      <c r="H90" s="415">
        <f t="shared" si="79"/>
        <v>1.9832649244545441E-6</v>
      </c>
      <c r="I90" s="402">
        <f t="shared" si="79"/>
        <v>2.010405417385834E-6</v>
      </c>
      <c r="J90" s="402">
        <f t="shared" si="79"/>
        <v>2.0379173212907517E-6</v>
      </c>
      <c r="K90" s="402">
        <f t="shared" si="79"/>
        <v>2.0658057188371646E-6</v>
      </c>
      <c r="L90" s="402">
        <f t="shared" si="79"/>
        <v>2.0940757622480006E-6</v>
      </c>
      <c r="M90" s="402">
        <f t="shared" si="79"/>
        <v>2.1227326742530919E-6</v>
      </c>
      <c r="N90" s="403">
        <f t="shared" si="79"/>
        <v>2.1517817490540433E-6</v>
      </c>
      <c r="O90" s="402">
        <f t="shared" si="79"/>
        <v>2.225415062339856E-6</v>
      </c>
      <c r="P90" s="402">
        <f t="shared" si="79"/>
        <v>2.3015680850840416E-6</v>
      </c>
      <c r="Q90" s="402">
        <f t="shared" si="79"/>
        <v>2.3803270409735608E-6</v>
      </c>
      <c r="R90" s="402">
        <f t="shared" si="79"/>
        <v>2.4617811042435685E-6</v>
      </c>
      <c r="S90" s="402">
        <f t="shared" si="79"/>
        <v>2.5460225006442712E-6</v>
      </c>
      <c r="T90" s="402">
        <f t="shared" si="79"/>
        <v>2.6331466118628378E-6</v>
      </c>
      <c r="U90" s="402">
        <f t="shared" si="79"/>
        <v>2.7232520835185978E-6</v>
      </c>
      <c r="V90" s="402">
        <f t="shared" si="79"/>
        <v>2.8164409368538017E-6</v>
      </c>
      <c r="W90" s="402">
        <f t="shared" si="79"/>
        <v>2.9128186842464039E-6</v>
      </c>
      <c r="X90" s="403">
        <f t="shared" si="79"/>
        <v>3.012494448675661E-6</v>
      </c>
      <c r="Y90" s="402">
        <f t="shared" si="79"/>
        <v>3.012494448675661E-6</v>
      </c>
      <c r="Z90" s="402">
        <f t="shared" si="79"/>
        <v>3.012494448675661E-6</v>
      </c>
      <c r="AA90" s="402">
        <f t="shared" si="79"/>
        <v>3.012494448675661E-6</v>
      </c>
      <c r="AB90" s="402">
        <f t="shared" si="79"/>
        <v>3.012494448675661E-6</v>
      </c>
      <c r="AC90" s="402">
        <f t="shared" si="79"/>
        <v>3.012494448675661E-6</v>
      </c>
      <c r="AD90" s="402">
        <f t="shared" si="79"/>
        <v>3.012494448675661E-6</v>
      </c>
      <c r="AE90" s="402">
        <f t="shared" si="79"/>
        <v>3.012494448675661E-6</v>
      </c>
      <c r="AF90" s="402">
        <f t="shared" si="79"/>
        <v>3.012494448675661E-6</v>
      </c>
      <c r="AG90" s="402">
        <f t="shared" si="79"/>
        <v>3.012494448675661E-6</v>
      </c>
      <c r="AH90" s="403">
        <f t="shared" si="79"/>
        <v>3.012494448675661E-6</v>
      </c>
      <c r="AI90" s="297"/>
    </row>
    <row r="91" spans="1:35" s="253" customFormat="1">
      <c r="A91" s="10" t="s">
        <v>348</v>
      </c>
      <c r="B91" s="37"/>
      <c r="C91" s="416">
        <f t="shared" ref="C91:AH91" si="80">C39/C$49</f>
        <v>0</v>
      </c>
      <c r="D91" s="341">
        <f t="shared" si="80"/>
        <v>0</v>
      </c>
      <c r="E91" s="341">
        <f t="shared" si="80"/>
        <v>9.911348502766485E-7</v>
      </c>
      <c r="F91" s="341">
        <f t="shared" si="80"/>
        <v>9.9749750559759247E-7</v>
      </c>
      <c r="G91" s="341">
        <f t="shared" si="80"/>
        <v>1.0137979965924187E-6</v>
      </c>
      <c r="H91" s="415">
        <f t="shared" si="80"/>
        <v>9.9163246222727205E-7</v>
      </c>
      <c r="I91" s="402">
        <f t="shared" si="80"/>
        <v>1.005202708692917E-6</v>
      </c>
      <c r="J91" s="402">
        <f t="shared" si="80"/>
        <v>1.0189586606453759E-6</v>
      </c>
      <c r="K91" s="402">
        <f t="shared" si="80"/>
        <v>1.0329028594185823E-6</v>
      </c>
      <c r="L91" s="402">
        <f t="shared" si="80"/>
        <v>1.0470378811240003E-6</v>
      </c>
      <c r="M91" s="402">
        <f t="shared" si="80"/>
        <v>1.061366337126546E-6</v>
      </c>
      <c r="N91" s="403">
        <f t="shared" si="80"/>
        <v>1.0758908745270217E-6</v>
      </c>
      <c r="O91" s="402">
        <f t="shared" si="80"/>
        <v>1.112707531169928E-6</v>
      </c>
      <c r="P91" s="402">
        <f t="shared" si="80"/>
        <v>1.1507840425420208E-6</v>
      </c>
      <c r="Q91" s="402">
        <f t="shared" si="80"/>
        <v>1.1901635204867804E-6</v>
      </c>
      <c r="R91" s="402">
        <f t="shared" si="80"/>
        <v>1.2308905521217842E-6</v>
      </c>
      <c r="S91" s="402">
        <f t="shared" si="80"/>
        <v>1.2730112503221356E-6</v>
      </c>
      <c r="T91" s="402">
        <f t="shared" si="80"/>
        <v>1.3165733059314189E-6</v>
      </c>
      <c r="U91" s="402">
        <f t="shared" si="80"/>
        <v>1.3616260417592989E-6</v>
      </c>
      <c r="V91" s="402">
        <f t="shared" si="80"/>
        <v>1.4082204684269008E-6</v>
      </c>
      <c r="W91" s="402">
        <f t="shared" si="80"/>
        <v>1.4564093421232019E-6</v>
      </c>
      <c r="X91" s="403">
        <f t="shared" si="80"/>
        <v>1.5062472243378305E-6</v>
      </c>
      <c r="Y91" s="402">
        <f t="shared" si="80"/>
        <v>1.5062472243378305E-6</v>
      </c>
      <c r="Z91" s="402">
        <f t="shared" si="80"/>
        <v>1.5062472243378305E-6</v>
      </c>
      <c r="AA91" s="402">
        <f t="shared" si="80"/>
        <v>1.5062472243378305E-6</v>
      </c>
      <c r="AB91" s="402">
        <f t="shared" si="80"/>
        <v>1.5062472243378305E-6</v>
      </c>
      <c r="AC91" s="402">
        <f t="shared" si="80"/>
        <v>1.5062472243378305E-6</v>
      </c>
      <c r="AD91" s="402">
        <f t="shared" si="80"/>
        <v>1.5062472243378305E-6</v>
      </c>
      <c r="AE91" s="402">
        <f t="shared" si="80"/>
        <v>1.5062472243378305E-6</v>
      </c>
      <c r="AF91" s="402">
        <f t="shared" si="80"/>
        <v>1.5062472243378305E-6</v>
      </c>
      <c r="AG91" s="402">
        <f t="shared" si="80"/>
        <v>1.5062472243378305E-6</v>
      </c>
      <c r="AH91" s="403">
        <f t="shared" si="80"/>
        <v>1.5062472243378305E-6</v>
      </c>
      <c r="AI91" s="297"/>
    </row>
    <row r="92" spans="1:35">
      <c r="A92" s="9" t="s">
        <v>344</v>
      </c>
      <c r="B92" s="37"/>
      <c r="C92" s="416">
        <f t="shared" ref="C92:AH92" si="81">C40/C$49</f>
        <v>9.8910011671381373E-8</v>
      </c>
      <c r="D92" s="341">
        <f t="shared" si="81"/>
        <v>1.0026357086536513E-7</v>
      </c>
      <c r="E92" s="341">
        <f t="shared" si="81"/>
        <v>1.0163565318416363E-7</v>
      </c>
      <c r="F92" s="341">
        <f t="shared" si="81"/>
        <v>1.0302651211218631E-7</v>
      </c>
      <c r="G92" s="341">
        <f t="shared" si="81"/>
        <v>1.0443640460271443E-7</v>
      </c>
      <c r="H92" s="415">
        <f t="shared" si="81"/>
        <v>9.9163246222727199E-8</v>
      </c>
      <c r="I92" s="116">
        <f t="shared" si="81"/>
        <v>1.0052027086929171E-7</v>
      </c>
      <c r="J92" s="116">
        <f t="shared" si="81"/>
        <v>1.0189586606453758E-7</v>
      </c>
      <c r="K92" s="116">
        <f t="shared" si="81"/>
        <v>1.0329028594185823E-7</v>
      </c>
      <c r="L92" s="116">
        <f t="shared" si="81"/>
        <v>1.0470378811240004E-7</v>
      </c>
      <c r="M92" s="116">
        <f t="shared" si="81"/>
        <v>1.061366337126546E-7</v>
      </c>
      <c r="N92" s="179">
        <f t="shared" si="81"/>
        <v>1.0758908745270215E-7</v>
      </c>
      <c r="O92" s="116">
        <f t="shared" si="81"/>
        <v>1.1127075311699279E-7</v>
      </c>
      <c r="P92" s="116">
        <f t="shared" si="81"/>
        <v>1.1507840425420207E-7</v>
      </c>
      <c r="Q92" s="116">
        <f t="shared" si="81"/>
        <v>1.1901635204867802E-7</v>
      </c>
      <c r="R92" s="116">
        <f t="shared" si="81"/>
        <v>1.230890552121784E-7</v>
      </c>
      <c r="S92" s="116">
        <f t="shared" si="81"/>
        <v>1.2730112503221355E-7</v>
      </c>
      <c r="T92" s="116">
        <f t="shared" si="81"/>
        <v>1.3165733059314189E-7</v>
      </c>
      <c r="U92" s="116">
        <f t="shared" si="81"/>
        <v>1.361626041759299E-7</v>
      </c>
      <c r="V92" s="116">
        <f t="shared" si="81"/>
        <v>1.408220468426901E-7</v>
      </c>
      <c r="W92" s="116">
        <f t="shared" si="81"/>
        <v>1.4564093421232022E-7</v>
      </c>
      <c r="X92" s="179">
        <f t="shared" si="81"/>
        <v>1.50624722433783E-7</v>
      </c>
      <c r="Y92" s="174">
        <f t="shared" si="81"/>
        <v>1.50624722433783E-7</v>
      </c>
      <c r="Z92" s="174">
        <f t="shared" si="81"/>
        <v>1.50624722433783E-7</v>
      </c>
      <c r="AA92" s="174">
        <f t="shared" si="81"/>
        <v>1.50624722433783E-7</v>
      </c>
      <c r="AB92" s="174">
        <f t="shared" si="81"/>
        <v>1.50624722433783E-7</v>
      </c>
      <c r="AC92" s="174">
        <f t="shared" si="81"/>
        <v>1.50624722433783E-7</v>
      </c>
      <c r="AD92" s="174">
        <f t="shared" si="81"/>
        <v>1.50624722433783E-7</v>
      </c>
      <c r="AE92" s="174">
        <f t="shared" si="81"/>
        <v>1.50624722433783E-7</v>
      </c>
      <c r="AF92" s="174">
        <f t="shared" si="81"/>
        <v>1.50624722433783E-7</v>
      </c>
      <c r="AG92" s="174">
        <f t="shared" si="81"/>
        <v>1.50624722433783E-7</v>
      </c>
      <c r="AH92" s="179">
        <f t="shared" si="81"/>
        <v>1.50624722433783E-7</v>
      </c>
      <c r="AI92" s="128"/>
    </row>
    <row r="93" spans="1:35">
      <c r="A93" s="9" t="s">
        <v>120</v>
      </c>
      <c r="B93" s="37"/>
      <c r="C93" s="416">
        <f t="shared" ref="C93:AH93" si="82">C41/C$49</f>
        <v>0</v>
      </c>
      <c r="D93" s="341">
        <f t="shared" si="82"/>
        <v>0</v>
      </c>
      <c r="E93" s="341">
        <f t="shared" si="82"/>
        <v>0</v>
      </c>
      <c r="F93" s="341">
        <f t="shared" si="82"/>
        <v>0</v>
      </c>
      <c r="G93" s="341">
        <f t="shared" si="82"/>
        <v>0</v>
      </c>
      <c r="H93" s="415">
        <f t="shared" si="82"/>
        <v>9.91632462227272E-6</v>
      </c>
      <c r="I93" s="116">
        <f t="shared" si="82"/>
        <v>1.9285126937686273E-5</v>
      </c>
      <c r="J93" s="116">
        <f t="shared" si="82"/>
        <v>2.8553245992117991E-5</v>
      </c>
      <c r="K93" s="116">
        <f t="shared" si="82"/>
        <v>3.6607806992345036E-5</v>
      </c>
      <c r="L93" s="116">
        <f t="shared" si="82"/>
        <v>4.481859436263113E-5</v>
      </c>
      <c r="M93" s="116">
        <f t="shared" si="82"/>
        <v>5.2765400931015459E-5</v>
      </c>
      <c r="N93" s="179">
        <f t="shared" si="82"/>
        <v>6.0392597236669916E-5</v>
      </c>
      <c r="O93" s="116">
        <f t="shared" si="82"/>
        <v>6.7943398587399126E-5</v>
      </c>
      <c r="P93" s="116">
        <f t="shared" si="82"/>
        <v>7.5187913272230651E-5</v>
      </c>
      <c r="Q93" s="116">
        <f t="shared" si="82"/>
        <v>8.3023914647148325E-5</v>
      </c>
      <c r="R93" s="116">
        <f t="shared" si="82"/>
        <v>9.0060077971339388E-5</v>
      </c>
      <c r="S93" s="116">
        <f t="shared" si="82"/>
        <v>9.7441234330125092E-5</v>
      </c>
      <c r="T93" s="116">
        <f t="shared" si="82"/>
        <v>1.051468653721206E-4</v>
      </c>
      <c r="U93" s="116">
        <f t="shared" si="82"/>
        <v>1.1107859621962528E-4</v>
      </c>
      <c r="V93" s="116">
        <f t="shared" si="82"/>
        <v>1.1832218797575142E-4</v>
      </c>
      <c r="W93" s="116">
        <f t="shared" si="82"/>
        <v>1.2469806332990555E-4</v>
      </c>
      <c r="X93" s="179">
        <f t="shared" si="82"/>
        <v>1.313197399995977E-4</v>
      </c>
      <c r="Y93" s="174">
        <f t="shared" si="82"/>
        <v>1.3918263177274898E-4</v>
      </c>
      <c r="Z93" s="174">
        <f t="shared" si="82"/>
        <v>1.4647940201636749E-4</v>
      </c>
      <c r="AA93" s="174">
        <f t="shared" si="82"/>
        <v>1.5330554217535288E-4</v>
      </c>
      <c r="AB93" s="174">
        <f t="shared" si="82"/>
        <v>1.5943702086669147E-4</v>
      </c>
      <c r="AC93" s="174">
        <f t="shared" si="82"/>
        <v>1.6667449209208752E-4</v>
      </c>
      <c r="AD93" s="174">
        <f t="shared" si="82"/>
        <v>1.7313817854565123E-4</v>
      </c>
      <c r="AE93" s="174">
        <f t="shared" si="82"/>
        <v>1.7968989418876987E-4</v>
      </c>
      <c r="AF93" s="174">
        <f t="shared" si="82"/>
        <v>1.8652564074332723E-4</v>
      </c>
      <c r="AG93" s="174">
        <f t="shared" si="82"/>
        <v>1.9106592951683937E-4</v>
      </c>
      <c r="AH93" s="179">
        <f t="shared" si="82"/>
        <v>1.9628106278829176E-4</v>
      </c>
      <c r="AI93" s="128"/>
    </row>
    <row r="94" spans="1:35">
      <c r="A94" s="9" t="s">
        <v>53</v>
      </c>
      <c r="B94" s="37"/>
      <c r="C94" s="416">
        <f t="shared" ref="C94:AH94" si="83">C42/C$49</f>
        <v>0</v>
      </c>
      <c r="D94" s="341">
        <f t="shared" si="83"/>
        <v>0</v>
      </c>
      <c r="E94" s="341">
        <f t="shared" si="83"/>
        <v>5.9468091016598903E-14</v>
      </c>
      <c r="F94" s="341">
        <f t="shared" si="83"/>
        <v>5.9849850335855543E-14</v>
      </c>
      <c r="G94" s="341">
        <f t="shared" si="83"/>
        <v>6.0827879795545121E-14</v>
      </c>
      <c r="H94" s="415">
        <f t="shared" si="83"/>
        <v>5.9497947733636321E-14</v>
      </c>
      <c r="I94" s="116">
        <f t="shared" si="83"/>
        <v>2.6955651181262425E-8</v>
      </c>
      <c r="J94" s="116">
        <f t="shared" si="83"/>
        <v>3.627395804864872E-8</v>
      </c>
      <c r="K94" s="116">
        <f t="shared" si="83"/>
        <v>3.4879836134740614E-8</v>
      </c>
      <c r="L94" s="116">
        <f t="shared" si="83"/>
        <v>3.4167294065412138E-8</v>
      </c>
      <c r="M94" s="116">
        <f t="shared" si="83"/>
        <v>3.3519687035802456E-8</v>
      </c>
      <c r="N94" s="179">
        <f t="shared" si="83"/>
        <v>4.1009033135278031E-8</v>
      </c>
      <c r="O94" s="116">
        <f t="shared" si="83"/>
        <v>4.2412349705708814E-8</v>
      </c>
      <c r="P94" s="116">
        <f t="shared" si="83"/>
        <v>4.3863687339946474E-8</v>
      </c>
      <c r="Q94" s="116">
        <f t="shared" si="83"/>
        <v>4.5364689304106215E-8</v>
      </c>
      <c r="R94" s="116">
        <f t="shared" si="83"/>
        <v>4.6917055096367094E-8</v>
      </c>
      <c r="S94" s="116">
        <f t="shared" si="83"/>
        <v>4.8522542371216057E-8</v>
      </c>
      <c r="T94" s="116">
        <f t="shared" si="83"/>
        <v>5.0182968929538962E-8</v>
      </c>
      <c r="U94" s="116">
        <f t="shared" si="83"/>
        <v>5.1900214776811974E-8</v>
      </c>
      <c r="V94" s="116">
        <f t="shared" si="83"/>
        <v>5.3676224251723616E-8</v>
      </c>
      <c r="W94" s="116">
        <f t="shared" si="83"/>
        <v>5.5513008227637615E-8</v>
      </c>
      <c r="X94" s="179">
        <f t="shared" si="83"/>
        <v>5.7412646389389237E-8</v>
      </c>
      <c r="Y94" s="174">
        <f t="shared" si="83"/>
        <v>5.7412646389389237E-8</v>
      </c>
      <c r="Z94" s="174">
        <f t="shared" si="83"/>
        <v>5.7412646389389237E-8</v>
      </c>
      <c r="AA94" s="174">
        <f t="shared" si="83"/>
        <v>5.7412646389389237E-8</v>
      </c>
      <c r="AB94" s="174">
        <f t="shared" si="83"/>
        <v>5.7412646389389237E-8</v>
      </c>
      <c r="AC94" s="174">
        <f t="shared" si="83"/>
        <v>5.7412646389389237E-8</v>
      </c>
      <c r="AD94" s="174">
        <f t="shared" si="83"/>
        <v>5.7412646389389237E-8</v>
      </c>
      <c r="AE94" s="174">
        <f t="shared" si="83"/>
        <v>5.7412646389389237E-8</v>
      </c>
      <c r="AF94" s="174">
        <f t="shared" si="83"/>
        <v>5.7412646389389237E-8</v>
      </c>
      <c r="AG94" s="174">
        <f t="shared" si="83"/>
        <v>5.7412646389389237E-8</v>
      </c>
      <c r="AH94" s="179">
        <f t="shared" si="83"/>
        <v>5.7412646389389231E-8</v>
      </c>
      <c r="AI94" s="128"/>
    </row>
    <row r="95" spans="1:35" s="384" customFormat="1">
      <c r="A95" s="379" t="s">
        <v>540</v>
      </c>
      <c r="B95" s="380"/>
      <c r="C95" s="381">
        <f>SUM(C86:C94)</f>
        <v>1.7289568950169136E-2</v>
      </c>
      <c r="D95" s="381">
        <f>SUM(D86:D94)</f>
        <v>1.9712418598547797E-2</v>
      </c>
      <c r="E95" s="381">
        <f>SUM(E86:E94)</f>
        <v>2.2683868615196674E-2</v>
      </c>
      <c r="F95" s="381">
        <f>SUM(F86:F94)</f>
        <v>2.6163484758592603E-2</v>
      </c>
      <c r="G95" s="381">
        <f t="shared" ref="G95:AH95" si="84">SUM(G86:G94)</f>
        <v>2.9384495944802812E-2</v>
      </c>
      <c r="H95" s="381">
        <f t="shared" si="84"/>
        <v>2.2312683540073226E-2</v>
      </c>
      <c r="I95" s="381">
        <f t="shared" si="84"/>
        <v>2.5486878887857757E-2</v>
      </c>
      <c r="J95" s="381">
        <f t="shared" si="84"/>
        <v>3.3942036326018415E-2</v>
      </c>
      <c r="K95" s="381">
        <f t="shared" si="84"/>
        <v>3.3327048153663649E-2</v>
      </c>
      <c r="L95" s="381">
        <f t="shared" si="84"/>
        <v>3.8146834201910201E-2</v>
      </c>
      <c r="M95" s="381">
        <f t="shared" si="84"/>
        <v>4.3688372713314473E-2</v>
      </c>
      <c r="N95" s="382">
        <f t="shared" si="84"/>
        <v>5.0060392597236672E-2</v>
      </c>
      <c r="O95" s="381">
        <f t="shared" si="84"/>
        <v>5.2757665963645096E-2</v>
      </c>
      <c r="P95" s="381">
        <f t="shared" si="84"/>
        <v>5.3555706699525682E-2</v>
      </c>
      <c r="Q95" s="381">
        <f t="shared" si="84"/>
        <v>5.5393629695646762E-2</v>
      </c>
      <c r="R95" s="381">
        <f t="shared" si="84"/>
        <v>5.7293377870907478E-2</v>
      </c>
      <c r="S95" s="381">
        <f t="shared" si="84"/>
        <v>5.9258239065326276E-2</v>
      </c>
      <c r="T95" s="381">
        <f t="shared" si="84"/>
        <v>6.1290409102595055E-2</v>
      </c>
      <c r="U95" s="381">
        <f t="shared" si="84"/>
        <v>6.3390081792426251E-2</v>
      </c>
      <c r="V95" s="381">
        <f t="shared" si="84"/>
        <v>6.5562713518368648E-2</v>
      </c>
      <c r="W95" s="381">
        <f t="shared" si="84"/>
        <v>6.7808576447532298E-2</v>
      </c>
      <c r="X95" s="382">
        <f t="shared" si="84"/>
        <v>7.0131319739999587E-2</v>
      </c>
      <c r="Y95" s="381">
        <f t="shared" si="84"/>
        <v>7.013918263177274E-2</v>
      </c>
      <c r="Z95" s="381">
        <f t="shared" si="84"/>
        <v>7.0146479402016362E-2</v>
      </c>
      <c r="AA95" s="381">
        <f t="shared" si="84"/>
        <v>7.0153305542175345E-2</v>
      </c>
      <c r="AB95" s="381">
        <f t="shared" si="84"/>
        <v>7.0159437020866688E-2</v>
      </c>
      <c r="AC95" s="381">
        <f t="shared" si="84"/>
        <v>7.0166674492092074E-2</v>
      </c>
      <c r="AD95" s="381">
        <f t="shared" si="84"/>
        <v>7.0173138178545647E-2</v>
      </c>
      <c r="AE95" s="381">
        <f t="shared" si="84"/>
        <v>7.0179689894188768E-2</v>
      </c>
      <c r="AF95" s="381">
        <f t="shared" si="84"/>
        <v>7.0186525640743319E-2</v>
      </c>
      <c r="AG95" s="381">
        <f t="shared" si="84"/>
        <v>7.0191065929516835E-2</v>
      </c>
      <c r="AH95" s="382">
        <f t="shared" si="84"/>
        <v>7.0196281062788288E-2</v>
      </c>
      <c r="AI95" s="383"/>
    </row>
    <row r="96" spans="1:35">
      <c r="A96" s="10" t="s">
        <v>543</v>
      </c>
      <c r="B96" s="37"/>
      <c r="C96" s="337"/>
      <c r="D96" s="337">
        <f>D95/C95-1</f>
        <v>0.14013360630109628</v>
      </c>
      <c r="E96" s="337">
        <f t="shared" ref="E96:O96" si="85">E95/D95-1</f>
        <v>0.15074000188225423</v>
      </c>
      <c r="F96" s="337">
        <f t="shared" si="85"/>
        <v>0.15339606318583665</v>
      </c>
      <c r="G96" s="337">
        <f t="shared" si="85"/>
        <v>0.12311093938479911</v>
      </c>
      <c r="H96" s="285"/>
      <c r="I96" s="165">
        <f t="shared" si="85"/>
        <v>0.14225968571121106</v>
      </c>
      <c r="J96" s="165">
        <f t="shared" si="85"/>
        <v>0.33174550227838195</v>
      </c>
      <c r="K96" s="165">
        <f t="shared" si="85"/>
        <v>-1.8118776565074435E-2</v>
      </c>
      <c r="L96" s="165">
        <f t="shared" si="85"/>
        <v>0.14462085048827555</v>
      </c>
      <c r="M96" s="165">
        <f t="shared" si="85"/>
        <v>0.14526863440549365</v>
      </c>
      <c r="N96" s="165">
        <f t="shared" si="85"/>
        <v>0.14585161882168851</v>
      </c>
      <c r="O96" s="173">
        <f t="shared" si="85"/>
        <v>5.3880387796984897E-2</v>
      </c>
      <c r="P96" s="173">
        <f t="shared" ref="P96:AH96" si="86">P95/O95-1</f>
        <v>1.5126536045595884E-2</v>
      </c>
      <c r="Q96" s="173">
        <f t="shared" si="86"/>
        <v>3.431796739108961E-2</v>
      </c>
      <c r="R96" s="173">
        <f t="shared" si="86"/>
        <v>3.4295426851402189E-2</v>
      </c>
      <c r="S96" s="173">
        <f t="shared" si="86"/>
        <v>3.4294734704698238E-2</v>
      </c>
      <c r="T96" s="173">
        <f t="shared" si="86"/>
        <v>3.4293459767316348E-2</v>
      </c>
      <c r="U96" s="173">
        <f t="shared" si="86"/>
        <v>3.4257769210130684E-2</v>
      </c>
      <c r="V96" s="173">
        <f t="shared" si="86"/>
        <v>3.4274000987359221E-2</v>
      </c>
      <c r="W96" s="173">
        <f t="shared" si="86"/>
        <v>3.4255185739596072E-2</v>
      </c>
      <c r="X96" s="186">
        <f t="shared" si="86"/>
        <v>3.4254417570092066E-2</v>
      </c>
      <c r="Y96" s="173">
        <f t="shared" si="86"/>
        <v>1.1211669482769082E-4</v>
      </c>
      <c r="Z96" s="173">
        <f t="shared" si="86"/>
        <v>1.040327242183281E-4</v>
      </c>
      <c r="AA96" s="173">
        <f t="shared" si="86"/>
        <v>9.7312655134906834E-5</v>
      </c>
      <c r="AB96" s="173">
        <f t="shared" si="86"/>
        <v>8.7401137322862255E-5</v>
      </c>
      <c r="AC96" s="173">
        <f t="shared" si="86"/>
        <v>1.0315748718503492E-4</v>
      </c>
      <c r="AD96" s="173">
        <f t="shared" si="86"/>
        <v>9.2119036570581514E-5</v>
      </c>
      <c r="AE96" s="173">
        <f t="shared" si="86"/>
        <v>9.3365008508650149E-5</v>
      </c>
      <c r="AF96" s="173">
        <f t="shared" si="86"/>
        <v>9.7403487602454319E-5</v>
      </c>
      <c r="AG96" s="173">
        <f t="shared" si="86"/>
        <v>6.4688894799491692E-5</v>
      </c>
      <c r="AH96" s="186">
        <f t="shared" si="86"/>
        <v>7.429910348832891E-5</v>
      </c>
      <c r="AI96" s="128"/>
    </row>
    <row r="97" spans="1:36">
      <c r="A97" s="10"/>
      <c r="B97" s="37"/>
      <c r="C97" s="337"/>
      <c r="D97" s="337"/>
      <c r="E97" s="337"/>
      <c r="F97" s="337"/>
      <c r="G97" s="337"/>
      <c r="H97" s="285"/>
      <c r="I97" s="165"/>
      <c r="J97" s="165"/>
      <c r="K97" s="165"/>
      <c r="L97" s="165"/>
      <c r="M97" s="165"/>
      <c r="N97" s="181"/>
      <c r="O97" s="165"/>
      <c r="P97" s="165"/>
      <c r="Q97" s="165"/>
      <c r="R97" s="165"/>
      <c r="S97" s="165"/>
      <c r="T97" s="165"/>
      <c r="U97" s="165"/>
      <c r="V97" s="165"/>
      <c r="W97" s="165"/>
      <c r="X97" s="186"/>
      <c r="AI97" s="128"/>
    </row>
    <row r="98" spans="1:36">
      <c r="A98" s="10"/>
      <c r="B98" s="37"/>
      <c r="C98" s="337"/>
      <c r="D98" s="337"/>
      <c r="E98" s="337"/>
      <c r="F98" s="337"/>
      <c r="G98" s="337"/>
      <c r="H98" s="285"/>
      <c r="I98" s="173"/>
      <c r="J98" s="173"/>
      <c r="K98" s="173"/>
      <c r="L98" s="173"/>
      <c r="M98" s="173"/>
      <c r="N98" s="186"/>
      <c r="O98" s="173"/>
      <c r="P98" s="173"/>
      <c r="Q98" s="173"/>
      <c r="R98" s="173"/>
      <c r="S98" s="173"/>
      <c r="T98" s="173"/>
      <c r="U98" s="173"/>
      <c r="V98" s="173"/>
      <c r="W98" s="173"/>
      <c r="X98" s="186"/>
      <c r="AI98" s="128"/>
    </row>
    <row r="99" spans="1:36">
      <c r="A99" s="1" t="s">
        <v>139</v>
      </c>
      <c r="C99" s="333">
        <v>2009</v>
      </c>
      <c r="D99" s="333">
        <v>2010</v>
      </c>
      <c r="E99" s="333">
        <v>2011</v>
      </c>
      <c r="F99" s="333">
        <v>2012</v>
      </c>
      <c r="G99" s="333">
        <v>2013</v>
      </c>
      <c r="H99" s="406">
        <v>2014</v>
      </c>
      <c r="I99" s="13">
        <v>2015</v>
      </c>
      <c r="J99" s="13">
        <v>2016</v>
      </c>
      <c r="K99" s="13">
        <v>2017</v>
      </c>
      <c r="L99" s="13">
        <v>2018</v>
      </c>
      <c r="M99" s="13">
        <v>2019</v>
      </c>
      <c r="N99" s="177">
        <v>2020</v>
      </c>
      <c r="O99" s="13">
        <v>2021</v>
      </c>
      <c r="P99" s="13">
        <v>2022</v>
      </c>
      <c r="Q99" s="13">
        <v>2023</v>
      </c>
      <c r="R99" s="13">
        <v>2024</v>
      </c>
      <c r="S99" s="13">
        <v>2025</v>
      </c>
      <c r="T99" s="13">
        <v>2026</v>
      </c>
      <c r="U99" s="13">
        <v>2027</v>
      </c>
      <c r="V99" s="13">
        <v>2028</v>
      </c>
      <c r="W99" s="13">
        <v>2029</v>
      </c>
      <c r="X99" s="177">
        <v>2030</v>
      </c>
      <c r="Y99" s="13">
        <v>2031</v>
      </c>
      <c r="Z99" s="13">
        <v>2032</v>
      </c>
      <c r="AA99" s="13">
        <v>2033</v>
      </c>
      <c r="AB99" s="13">
        <v>2034</v>
      </c>
      <c r="AC99" s="13">
        <v>2035</v>
      </c>
      <c r="AD99" s="13">
        <v>2036</v>
      </c>
      <c r="AE99" s="13">
        <v>2037</v>
      </c>
      <c r="AF99" s="13">
        <v>2038</v>
      </c>
      <c r="AG99" s="13">
        <v>2039</v>
      </c>
      <c r="AH99" s="177">
        <v>2040</v>
      </c>
      <c r="AI99" s="1"/>
    </row>
    <row r="100" spans="1:36">
      <c r="A100" s="10" t="s">
        <v>61</v>
      </c>
      <c r="B100" s="35">
        <v>0</v>
      </c>
      <c r="C100" s="336">
        <v>0</v>
      </c>
      <c r="D100" s="336">
        <f xml:space="preserve"> IF(D29*Inputs!$C44 &gt; 0, D29*Inputs!$C44, 0)</f>
        <v>0</v>
      </c>
      <c r="E100" s="336">
        <f xml:space="preserve"> IF(E29*Inputs!$C44 &gt; 0, E29*Inputs!$C44, 0)</f>
        <v>0</v>
      </c>
      <c r="F100" s="336">
        <f xml:space="preserve"> IF(F29*Inputs!$C44 &gt; 0, F29*Inputs!$C44, 0)</f>
        <v>0</v>
      </c>
      <c r="G100" s="336">
        <f xml:space="preserve"> IF(G29*Inputs!$C44 &gt; 0, G29*Inputs!$C44, 0)</f>
        <v>0</v>
      </c>
      <c r="H100" s="408">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3">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8">
        <f xml:space="preserve"> IF(X29*Inputs!$C44 &gt; 0, X29*Inputs!$C44, 0)</f>
        <v>0</v>
      </c>
    </row>
    <row r="101" spans="1:36">
      <c r="A101" s="10" t="s">
        <v>60</v>
      </c>
      <c r="B101" s="35">
        <v>0</v>
      </c>
      <c r="C101" s="336">
        <v>0</v>
      </c>
      <c r="D101" s="336">
        <f>D30*Inputs!$C47</f>
        <v>0</v>
      </c>
      <c r="E101" s="336">
        <f>E30*Inputs!$C47</f>
        <v>0</v>
      </c>
      <c r="F101" s="336">
        <f>F30*Inputs!$C47</f>
        <v>0</v>
      </c>
      <c r="G101" s="336">
        <f>G30*Inputs!$C47</f>
        <v>0</v>
      </c>
      <c r="H101" s="408">
        <f>H30*Inputs!$C47</f>
        <v>0</v>
      </c>
      <c r="I101" s="14">
        <f>I30*Inputs!$C47</f>
        <v>0</v>
      </c>
      <c r="J101" s="14">
        <f>J30*Inputs!$C47</f>
        <v>0</v>
      </c>
      <c r="K101" s="14">
        <f>K30*Inputs!$C47</f>
        <v>0</v>
      </c>
      <c r="L101" s="14">
        <f>L30*Inputs!$C47</f>
        <v>0</v>
      </c>
      <c r="M101" s="14">
        <f>M30*Inputs!$C47</f>
        <v>0</v>
      </c>
      <c r="N101" s="183">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8">
        <f>X30*Inputs!$C47</f>
        <v>0</v>
      </c>
    </row>
    <row r="102" spans="1:36">
      <c r="A102" s="10" t="s">
        <v>49</v>
      </c>
      <c r="B102" s="35">
        <v>0</v>
      </c>
      <c r="C102" s="336">
        <f>C31*Inputs!$C$48</f>
        <v>349.79849999999993</v>
      </c>
      <c r="D102" s="336">
        <f>D31*Inputs!$C$48</f>
        <v>367.40112958048536</v>
      </c>
      <c r="E102" s="336">
        <f>E31*Inputs!$C$48</f>
        <v>356.39945505136478</v>
      </c>
      <c r="F102" s="336">
        <f>F31*Inputs!$C$48</f>
        <v>357.76231037246134</v>
      </c>
      <c r="G102" s="336">
        <f>G31*Inputs!$C$48</f>
        <v>355.5877059112409</v>
      </c>
      <c r="H102" s="408">
        <f>H31*Inputs!$C$48</f>
        <v>421.57025999999996</v>
      </c>
      <c r="I102" s="14">
        <f>I31*Inputs!$C$48</f>
        <v>427.98050680900747</v>
      </c>
      <c r="J102" s="14">
        <f>J31*Inputs!$C$48</f>
        <v>427.96158999248286</v>
      </c>
      <c r="K102" s="14">
        <f>K31*Inputs!$C$48</f>
        <v>439.21041250345655</v>
      </c>
      <c r="L102" s="14">
        <f>L31*Inputs!$C$48</f>
        <v>442.45409856863927</v>
      </c>
      <c r="M102" s="14">
        <f>M31*Inputs!$C$48</f>
        <v>444.88650543096611</v>
      </c>
      <c r="N102" s="183">
        <f>N31*Inputs!$C$48</f>
        <v>447.27107999999993</v>
      </c>
      <c r="O102" s="14">
        <f>O31*Inputs!$C$48</f>
        <v>449.60445283297742</v>
      </c>
      <c r="P102" s="14">
        <f>P31*Inputs!$C$48</f>
        <v>452.23605957476474</v>
      </c>
      <c r="Q102" s="14">
        <f>Q31*Inputs!$C$48</f>
        <v>450.19505030627914</v>
      </c>
      <c r="R102" s="14">
        <f>R31*Inputs!$C$48</f>
        <v>451.59259105223811</v>
      </c>
      <c r="S102" s="14">
        <f>S31*Inputs!$C$48</f>
        <v>450.35565813902531</v>
      </c>
      <c r="T102" s="14">
        <f>T31*Inputs!$C$48</f>
        <v>447.1383624261548</v>
      </c>
      <c r="U102" s="14">
        <f>U31*Inputs!$C$48</f>
        <v>450.72969596037007</v>
      </c>
      <c r="V102" s="14">
        <f>V31*Inputs!$C$48</f>
        <v>448.24124907680749</v>
      </c>
      <c r="W102" s="14">
        <f>W31*Inputs!$C$48</f>
        <v>448.49603909803841</v>
      </c>
      <c r="X102" s="188">
        <f>X31*Inputs!$C$48</f>
        <v>447.2711289763327</v>
      </c>
      <c r="Y102" s="159">
        <f>Y31*Inputs!$C$48</f>
        <v>444.74004425442399</v>
      </c>
      <c r="Z102" s="159">
        <f>Z31*Inputs!$C$48</f>
        <v>443.96943162498127</v>
      </c>
      <c r="AA102" s="159">
        <f>AA31*Inputs!$C$48</f>
        <v>444.42222069382547</v>
      </c>
      <c r="AB102" s="159">
        <f>AB31*Inputs!$C$48</f>
        <v>446.57211573461183</v>
      </c>
      <c r="AC102" s="159">
        <f>AC31*Inputs!$C$48</f>
        <v>445.39263708582712</v>
      </c>
      <c r="AD102" s="159">
        <f>AD31*Inputs!$C$48</f>
        <v>446.1106247389406</v>
      </c>
      <c r="AE102" s="159">
        <f>AE31*Inputs!$C$48</f>
        <v>446.37844763033883</v>
      </c>
      <c r="AF102" s="159">
        <f>AF31*Inputs!$C$48</f>
        <v>445.7742984477639</v>
      </c>
      <c r="AG102" s="159">
        <f>AG31*Inputs!$C$48</f>
        <v>450.39271564990673</v>
      </c>
      <c r="AH102" s="188">
        <f>AH31*Inputs!$C$48</f>
        <v>453.06864256141262</v>
      </c>
    </row>
    <row r="103" spans="1:36">
      <c r="A103" s="10" t="s">
        <v>59</v>
      </c>
      <c r="B103" s="35">
        <v>0</v>
      </c>
      <c r="C103" s="336">
        <f>C32*Inputs!$C$53</f>
        <v>7301.0000000000009</v>
      </c>
      <c r="D103" s="336">
        <f>D32*Inputs!$C$53</f>
        <v>7596.2804803857307</v>
      </c>
      <c r="E103" s="336">
        <f>E32*Inputs!$C$53</f>
        <v>7300.2875328745322</v>
      </c>
      <c r="F103" s="336">
        <f>F32*Inputs!$C$53</f>
        <v>7260.8142572801098</v>
      </c>
      <c r="G103" s="336">
        <f>G32*Inputs!$C$53</f>
        <v>7151.0486842392556</v>
      </c>
      <c r="H103" s="408">
        <f>H32*Inputs!$C$53</f>
        <v>7155.875647807934</v>
      </c>
      <c r="I103" s="14">
        <f>I32*Inputs!$C$53</f>
        <v>7394.1670081802176</v>
      </c>
      <c r="J103" s="14">
        <f>J32*Inputs!$C$53</f>
        <v>7526.7235981544545</v>
      </c>
      <c r="K103" s="14">
        <f>K32*Inputs!$C$53</f>
        <v>7864.5740545236995</v>
      </c>
      <c r="L103" s="14">
        <f>L32*Inputs!$C$53</f>
        <v>8067.5155133681455</v>
      </c>
      <c r="M103" s="14">
        <f>M32*Inputs!$C$53</f>
        <v>8261.5136329830693</v>
      </c>
      <c r="N103" s="183">
        <f>N32*Inputs!$C$53</f>
        <v>8460.423196625301</v>
      </c>
      <c r="O103" s="14">
        <f>O32*Inputs!$C$53</f>
        <v>8504.5604604128403</v>
      </c>
      <c r="P103" s="14">
        <f>P32*Inputs!$C$53</f>
        <v>8554.3390124323723</v>
      </c>
      <c r="Q103" s="14">
        <f>Q32*Inputs!$C$53</f>
        <v>8515.7319954984305</v>
      </c>
      <c r="R103" s="14">
        <f>R32*Inputs!$C$53</f>
        <v>8542.1673870854302</v>
      </c>
      <c r="S103" s="14">
        <f>S32*Inputs!$C$53</f>
        <v>8518.769997047124</v>
      </c>
      <c r="T103" s="14">
        <f>T32*Inputs!$C$53</f>
        <v>8457.9127574519043</v>
      </c>
      <c r="U103" s="14">
        <f>U32*Inputs!$C$53</f>
        <v>8525.845165555942</v>
      </c>
      <c r="V103" s="14">
        <f>V32*Inputs!$C$53</f>
        <v>8478.7745753061463</v>
      </c>
      <c r="W103" s="14">
        <f>W32*Inputs!$C$53</f>
        <v>8483.5940941668141</v>
      </c>
      <c r="X103" s="188">
        <f>X32*Inputs!$C$53</f>
        <v>8460.4241230444677</v>
      </c>
      <c r="Y103" s="159">
        <f>Y32*Inputs!$C$53</f>
        <v>8412.547010368502</v>
      </c>
      <c r="Z103" s="159">
        <f>Z32*Inputs!$C$53</f>
        <v>8397.970371597783</v>
      </c>
      <c r="AA103" s="159">
        <f>AA32*Inputs!$C$53</f>
        <v>8406.5351711399926</v>
      </c>
      <c r="AB103" s="159">
        <f>AB32*Inputs!$C$53</f>
        <v>8447.2018332308635</v>
      </c>
      <c r="AC103" s="159">
        <f>AC32*Inputs!$C$53</f>
        <v>8424.8912279484848</v>
      </c>
      <c r="AD103" s="159">
        <f>AD32*Inputs!$C$53</f>
        <v>8438.4724310866186</v>
      </c>
      <c r="AE103" s="159">
        <f>AE32*Inputs!$C$53</f>
        <v>8443.5384751576366</v>
      </c>
      <c r="AF103" s="159">
        <f>AF32*Inputs!$C$53</f>
        <v>8432.1106006827686</v>
      </c>
      <c r="AG103" s="159">
        <f>AG32*Inputs!$C$53</f>
        <v>8519.4709639521807</v>
      </c>
      <c r="AH103" s="188">
        <f>AH32*Inputs!$C$53</f>
        <v>8570.0878607892828</v>
      </c>
    </row>
    <row r="104" spans="1:36">
      <c r="A104" s="10" t="s">
        <v>121</v>
      </c>
      <c r="B104" s="35">
        <v>1</v>
      </c>
      <c r="C104" s="336">
        <f>C34*Inputs!$C$46</f>
        <v>338.31</v>
      </c>
      <c r="D104" s="336">
        <f>D34*Inputs!$C$46</f>
        <v>404.65050127361252</v>
      </c>
      <c r="E104" s="336">
        <f>E34*Inputs!$C$46</f>
        <v>447.06027053094851</v>
      </c>
      <c r="F104" s="336">
        <f>F34*Inputs!$C$46</f>
        <v>511.16236757068702</v>
      </c>
      <c r="G104" s="336">
        <f>G34*Inputs!$C$46</f>
        <v>578.75016838362706</v>
      </c>
      <c r="H104" s="408">
        <f>H34*Inputs!$C$46</f>
        <v>441.47047561887672</v>
      </c>
      <c r="I104" s="14">
        <f>I34*Inputs!$C$46</f>
        <v>522.43439499859426</v>
      </c>
      <c r="J104" s="14">
        <f>J34*Inputs!$C$46</f>
        <v>715.12727811709533</v>
      </c>
      <c r="K104" s="14">
        <f>K34*Inputs!$C$46</f>
        <v>728.87705894972828</v>
      </c>
      <c r="L104" s="14">
        <f>L34*Inputs!$C$46</f>
        <v>856.35067280695444</v>
      </c>
      <c r="M104" s="14">
        <f>M34*Inputs!$C$46</f>
        <v>1004.4162869092687</v>
      </c>
      <c r="N104" s="183">
        <f>N34*Inputs!$C$46</f>
        <v>1178.1428145025322</v>
      </c>
      <c r="O104" s="14">
        <f>O34*Inputs!$C$46</f>
        <v>1261.968381713903</v>
      </c>
      <c r="P104" s="14">
        <f>P34*Inputs!$C$46</f>
        <v>1301.378689719897</v>
      </c>
      <c r="Q104" s="14">
        <f>Q34*Inputs!$C$46</f>
        <v>1354.312259716849</v>
      </c>
      <c r="R104" s="14">
        <f>R34*Inputs!$C$46</f>
        <v>1420.3493826558797</v>
      </c>
      <c r="S104" s="14">
        <f>S34*Inputs!$C$46</f>
        <v>1481.1058360568243</v>
      </c>
      <c r="T104" s="14">
        <f>T34*Inputs!$C$46</f>
        <v>1537.8268868165728</v>
      </c>
      <c r="U104" s="14">
        <f>U34*Inputs!$C$46</f>
        <v>1621.3280042267343</v>
      </c>
      <c r="V104" s="14">
        <f>V34*Inputs!$C$46</f>
        <v>1686.5961388036405</v>
      </c>
      <c r="W104" s="14">
        <f>W34*Inputs!$C$46</f>
        <v>1765.4650002836713</v>
      </c>
      <c r="X104" s="188">
        <f>X34*Inputs!$C$46</f>
        <v>1842.1735775956975</v>
      </c>
      <c r="Y104" s="159">
        <f>Y34*Inputs!$C$46</f>
        <v>1840.34439411177</v>
      </c>
      <c r="Z104" s="159">
        <f>Z34*Inputs!$C$46</f>
        <v>1845.8171819079078</v>
      </c>
      <c r="AA104" s="159">
        <f>AA34*Inputs!$C$46</f>
        <v>1856.4522449460981</v>
      </c>
      <c r="AB104" s="159">
        <f>AB34*Inputs!$C$46</f>
        <v>1874.3114817773715</v>
      </c>
      <c r="AC104" s="159">
        <f>AC34*Inputs!$C$46</f>
        <v>1878.300967340316</v>
      </c>
      <c r="AD104" s="159">
        <f>AD34*Inputs!$C$46</f>
        <v>1890.369203219565</v>
      </c>
      <c r="AE104" s="159">
        <f>AE34*Inputs!$C$46</f>
        <v>1900.6372231604303</v>
      </c>
      <c r="AF104" s="159">
        <f>AF34*Inputs!$C$46</f>
        <v>1907.2740937916733</v>
      </c>
      <c r="AG104" s="159">
        <f>AG34*Inputs!$C$46</f>
        <v>1936.42971433972</v>
      </c>
      <c r="AH104" s="188">
        <f>AH34*Inputs!$C$46</f>
        <v>1957.4785195934376</v>
      </c>
    </row>
    <row r="105" spans="1:36">
      <c r="A105" s="10" t="s">
        <v>50</v>
      </c>
      <c r="B105" s="35">
        <v>1</v>
      </c>
      <c r="C105" s="336">
        <f>C35*Inputs!$C$49</f>
        <v>0</v>
      </c>
      <c r="D105" s="336">
        <f>D35*Inputs!$C$49</f>
        <v>0</v>
      </c>
      <c r="E105" s="336">
        <f>E35*Inputs!$C$49</f>
        <v>2.5000000000000001E-5</v>
      </c>
      <c r="F105" s="336">
        <f>F35*Inputs!$C$49</f>
        <v>2.5000000000000001E-5</v>
      </c>
      <c r="G105" s="336">
        <f>G35*Inputs!$C$49</f>
        <v>2.5000000000000001E-5</v>
      </c>
      <c r="H105" s="408">
        <f>H35*Inputs!$C$49</f>
        <v>2.5000000000000001E-5</v>
      </c>
      <c r="I105" s="14">
        <f>I35*Inputs!$C$49</f>
        <v>2.606160467444442E-5</v>
      </c>
      <c r="J105" s="14">
        <f>J35*Inputs!$C$49</f>
        <v>2.6764697635252806E-5</v>
      </c>
      <c r="K105" s="14">
        <f>K35*Inputs!$C$49</f>
        <v>2.8215371099245856E-5</v>
      </c>
      <c r="L105" s="14">
        <f>L35*Inputs!$C$49</f>
        <v>2.9202106179756732E-5</v>
      </c>
      <c r="M105" s="14">
        <f>M35*Inputs!$C$49</f>
        <v>3.0172224177188306E-5</v>
      </c>
      <c r="N105" s="183">
        <f>N35*Inputs!$C$49</f>
        <v>3.1176155962357925E-5</v>
      </c>
      <c r="O105" s="14">
        <f>O35*Inputs!$C$49</f>
        <v>3.2753955624948446E-5</v>
      </c>
      <c r="P105" s="14">
        <f>P35*Inputs!$C$49</f>
        <v>3.4437238420817386E-5</v>
      </c>
      <c r="Q105" s="14">
        <f>Q35*Inputs!$C$49</f>
        <v>3.5837972876398802E-5</v>
      </c>
      <c r="R105" s="14">
        <f>R35*Inputs!$C$49</f>
        <v>3.7585455115996336E-5</v>
      </c>
      <c r="S105" s="14">
        <f>S35*Inputs!$C$49</f>
        <v>3.9193199647161164E-5</v>
      </c>
      <c r="T105" s="14">
        <f>T35*Inputs!$C$49</f>
        <v>4.0694158871346065E-5</v>
      </c>
      <c r="U105" s="14">
        <f>U35*Inputs!$C$49</f>
        <v>4.2903775419836901E-5</v>
      </c>
      <c r="V105" s="14">
        <f>V35*Inputs!$C$49</f>
        <v>4.4630908597490734E-5</v>
      </c>
      <c r="W105" s="14">
        <f>W35*Inputs!$C$49</f>
        <v>4.6717945835937316E-5</v>
      </c>
      <c r="X105" s="188">
        <f>X35*Inputs!$C$49</f>
        <v>4.8747817376545143E-5</v>
      </c>
      <c r="Y105" s="159">
        <f>Y35*Inputs!$C$49</f>
        <v>4.8699413304579752E-5</v>
      </c>
      <c r="Z105" s="159">
        <f>Z35*Inputs!$C$49</f>
        <v>4.8844234869317912E-5</v>
      </c>
      <c r="AA105" s="159">
        <f>AA35*Inputs!$C$49</f>
        <v>4.9125661178477326E-5</v>
      </c>
      <c r="AB105" s="159">
        <f>AB35*Inputs!$C$49</f>
        <v>4.9598254437941861E-5</v>
      </c>
      <c r="AC105" s="159">
        <f>AC35*Inputs!$C$49</f>
        <v>4.970382468170933E-5</v>
      </c>
      <c r="AD105" s="159">
        <f>AD35*Inputs!$C$49</f>
        <v>5.002317578187358E-5</v>
      </c>
      <c r="AE105" s="159">
        <f>AE35*Inputs!$C$49</f>
        <v>5.0294889352724653E-5</v>
      </c>
      <c r="AF105" s="159">
        <f>AF35*Inputs!$C$49</f>
        <v>5.0470515016570002E-5</v>
      </c>
      <c r="AG105" s="159">
        <f>AG35*Inputs!$C$49</f>
        <v>5.1242034532027928E-5</v>
      </c>
      <c r="AH105" s="188">
        <f>AH35*Inputs!$C$49</f>
        <v>5.1799030532286433E-5</v>
      </c>
    </row>
    <row r="106" spans="1:36">
      <c r="A106" s="10" t="s">
        <v>119</v>
      </c>
      <c r="B106" s="35">
        <v>1</v>
      </c>
      <c r="C106" s="336"/>
      <c r="D106" s="336"/>
      <c r="E106" s="336"/>
      <c r="F106" s="336"/>
      <c r="G106" s="336"/>
      <c r="H106" s="408"/>
      <c r="I106" s="14"/>
      <c r="J106" s="14"/>
      <c r="K106" s="14"/>
      <c r="L106" s="14"/>
      <c r="M106" s="14"/>
      <c r="N106" s="188"/>
      <c r="O106" s="14"/>
      <c r="P106" s="14"/>
      <c r="Q106" s="14"/>
      <c r="R106" s="14"/>
      <c r="S106" s="14"/>
      <c r="T106" s="14"/>
      <c r="U106" s="14"/>
      <c r="V106" s="14"/>
      <c r="W106" s="14"/>
      <c r="X106" s="188"/>
      <c r="AJ106" s="171" t="s">
        <v>0</v>
      </c>
    </row>
    <row r="107" spans="1:36">
      <c r="A107" s="10" t="s">
        <v>51</v>
      </c>
      <c r="B107" s="35">
        <v>1</v>
      </c>
      <c r="C107" s="336">
        <f>C37*Inputs!$C$52</f>
        <v>20.55</v>
      </c>
      <c r="D107" s="336">
        <f>D37*Inputs!$C$52</f>
        <v>21.693144039613752</v>
      </c>
      <c r="E107" s="336">
        <f>E37*Inputs!$C$52</f>
        <v>23.926130127621402</v>
      </c>
      <c r="F107" s="336">
        <f>F37*Inputs!$C$52</f>
        <v>28.274303769066272</v>
      </c>
      <c r="G107" s="336">
        <f>G37*Inputs!$C$52</f>
        <v>21.328967181154347</v>
      </c>
      <c r="H107" s="408">
        <f>H37*Inputs!$C$52</f>
        <v>21.981848725997935</v>
      </c>
      <c r="I107" s="14">
        <f>I37*Inputs!$C$52</f>
        <v>22.958300602128713</v>
      </c>
      <c r="J107" s="14">
        <f>J37*Inputs!$C$52</f>
        <v>23.621926060632394</v>
      </c>
      <c r="K107" s="14">
        <f>K37*Inputs!$C$52</f>
        <v>24.948998106661538</v>
      </c>
      <c r="L107" s="14">
        <f>L37*Inputs!$C$52</f>
        <v>25.869968400335431</v>
      </c>
      <c r="M107" s="14">
        <f>M37*Inputs!$C$52</f>
        <v>26.779559403492044</v>
      </c>
      <c r="N107" s="183">
        <f>N37*Inputs!$C$52</f>
        <v>27.722541741957592</v>
      </c>
      <c r="O107" s="14">
        <f>O37*Inputs!$C$52</f>
        <v>29.125556823721496</v>
      </c>
      <c r="P107" s="14">
        <f>P37*Inputs!$C$52</f>
        <v>30.622369889076275</v>
      </c>
      <c r="Q107" s="14">
        <f>Q37*Inputs!$C$52</f>
        <v>31.867934591188355</v>
      </c>
      <c r="R107" s="14">
        <f>R37*Inputs!$C$52</f>
        <v>33.421835251329526</v>
      </c>
      <c r="S107" s="14">
        <f>S37*Inputs!$C$52</f>
        <v>34.851477986291322</v>
      </c>
      <c r="T107" s="14">
        <f>T37*Inputs!$C$52</f>
        <v>36.186164815407864</v>
      </c>
      <c r="U107" s="14">
        <f>U37*Inputs!$C$52</f>
        <v>38.151005736566262</v>
      </c>
      <c r="V107" s="14">
        <f>V37*Inputs!$C$52</f>
        <v>39.686811551408837</v>
      </c>
      <c r="W107" s="14">
        <f>W37*Inputs!$C$52</f>
        <v>41.542652182617921</v>
      </c>
      <c r="X107" s="188">
        <f>X37*Inputs!$C$52</f>
        <v>43.347659784685902</v>
      </c>
      <c r="Y107" s="159">
        <f>Y37*Inputs!$C$52</f>
        <v>43.304617791081519</v>
      </c>
      <c r="Z107" s="159">
        <f>Z37*Inputs!$C$52</f>
        <v>43.433396396065298</v>
      </c>
      <c r="AA107" s="159">
        <f>AA37*Inputs!$C$52</f>
        <v>43.683647023896931</v>
      </c>
      <c r="AB107" s="159">
        <f>AB37*Inputs!$C$52</f>
        <v>44.103887619892539</v>
      </c>
      <c r="AC107" s="159">
        <f>AC37*Inputs!$C$52</f>
        <v>44.197763064096947</v>
      </c>
      <c r="AD107" s="159">
        <f>AD37*Inputs!$C$52</f>
        <v>44.481737272313417</v>
      </c>
      <c r="AE107" s="159">
        <f>AE37*Inputs!$C$52</f>
        <v>44.723351113957975</v>
      </c>
      <c r="AF107" s="159">
        <f>AF37*Inputs!$C$52</f>
        <v>44.879521419328221</v>
      </c>
      <c r="AG107" s="159">
        <f>AG37*Inputs!$C$52</f>
        <v>45.565573990974364</v>
      </c>
      <c r="AH107" s="188">
        <f>AH37*Inputs!$C$52</f>
        <v>46.060867409634241</v>
      </c>
    </row>
    <row r="108" spans="1:36">
      <c r="A108" s="9" t="s">
        <v>347</v>
      </c>
      <c r="B108" s="35">
        <v>1</v>
      </c>
      <c r="C108" s="336">
        <f>C38*Inputs!$C$54</f>
        <v>0</v>
      </c>
      <c r="D108" s="336">
        <f>D38*Inputs!$C$54</f>
        <v>0</v>
      </c>
      <c r="E108" s="336">
        <f>E38*Inputs!$C$54</f>
        <v>0.15800000000000003</v>
      </c>
      <c r="F108" s="336">
        <f>F38*Inputs!$C$54</f>
        <v>0.15800000000000003</v>
      </c>
      <c r="G108" s="336">
        <f>G38*Inputs!$C$54</f>
        <v>0.15800000000000003</v>
      </c>
      <c r="H108" s="408">
        <f>H38*Inputs!$C$54</f>
        <v>0.15800000000000003</v>
      </c>
      <c r="I108" s="14">
        <f>I38*Inputs!$C$54</f>
        <v>0.1647093415424887</v>
      </c>
      <c r="J108" s="14">
        <f>J38*Inputs!$C$54</f>
        <v>0.16915288905479772</v>
      </c>
      <c r="K108" s="14">
        <f>K38*Inputs!$C$54</f>
        <v>0.17832114534723378</v>
      </c>
      <c r="L108" s="14">
        <f>L38*Inputs!$C$54</f>
        <v>0.18455731105606252</v>
      </c>
      <c r="M108" s="14">
        <f>M38*Inputs!$C$54</f>
        <v>0.1906884567998301</v>
      </c>
      <c r="N108" s="183">
        <f>N38*Inputs!$C$54</f>
        <v>0.19703330568210212</v>
      </c>
      <c r="O108" s="14">
        <f>O38*Inputs!$C$54</f>
        <v>0.20700499954967419</v>
      </c>
      <c r="P108" s="14">
        <f>P38*Inputs!$C$54</f>
        <v>0.2176433468195659</v>
      </c>
      <c r="Q108" s="14">
        <f>Q38*Inputs!$C$54</f>
        <v>0.22649598857884046</v>
      </c>
      <c r="R108" s="14">
        <f>R38*Inputs!$C$54</f>
        <v>0.23754007633309684</v>
      </c>
      <c r="S108" s="14">
        <f>S38*Inputs!$C$54</f>
        <v>0.24770102177005851</v>
      </c>
      <c r="T108" s="14">
        <f>T38*Inputs!$C$54</f>
        <v>0.2571870840669071</v>
      </c>
      <c r="U108" s="14">
        <f>U38*Inputs!$C$54</f>
        <v>0.27115186065336916</v>
      </c>
      <c r="V108" s="14">
        <f>V38*Inputs!$C$54</f>
        <v>0.28206734233614145</v>
      </c>
      <c r="W108" s="14">
        <f>W38*Inputs!$C$54</f>
        <v>0.29525741768312386</v>
      </c>
      <c r="X108" s="188">
        <f>X38*Inputs!$C$54</f>
        <v>0.30808620581976537</v>
      </c>
      <c r="Y108" s="159">
        <f>Y38*Inputs!$C$54</f>
        <v>0.30778029208494412</v>
      </c>
      <c r="Z108" s="159">
        <f>Z38*Inputs!$C$54</f>
        <v>0.30869556437408924</v>
      </c>
      <c r="AA108" s="159">
        <f>AA38*Inputs!$C$54</f>
        <v>0.31047417864797677</v>
      </c>
      <c r="AB108" s="159">
        <f>AB38*Inputs!$C$54</f>
        <v>0.31346096804779261</v>
      </c>
      <c r="AC108" s="159">
        <f>AC38*Inputs!$C$54</f>
        <v>0.31412817198840304</v>
      </c>
      <c r="AD108" s="159">
        <f>AD38*Inputs!$C$54</f>
        <v>0.31614647094144105</v>
      </c>
      <c r="AE108" s="159">
        <f>AE38*Inputs!$C$54</f>
        <v>0.31786370070921988</v>
      </c>
      <c r="AF108" s="159">
        <f>AF38*Inputs!$C$54</f>
        <v>0.31897365490472246</v>
      </c>
      <c r="AG108" s="159">
        <f>AG38*Inputs!$C$54</f>
        <v>0.32384965824241657</v>
      </c>
      <c r="AH108" s="188">
        <f>AH38*Inputs!$C$54</f>
        <v>0.32736987296405029</v>
      </c>
    </row>
    <row r="109" spans="1:36">
      <c r="A109" s="9" t="s">
        <v>348</v>
      </c>
      <c r="B109" s="35">
        <v>1</v>
      </c>
      <c r="C109" s="336">
        <f>C39*Inputs!$C$54</f>
        <v>0</v>
      </c>
      <c r="D109" s="336">
        <f>D39*Inputs!$C$55</f>
        <v>0</v>
      </c>
      <c r="E109" s="336">
        <f>E39*Inputs!$C$55</f>
        <v>2.3000000000000003E-2</v>
      </c>
      <c r="F109" s="336">
        <f>F39*Inputs!$C$55</f>
        <v>2.3000000000000003E-2</v>
      </c>
      <c r="G109" s="336">
        <f>G39*Inputs!$C$55</f>
        <v>2.3000000000000003E-2</v>
      </c>
      <c r="H109" s="408">
        <f>H39*Inputs!$C$55</f>
        <v>2.3000000000000003E-2</v>
      </c>
      <c r="I109" s="14">
        <f>I39*Inputs!$C$55</f>
        <v>2.3976676300488862E-2</v>
      </c>
      <c r="J109" s="14">
        <f>J39*Inputs!$C$55</f>
        <v>2.462352182443258E-2</v>
      </c>
      <c r="K109" s="14">
        <f>K39*Inputs!$C$55</f>
        <v>2.5958141411306184E-2</v>
      </c>
      <c r="L109" s="14">
        <f>L39*Inputs!$C$55</f>
        <v>2.6865937685376189E-2</v>
      </c>
      <c r="M109" s="14">
        <f>M39*Inputs!$C$55</f>
        <v>2.7758446243013241E-2</v>
      </c>
      <c r="N109" s="183">
        <f>N39*Inputs!$C$55</f>
        <v>2.8682063485369298E-2</v>
      </c>
      <c r="O109" s="14">
        <f>O39*Inputs!$C$55</f>
        <v>3.0133639174952574E-2</v>
      </c>
      <c r="P109" s="14">
        <f>P39*Inputs!$C$55</f>
        <v>3.1682259347151999E-2</v>
      </c>
      <c r="Q109" s="14">
        <f>Q39*Inputs!$C$55</f>
        <v>3.2970935046286898E-2</v>
      </c>
      <c r="R109" s="14">
        <f>R39*Inputs!$C$55</f>
        <v>3.4578618706716628E-2</v>
      </c>
      <c r="S109" s="14">
        <f>S39*Inputs!$C$55</f>
        <v>3.6057743675388262E-2</v>
      </c>
      <c r="T109" s="14">
        <f>T39*Inputs!$C$55</f>
        <v>3.7438626161638379E-2</v>
      </c>
      <c r="U109" s="14">
        <f>U39*Inputs!$C$55</f>
        <v>3.9471473386249942E-2</v>
      </c>
      <c r="V109" s="14">
        <f>V39*Inputs!$C$55</f>
        <v>4.1060435909691474E-2</v>
      </c>
      <c r="W109" s="14">
        <f>W39*Inputs!$C$55</f>
        <v>4.2980510169062333E-2</v>
      </c>
      <c r="X109" s="188">
        <f>X39*Inputs!$C$55</f>
        <v>4.4847991986421538E-2</v>
      </c>
      <c r="Y109" s="159">
        <f>Y39*Inputs!$C$55</f>
        <v>4.480346024021338E-2</v>
      </c>
      <c r="Z109" s="159">
        <f>Z39*Inputs!$C$55</f>
        <v>4.4936696079772485E-2</v>
      </c>
      <c r="AA109" s="159">
        <f>AA39*Inputs!$C$55</f>
        <v>4.5195608284199149E-2</v>
      </c>
      <c r="AB109" s="159">
        <f>AB39*Inputs!$C$55</f>
        <v>4.563039408290652E-2</v>
      </c>
      <c r="AC109" s="159">
        <f>AC39*Inputs!$C$55</f>
        <v>4.5727518707172593E-2</v>
      </c>
      <c r="AD109" s="159">
        <f>AD39*Inputs!$C$55</f>
        <v>4.6021321719323695E-2</v>
      </c>
      <c r="AE109" s="159">
        <f>AE39*Inputs!$C$55</f>
        <v>4.6271298204506692E-2</v>
      </c>
      <c r="AF109" s="159">
        <f>AF39*Inputs!$C$55</f>
        <v>4.6432873815244413E-2</v>
      </c>
      <c r="AG109" s="159">
        <f>AG39*Inputs!$C$55</f>
        <v>4.7142671769465704E-2</v>
      </c>
      <c r="AH109" s="188">
        <f>AH39*Inputs!$C$55</f>
        <v>4.7655108089703517E-2</v>
      </c>
    </row>
    <row r="110" spans="1:36">
      <c r="A110" s="9" t="s">
        <v>344</v>
      </c>
      <c r="B110" s="35">
        <v>1</v>
      </c>
      <c r="C110" s="336">
        <f>C40*Inputs!$C$51</f>
        <v>2.7000000000000001E-3</v>
      </c>
      <c r="D110" s="336">
        <f>D40*Inputs!$C$51</f>
        <v>2.8448544964768631E-3</v>
      </c>
      <c r="E110" s="336">
        <f>E40*Inputs!$C$51</f>
        <v>2.7687076437746686E-3</v>
      </c>
      <c r="F110" s="336">
        <f>F40*Inputs!$C$51</f>
        <v>2.7886945194539885E-3</v>
      </c>
      <c r="G110" s="336">
        <f>G40*Inputs!$C$51</f>
        <v>2.7814051060972241E-3</v>
      </c>
      <c r="H110" s="408">
        <f>H40*Inputs!$C$51</f>
        <v>2.7000000000000001E-3</v>
      </c>
      <c r="I110" s="14">
        <f>I40*Inputs!$C$51</f>
        <v>2.8146533048399969E-3</v>
      </c>
      <c r="J110" s="14">
        <f>J40*Inputs!$C$51</f>
        <v>2.8905873446073023E-3</v>
      </c>
      <c r="K110" s="14">
        <f>K40*Inputs!$C$51</f>
        <v>3.0472600787185521E-3</v>
      </c>
      <c r="L110" s="14">
        <f>L40*Inputs!$C$51</f>
        <v>3.1538274674137268E-3</v>
      </c>
      <c r="M110" s="14">
        <f>M40*Inputs!$C$51</f>
        <v>3.2586002111363371E-3</v>
      </c>
      <c r="N110" s="183">
        <f>N40*Inputs!$C$51</f>
        <v>3.3670248439346562E-3</v>
      </c>
      <c r="O110" s="14">
        <f>O40*Inputs!$C$51</f>
        <v>3.5374272074944323E-3</v>
      </c>
      <c r="P110" s="14">
        <f>P40*Inputs!$C$51</f>
        <v>3.7192217494482782E-3</v>
      </c>
      <c r="Q110" s="14">
        <f>Q40*Inputs!$C$51</f>
        <v>3.8705010706510706E-3</v>
      </c>
      <c r="R110" s="14">
        <f>R40*Inputs!$C$51</f>
        <v>4.0592291525276035E-3</v>
      </c>
      <c r="S110" s="14">
        <f>S40*Inputs!$C$51</f>
        <v>4.2328655618934048E-3</v>
      </c>
      <c r="T110" s="14">
        <f>T40*Inputs!$C$51</f>
        <v>4.3949691581053746E-3</v>
      </c>
      <c r="U110" s="14">
        <f>U40*Inputs!$C$51</f>
        <v>4.6336077453423847E-3</v>
      </c>
      <c r="V110" s="14">
        <f>V40*Inputs!$C$51</f>
        <v>4.8201381285289998E-3</v>
      </c>
      <c r="W110" s="14">
        <f>W40*Inputs!$C$51</f>
        <v>5.0455381502812315E-3</v>
      </c>
      <c r="X110" s="188">
        <f>X40*Inputs!$C$51</f>
        <v>5.2647642766668742E-3</v>
      </c>
      <c r="Y110" s="159">
        <f>Y40*Inputs!$C$51</f>
        <v>5.259536636894613E-3</v>
      </c>
      <c r="Z110" s="159">
        <f>Z40*Inputs!$C$51</f>
        <v>5.2751773658863341E-3</v>
      </c>
      <c r="AA110" s="159">
        <f>AA40*Inputs!$C$51</f>
        <v>5.3055714072755503E-3</v>
      </c>
      <c r="AB110" s="159">
        <f>AB40*Inputs!$C$51</f>
        <v>5.3566114792977203E-3</v>
      </c>
      <c r="AC110" s="159">
        <f>AC40*Inputs!$C$51</f>
        <v>5.3680130656246069E-3</v>
      </c>
      <c r="AD110" s="159">
        <f>AD40*Inputs!$C$51</f>
        <v>5.4025029844423453E-3</v>
      </c>
      <c r="AE110" s="159">
        <f>AE40*Inputs!$C$51</f>
        <v>5.4318480500942625E-3</v>
      </c>
      <c r="AF110" s="159">
        <f>AF40*Inputs!$C$51</f>
        <v>5.4508156217895594E-3</v>
      </c>
      <c r="AG110" s="159">
        <f>AG40*Inputs!$C$51</f>
        <v>5.5341397294590144E-3</v>
      </c>
      <c r="AH110" s="188">
        <f>AH40*Inputs!$C$51</f>
        <v>5.5942952974869335E-3</v>
      </c>
    </row>
    <row r="111" spans="1:36">
      <c r="A111" s="10" t="s">
        <v>120</v>
      </c>
      <c r="B111" s="35">
        <v>1</v>
      </c>
      <c r="C111" s="336"/>
      <c r="D111" s="336"/>
      <c r="E111" s="336"/>
      <c r="F111" s="336"/>
      <c r="G111" s="336"/>
      <c r="H111" s="408"/>
      <c r="I111" s="14"/>
      <c r="J111" s="14"/>
      <c r="K111" s="14"/>
      <c r="L111" s="14"/>
      <c r="M111" s="14"/>
      <c r="N111" s="188"/>
      <c r="O111" s="14"/>
      <c r="P111" s="14"/>
      <c r="Q111" s="14"/>
      <c r="R111" s="14"/>
      <c r="S111" s="14"/>
      <c r="T111" s="14"/>
      <c r="U111" s="14"/>
      <c r="V111" s="14"/>
      <c r="W111" s="14"/>
      <c r="X111" s="188"/>
    </row>
    <row r="112" spans="1:36">
      <c r="A112" s="10" t="s">
        <v>53</v>
      </c>
      <c r="B112" s="35">
        <v>1</v>
      </c>
      <c r="C112" s="336">
        <f>C42*Inputs!$C$57</f>
        <v>0</v>
      </c>
      <c r="D112" s="336">
        <f>D42*Inputs!$C$57</f>
        <v>0</v>
      </c>
      <c r="E112" s="336">
        <f>E42*Inputs!$C$57</f>
        <v>1.02E-9</v>
      </c>
      <c r="F112" s="336">
        <f>F42*Inputs!$C$57</f>
        <v>1.02E-9</v>
      </c>
      <c r="G112" s="336">
        <f>G42*Inputs!$C$57</f>
        <v>1.02E-9</v>
      </c>
      <c r="H112" s="408">
        <f>H42*Inputs!$C$57</f>
        <v>1.02E-9</v>
      </c>
      <c r="I112" s="14">
        <f>I42*Inputs!$C$57</f>
        <v>4.7523261999999998E-4</v>
      </c>
      <c r="J112" s="14">
        <f>J42*Inputs!$C$57</f>
        <v>6.4790246999999997E-4</v>
      </c>
      <c r="K112" s="14">
        <f>K42*Inputs!$C$57</f>
        <v>6.4790246999999997E-4</v>
      </c>
      <c r="L112" s="14">
        <f>L42*Inputs!$C$57</f>
        <v>6.4799444000000002E-4</v>
      </c>
      <c r="M112" s="14">
        <f>M42*Inputs!$C$57</f>
        <v>6.4796400999999997E-4</v>
      </c>
      <c r="N112" s="183">
        <f>N42*Inputs!$C$57</f>
        <v>8.0805846517475858E-4</v>
      </c>
      <c r="O112" s="14">
        <f>O42*Inputs!$C$57</f>
        <v>8.4895364080980122E-4</v>
      </c>
      <c r="P112" s="14">
        <f>P42*Inputs!$C$57</f>
        <v>8.9258284622329798E-4</v>
      </c>
      <c r="Q112" s="14">
        <f>Q42*Inputs!$C$57</f>
        <v>9.2888864786417843E-4</v>
      </c>
      <c r="R112" s="14">
        <f>R42*Inputs!$C$57</f>
        <v>9.7418184623521121E-4</v>
      </c>
      <c r="S112" s="14">
        <f>S42*Inputs!$C$57</f>
        <v>1.0158531664523269E-3</v>
      </c>
      <c r="T112" s="14">
        <f>T42*Inputs!$C$57</f>
        <v>1.0547567056971639E-3</v>
      </c>
      <c r="U112" s="14">
        <f>U42*Inputs!$C$57</f>
        <v>1.1120280177522503E-3</v>
      </c>
      <c r="V112" s="14">
        <f>V42*Inputs!$C$57</f>
        <v>1.1567937863855751E-3</v>
      </c>
      <c r="W112" s="14">
        <f>W42*Inputs!$C$57</f>
        <v>1.2108879508392659E-3</v>
      </c>
      <c r="X112" s="188">
        <f>X42*Inputs!$C$57</f>
        <v>1.2635004308251235E-3</v>
      </c>
      <c r="Y112" s="159">
        <f>Y42*Inputs!$C$57</f>
        <v>1.2622458399721721E-3</v>
      </c>
      <c r="Z112" s="159">
        <f>Z42*Inputs!$C$57</f>
        <v>1.2659994871975651E-3</v>
      </c>
      <c r="AA112" s="159">
        <f>AA42*Inputs!$C$57</f>
        <v>1.2732938089129726E-3</v>
      </c>
      <c r="AB112" s="159">
        <f>AB42*Inputs!$C$57</f>
        <v>1.2855430093710383E-3</v>
      </c>
      <c r="AC112" s="159">
        <f>AC42*Inputs!$C$57</f>
        <v>1.2882792969765363E-3</v>
      </c>
      <c r="AD112" s="159">
        <f>AD42*Inputs!$C$57</f>
        <v>1.2965565958251233E-3</v>
      </c>
      <c r="AE112" s="159">
        <f>AE42*Inputs!$C$57</f>
        <v>1.3035991719302135E-3</v>
      </c>
      <c r="AF112" s="159">
        <f>AF42*Inputs!$C$57</f>
        <v>1.3081512342352495E-3</v>
      </c>
      <c r="AG112" s="159">
        <f>AG42*Inputs!$C$57</f>
        <v>1.3281483395957063E-3</v>
      </c>
      <c r="AH112" s="188">
        <f>AH42*Inputs!$C$57</f>
        <v>1.3425851846519342E-3</v>
      </c>
      <c r="AI112" s="31" t="s">
        <v>0</v>
      </c>
    </row>
    <row r="113" spans="1:35" s="20" customFormat="1">
      <c r="A113" s="10" t="s">
        <v>383</v>
      </c>
      <c r="B113" s="37"/>
      <c r="C113" s="339">
        <f>SUM(C100:C112)</f>
        <v>8009.6612000000014</v>
      </c>
      <c r="D113" s="339">
        <f t="shared" ref="D113:AH113" si="87">SUM(D100:D112)</f>
        <v>8390.028100133939</v>
      </c>
      <c r="E113" s="339">
        <f t="shared" si="87"/>
        <v>8127.8571822931308</v>
      </c>
      <c r="F113" s="339">
        <f t="shared" si="87"/>
        <v>8158.1970526878649</v>
      </c>
      <c r="G113" s="339">
        <f t="shared" si="87"/>
        <v>8106.8993321214057</v>
      </c>
      <c r="H113" s="410">
        <f t="shared" si="87"/>
        <v>8041.0819571538304</v>
      </c>
      <c r="I113" s="19">
        <f t="shared" si="87"/>
        <v>8367.7322125553219</v>
      </c>
      <c r="J113" s="19">
        <f t="shared" si="87"/>
        <v>8693.6317339900561</v>
      </c>
      <c r="K113" s="19">
        <f t="shared" si="87"/>
        <v>9057.8185267482258</v>
      </c>
      <c r="L113" s="19">
        <f t="shared" si="87"/>
        <v>9392.4055074168318</v>
      </c>
      <c r="M113" s="19">
        <f t="shared" si="87"/>
        <v>9737.8183683662864</v>
      </c>
      <c r="N113" s="183">
        <f t="shared" si="87"/>
        <v>10113.789554498422</v>
      </c>
      <c r="O113" s="19">
        <f t="shared" si="87"/>
        <v>10245.500409556971</v>
      </c>
      <c r="P113" s="19">
        <f t="shared" si="87"/>
        <v>10338.830103464112</v>
      </c>
      <c r="Q113" s="19">
        <f t="shared" si="87"/>
        <v>10352.371542264065</v>
      </c>
      <c r="R113" s="19">
        <f t="shared" si="87"/>
        <v>10447.808385736371</v>
      </c>
      <c r="S113" s="19">
        <f t="shared" si="87"/>
        <v>10485.372015906636</v>
      </c>
      <c r="T113" s="19">
        <f t="shared" si="87"/>
        <v>10479.36428764029</v>
      </c>
      <c r="U113" s="19">
        <f t="shared" si="87"/>
        <v>10636.370283353192</v>
      </c>
      <c r="V113" s="19">
        <f t="shared" si="87"/>
        <v>10653.627924079072</v>
      </c>
      <c r="W113" s="19">
        <f t="shared" si="87"/>
        <v>10739.442326803039</v>
      </c>
      <c r="X113" s="183">
        <f t="shared" si="87"/>
        <v>10793.576000611514</v>
      </c>
      <c r="Y113" s="207">
        <f t="shared" si="87"/>
        <v>10741.295220759992</v>
      </c>
      <c r="Z113" s="207">
        <f t="shared" si="87"/>
        <v>10731.550603808277</v>
      </c>
      <c r="AA113" s="207">
        <f t="shared" si="87"/>
        <v>10751.455581581622</v>
      </c>
      <c r="AB113" s="207">
        <f t="shared" si="87"/>
        <v>10812.555101477612</v>
      </c>
      <c r="AC113" s="207">
        <f t="shared" si="87"/>
        <v>10793.149157125608</v>
      </c>
      <c r="AD113" s="207">
        <f t="shared" si="87"/>
        <v>10819.802913192854</v>
      </c>
      <c r="AE113" s="207">
        <f t="shared" si="87"/>
        <v>10835.648417803392</v>
      </c>
      <c r="AF113" s="207">
        <f t="shared" si="87"/>
        <v>10830.410730307625</v>
      </c>
      <c r="AG113" s="207">
        <f t="shared" si="87"/>
        <v>10952.236873792894</v>
      </c>
      <c r="AH113" s="183">
        <f t="shared" si="87"/>
        <v>11027.077904014335</v>
      </c>
      <c r="AI113" s="31" t="s">
        <v>0</v>
      </c>
    </row>
    <row r="114" spans="1:35" s="20" customFormat="1">
      <c r="A114" s="10" t="s">
        <v>384</v>
      </c>
      <c r="B114" s="37"/>
      <c r="C114" s="339">
        <f>SUM(C101:C103)</f>
        <v>7650.7985000000008</v>
      </c>
      <c r="D114" s="339">
        <f t="shared" ref="D114:AH114" si="88">SUM(D101:D103)</f>
        <v>7963.6816099662165</v>
      </c>
      <c r="E114" s="339">
        <f t="shared" si="88"/>
        <v>7656.6869879258966</v>
      </c>
      <c r="F114" s="339">
        <f t="shared" si="88"/>
        <v>7618.5765676525716</v>
      </c>
      <c r="G114" s="339">
        <f t="shared" si="88"/>
        <v>7506.6363901504965</v>
      </c>
      <c r="H114" s="410">
        <f t="shared" si="88"/>
        <v>7577.4459078079344</v>
      </c>
      <c r="I114" s="19">
        <f t="shared" si="88"/>
        <v>7822.1475149892249</v>
      </c>
      <c r="J114" s="19">
        <f t="shared" si="88"/>
        <v>7954.6851881469374</v>
      </c>
      <c r="K114" s="19">
        <f t="shared" si="88"/>
        <v>8303.7844670271552</v>
      </c>
      <c r="L114" s="19">
        <f t="shared" si="88"/>
        <v>8509.9696119367854</v>
      </c>
      <c r="M114" s="19">
        <f t="shared" si="88"/>
        <v>8706.4001384140356</v>
      </c>
      <c r="N114" s="183">
        <f t="shared" si="88"/>
        <v>8907.6942766253014</v>
      </c>
      <c r="O114" s="19">
        <f t="shared" si="88"/>
        <v>8954.1649132458169</v>
      </c>
      <c r="P114" s="19">
        <f t="shared" si="88"/>
        <v>9006.5750720071374</v>
      </c>
      <c r="Q114" s="19">
        <f t="shared" si="88"/>
        <v>8965.9270458047104</v>
      </c>
      <c r="R114" s="19">
        <f t="shared" si="88"/>
        <v>8993.7599781376684</v>
      </c>
      <c r="S114" s="19">
        <f t="shared" si="88"/>
        <v>8969.1256551861497</v>
      </c>
      <c r="T114" s="19">
        <f t="shared" si="88"/>
        <v>8905.0511198780587</v>
      </c>
      <c r="U114" s="19">
        <f t="shared" si="88"/>
        <v>8976.574861516312</v>
      </c>
      <c r="V114" s="19">
        <f t="shared" si="88"/>
        <v>8927.0158243829537</v>
      </c>
      <c r="W114" s="19">
        <f t="shared" si="88"/>
        <v>8932.0901332648518</v>
      </c>
      <c r="X114" s="183">
        <f t="shared" si="88"/>
        <v>8907.6952520207997</v>
      </c>
      <c r="Y114" s="207">
        <f t="shared" si="88"/>
        <v>8857.287054622926</v>
      </c>
      <c r="Z114" s="207">
        <f t="shared" si="88"/>
        <v>8841.9398032227637</v>
      </c>
      <c r="AA114" s="207">
        <f t="shared" si="88"/>
        <v>8850.9573918338174</v>
      </c>
      <c r="AB114" s="207">
        <f t="shared" si="88"/>
        <v>8893.7739489654759</v>
      </c>
      <c r="AC114" s="207">
        <f t="shared" si="88"/>
        <v>8870.283865034311</v>
      </c>
      <c r="AD114" s="207">
        <f t="shared" si="88"/>
        <v>8884.5830558255584</v>
      </c>
      <c r="AE114" s="207">
        <f t="shared" si="88"/>
        <v>8889.9169227879756</v>
      </c>
      <c r="AF114" s="207">
        <f t="shared" si="88"/>
        <v>8877.8848991305331</v>
      </c>
      <c r="AG114" s="207">
        <f t="shared" si="88"/>
        <v>8969.8636796020874</v>
      </c>
      <c r="AH114" s="183">
        <f t="shared" si="88"/>
        <v>9023.1565033506959</v>
      </c>
      <c r="AI114" s="31"/>
    </row>
    <row r="115" spans="1:35" s="20" customFormat="1">
      <c r="A115" s="10" t="s">
        <v>385</v>
      </c>
      <c r="B115" s="37"/>
      <c r="C115" s="339">
        <f>SUMPRODUCT($B104:$B112,C104:C112)</f>
        <v>358.86270000000002</v>
      </c>
      <c r="D115" s="339">
        <f t="shared" ref="D115:AH115" si="89">SUMPRODUCT($B104:$B112,D104:D112)</f>
        <v>426.34649016772272</v>
      </c>
      <c r="E115" s="339">
        <f t="shared" si="89"/>
        <v>471.17019436723371</v>
      </c>
      <c r="F115" s="339">
        <f t="shared" si="89"/>
        <v>539.62048503529286</v>
      </c>
      <c r="G115" s="339">
        <f t="shared" si="89"/>
        <v>600.2629419709076</v>
      </c>
      <c r="H115" s="410">
        <f t="shared" si="89"/>
        <v>463.63604934589466</v>
      </c>
      <c r="I115" s="19">
        <f t="shared" si="89"/>
        <v>545.58469756609543</v>
      </c>
      <c r="J115" s="19">
        <f t="shared" si="89"/>
        <v>738.94654584311911</v>
      </c>
      <c r="K115" s="19">
        <f t="shared" si="89"/>
        <v>754.03405972106805</v>
      </c>
      <c r="L115" s="19">
        <f t="shared" si="89"/>
        <v>882.43589548004479</v>
      </c>
      <c r="M115" s="19">
        <f t="shared" si="89"/>
        <v>1031.4182299522492</v>
      </c>
      <c r="N115" s="183">
        <f t="shared" si="89"/>
        <v>1206.0952778731225</v>
      </c>
      <c r="O115" s="19">
        <f t="shared" si="89"/>
        <v>1291.3354963111531</v>
      </c>
      <c r="P115" s="19">
        <f t="shared" si="89"/>
        <v>1332.2550314569742</v>
      </c>
      <c r="Q115" s="19">
        <f t="shared" si="89"/>
        <v>1386.4444964593538</v>
      </c>
      <c r="R115" s="19">
        <f t="shared" si="89"/>
        <v>1454.0484075987029</v>
      </c>
      <c r="S115" s="19">
        <f t="shared" si="89"/>
        <v>1516.2463607204891</v>
      </c>
      <c r="T115" s="19">
        <f t="shared" si="89"/>
        <v>1574.3131677622318</v>
      </c>
      <c r="U115" s="19">
        <f t="shared" si="89"/>
        <v>1659.7954218368789</v>
      </c>
      <c r="V115" s="19">
        <f t="shared" si="89"/>
        <v>1726.6120996961188</v>
      </c>
      <c r="W115" s="19">
        <f t="shared" si="89"/>
        <v>1807.3521935381887</v>
      </c>
      <c r="X115" s="183">
        <f t="shared" si="89"/>
        <v>1885.8807485907146</v>
      </c>
      <c r="Y115" s="207">
        <f t="shared" si="89"/>
        <v>1884.0081661370671</v>
      </c>
      <c r="Z115" s="207">
        <f t="shared" si="89"/>
        <v>1889.6108005855149</v>
      </c>
      <c r="AA115" s="207">
        <f t="shared" si="89"/>
        <v>1900.4981897478049</v>
      </c>
      <c r="AB115" s="207">
        <f t="shared" si="89"/>
        <v>1918.7811525121379</v>
      </c>
      <c r="AC115" s="207">
        <f t="shared" si="89"/>
        <v>1922.8652920912959</v>
      </c>
      <c r="AD115" s="207">
        <f t="shared" si="89"/>
        <v>1935.2198573672954</v>
      </c>
      <c r="AE115" s="207">
        <f t="shared" si="89"/>
        <v>1945.7314950154137</v>
      </c>
      <c r="AF115" s="207">
        <f t="shared" si="89"/>
        <v>1952.5258311770926</v>
      </c>
      <c r="AG115" s="207">
        <f t="shared" si="89"/>
        <v>1982.3731941908097</v>
      </c>
      <c r="AH115" s="183">
        <f t="shared" si="89"/>
        <v>2003.9214006636382</v>
      </c>
    </row>
    <row r="116" spans="1:35" s="20" customFormat="1">
      <c r="A116" s="10" t="s">
        <v>142</v>
      </c>
      <c r="B116" s="37"/>
      <c r="C116" s="339">
        <f>C47*Inputs!$C$60</f>
        <v>3407.866</v>
      </c>
      <c r="D116" s="339">
        <f>D47*Inputs!$C$60</f>
        <v>3927.0588595804747</v>
      </c>
      <c r="E116" s="339">
        <f>E47*Inputs!$C$60</f>
        <v>3370.1886571052592</v>
      </c>
      <c r="F116" s="339">
        <f>F47*Inputs!$C$60</f>
        <v>2746.2256980857996</v>
      </c>
      <c r="G116" s="339">
        <f>G47*Inputs!$C$60</f>
        <v>2872.8334930353089</v>
      </c>
      <c r="H116" s="410">
        <f>H47*Inputs!$C$60</f>
        <v>3296.8252953312463</v>
      </c>
      <c r="I116" s="19">
        <f>I47*Inputs!$C$60</f>
        <v>3004.0664264324687</v>
      </c>
      <c r="J116" s="19">
        <f>J47*Inputs!$C$60</f>
        <v>2781.4627150684378</v>
      </c>
      <c r="K116" s="19">
        <f>K47*Inputs!$C$60</f>
        <v>3007.7634447455748</v>
      </c>
      <c r="L116" s="19">
        <f>L47*Inputs!$C$60</f>
        <v>3305.9533568112756</v>
      </c>
      <c r="M116" s="19">
        <f>M47*Inputs!$C$60</f>
        <v>3371.6545186515982</v>
      </c>
      <c r="N116" s="183">
        <f>N47*Inputs!$C$60</f>
        <v>3239.5115150737415</v>
      </c>
      <c r="O116" s="19">
        <f>O47*Inputs!$C$60</f>
        <v>3332.4961413833589</v>
      </c>
      <c r="P116" s="19">
        <f>P47*Inputs!$C$60</f>
        <v>3349.1599294545749</v>
      </c>
      <c r="Q116" s="19">
        <f>Q47*Inputs!$C$60</f>
        <v>3386.5669144896988</v>
      </c>
      <c r="R116" s="19">
        <f>R47*Inputs!$C$60</f>
        <v>3398.8658202487823</v>
      </c>
      <c r="S116" s="19">
        <f>S47*Inputs!$C$60</f>
        <v>3428.6482710395312</v>
      </c>
      <c r="T116" s="19">
        <f>T47*Inputs!$C$60</f>
        <v>3441.1440906934149</v>
      </c>
      <c r="U116" s="19">
        <f>U47*Inputs!$C$60</f>
        <v>3396.0835326776032</v>
      </c>
      <c r="V116" s="19">
        <f>V47*Inputs!$C$60</f>
        <v>3398.4076905696056</v>
      </c>
      <c r="W116" s="19">
        <f>W47*Inputs!$C$60</f>
        <v>3387.9948191437629</v>
      </c>
      <c r="X116" s="183">
        <f>X47*Inputs!$C$60</f>
        <v>3383.0990639870179</v>
      </c>
      <c r="Y116" s="207">
        <f>Y47*Inputs!$C$60</f>
        <v>3406.6301303270889</v>
      </c>
      <c r="Z116" s="207">
        <f>Z47*Inputs!$C$60</f>
        <v>3420.4706935307681</v>
      </c>
      <c r="AA116" s="207">
        <f>AA47*Inputs!$C$60</f>
        <v>3418.5999156899361</v>
      </c>
      <c r="AB116" s="207">
        <f>AB47*Inputs!$C$60</f>
        <v>3405.6671930368943</v>
      </c>
      <c r="AC116" s="207">
        <f>AC47*Inputs!$C$60</f>
        <v>3415.391710830299</v>
      </c>
      <c r="AD116" s="207">
        <f>AD47*Inputs!$C$60</f>
        <v>3430.1139051978007</v>
      </c>
      <c r="AE116" s="207">
        <f>AE47*Inputs!$C$60</f>
        <v>3430.1122187531464</v>
      </c>
      <c r="AF116" s="207">
        <f>AF47*Inputs!$C$60</f>
        <v>3434.940000944745</v>
      </c>
      <c r="AG116" s="207">
        <f>AG47*Inputs!$C$60</f>
        <v>3413.782939699739</v>
      </c>
      <c r="AH116" s="183">
        <f>AH47*Inputs!$C$60</f>
        <v>3394.0542642693699</v>
      </c>
      <c r="AI116" s="31"/>
    </row>
    <row r="117" spans="1:35" s="20" customFormat="1">
      <c r="A117" s="10" t="s">
        <v>222</v>
      </c>
      <c r="B117" s="37"/>
      <c r="C117" s="339">
        <f>C48*Inputs!$C$61</f>
        <v>1460.5139999999999</v>
      </c>
      <c r="D117" s="339">
        <f>D48*Inputs!$C$61</f>
        <v>1139.098302636932</v>
      </c>
      <c r="E117" s="339">
        <f>E48*Inputs!$C$61</f>
        <v>1449.5777800349581</v>
      </c>
      <c r="F117" s="339">
        <f>F48*Inputs!$C$61</f>
        <v>2004.422949137349</v>
      </c>
      <c r="G117" s="339">
        <f>G48*Inputs!$C$61</f>
        <v>1743.2759302872335</v>
      </c>
      <c r="H117" s="410">
        <f>H48*Inputs!$C$61</f>
        <v>1578.9563896813054</v>
      </c>
      <c r="I117" s="19">
        <f>I48*Inputs!$C$61</f>
        <v>1952.5773952355607</v>
      </c>
      <c r="J117" s="19">
        <f>J48*Inputs!$C$61</f>
        <v>2119.7909827085082</v>
      </c>
      <c r="K117" s="19">
        <f>K48*Inputs!$C$61</f>
        <v>2072.7037816814886</v>
      </c>
      <c r="L117" s="19">
        <f>L48*Inputs!$C$61</f>
        <v>1796.1712207561379</v>
      </c>
      <c r="M117" s="19">
        <f>M48*Inputs!$C$61</f>
        <v>1734.066456252601</v>
      </c>
      <c r="N117" s="183">
        <f>N48*Inputs!$C$61</f>
        <v>1857.8770331875537</v>
      </c>
      <c r="O117" s="19">
        <f>O48*Inputs!$C$61</f>
        <v>1884.6113700126425</v>
      </c>
      <c r="P117" s="19">
        <f>P48*Inputs!$C$61</f>
        <v>2019.7025385861334</v>
      </c>
      <c r="Q117" s="19">
        <f>Q48*Inputs!$C$61</f>
        <v>2067.3178602971084</v>
      </c>
      <c r="R117" s="19">
        <f>R48*Inputs!$C$61</f>
        <v>2183.4372929121628</v>
      </c>
      <c r="S117" s="19">
        <f>S48*Inputs!$C$61</f>
        <v>2254.6157299993511</v>
      </c>
      <c r="T117" s="19">
        <f>T48*Inputs!$C$61</f>
        <v>2321.8755113269331</v>
      </c>
      <c r="U117" s="19">
        <f>U48*Inputs!$C$61</f>
        <v>2533.0011858282737</v>
      </c>
      <c r="V117" s="19">
        <f>V48*Inputs!$C$61</f>
        <v>2616.6254114508788</v>
      </c>
      <c r="W117" s="19">
        <f>W48*Inputs!$C$61</f>
        <v>2749.4730449180047</v>
      </c>
      <c r="X117" s="183">
        <f>X48*Inputs!$C$61</f>
        <v>2857.9416499214794</v>
      </c>
      <c r="Y117" s="207">
        <f>Y48*Inputs!$C$61</f>
        <v>2860.8857957041896</v>
      </c>
      <c r="Z117" s="207">
        <f>Z48*Inputs!$C$61</f>
        <v>2898.4834518099656</v>
      </c>
      <c r="AA117" s="207">
        <f>AA48*Inputs!$C$61</f>
        <v>2970.4483652441445</v>
      </c>
      <c r="AB117" s="207">
        <f>AB48*Inputs!$C$61</f>
        <v>3078.0795673929301</v>
      </c>
      <c r="AC117" s="207">
        <f>AC48*Inputs!$C$61</f>
        <v>3115.3750446464046</v>
      </c>
      <c r="AD117" s="207">
        <f>AD48*Inputs!$C$61</f>
        <v>3176.0858570604219</v>
      </c>
      <c r="AE117" s="207">
        <f>AE48*Inputs!$C$61</f>
        <v>3245.4826534055037</v>
      </c>
      <c r="AF117" s="207">
        <f>AF48*Inputs!$C$61</f>
        <v>3297.6259291703309</v>
      </c>
      <c r="AG117" s="207">
        <f>AG48*Inputs!$C$61</f>
        <v>3456.0838392459614</v>
      </c>
      <c r="AH117" s="183">
        <f>AH48*Inputs!$C$61</f>
        <v>3585.2643458396697</v>
      </c>
      <c r="AI117" s="31"/>
    </row>
    <row r="118" spans="1:35" s="20" customFormat="1">
      <c r="A118" s="10" t="s">
        <v>58</v>
      </c>
      <c r="B118" s="37"/>
      <c r="C118" s="339">
        <f>SUM(C113,C116,C117)</f>
        <v>12878.0412</v>
      </c>
      <c r="D118" s="339">
        <f>SUM(D113,D116,D117)</f>
        <v>13456.185262351346</v>
      </c>
      <c r="E118" s="339">
        <f t="shared" ref="E118:AH118" si="90">SUM(E113,E116,E117)</f>
        <v>12947.623619433349</v>
      </c>
      <c r="F118" s="339">
        <f t="shared" si="90"/>
        <v>12908.845699911013</v>
      </c>
      <c r="G118" s="339">
        <f t="shared" si="90"/>
        <v>12723.008755443947</v>
      </c>
      <c r="H118" s="410">
        <f t="shared" si="90"/>
        <v>12916.863642166381</v>
      </c>
      <c r="I118" s="19">
        <f t="shared" si="90"/>
        <v>13324.376034223353</v>
      </c>
      <c r="J118" s="19">
        <f t="shared" si="90"/>
        <v>13594.885431767001</v>
      </c>
      <c r="K118" s="19">
        <f t="shared" si="90"/>
        <v>14138.285753175289</v>
      </c>
      <c r="L118" s="19">
        <f t="shared" si="90"/>
        <v>14494.530084984244</v>
      </c>
      <c r="M118" s="19">
        <f t="shared" si="90"/>
        <v>14843.539343270486</v>
      </c>
      <c r="N118" s="183">
        <f t="shared" si="90"/>
        <v>15211.178102759717</v>
      </c>
      <c r="O118" s="19">
        <f t="shared" si="90"/>
        <v>15462.607920952973</v>
      </c>
      <c r="P118" s="19">
        <f t="shared" si="90"/>
        <v>15707.69257150482</v>
      </c>
      <c r="Q118" s="19">
        <f t="shared" si="90"/>
        <v>15806.256317050873</v>
      </c>
      <c r="R118" s="19">
        <f t="shared" si="90"/>
        <v>16030.111498897317</v>
      </c>
      <c r="S118" s="19">
        <f t="shared" si="90"/>
        <v>16168.636016945518</v>
      </c>
      <c r="T118" s="19">
        <f t="shared" si="90"/>
        <v>16242.383889660638</v>
      </c>
      <c r="U118" s="19">
        <f t="shared" si="90"/>
        <v>16565.455001859067</v>
      </c>
      <c r="V118" s="19">
        <f t="shared" si="90"/>
        <v>16668.661026099555</v>
      </c>
      <c r="W118" s="19">
        <f t="shared" si="90"/>
        <v>16876.910190864808</v>
      </c>
      <c r="X118" s="183">
        <f t="shared" si="90"/>
        <v>17034.616714520012</v>
      </c>
      <c r="Y118" s="207">
        <f t="shared" si="90"/>
        <v>17008.811146791271</v>
      </c>
      <c r="Z118" s="207">
        <f t="shared" si="90"/>
        <v>17050.504749149011</v>
      </c>
      <c r="AA118" s="207">
        <f t="shared" si="90"/>
        <v>17140.503862515703</v>
      </c>
      <c r="AB118" s="207">
        <f t="shared" si="90"/>
        <v>17296.301861907436</v>
      </c>
      <c r="AC118" s="207">
        <f t="shared" si="90"/>
        <v>17323.915912602311</v>
      </c>
      <c r="AD118" s="207">
        <f t="shared" si="90"/>
        <v>17426.002675451076</v>
      </c>
      <c r="AE118" s="207">
        <f t="shared" si="90"/>
        <v>17511.24328996204</v>
      </c>
      <c r="AF118" s="207">
        <f t="shared" si="90"/>
        <v>17562.976660422701</v>
      </c>
      <c r="AG118" s="207">
        <f t="shared" si="90"/>
        <v>17822.103652738595</v>
      </c>
      <c r="AH118" s="183">
        <f t="shared" si="90"/>
        <v>18006.396514123375</v>
      </c>
      <c r="AI118" s="31"/>
    </row>
    <row r="119" spans="1:35" s="1" customFormat="1">
      <c r="A119" s="1" t="s">
        <v>335</v>
      </c>
      <c r="B119" s="13"/>
      <c r="C119" s="346">
        <f>C118-'Output - Jobs vs Yr (BAU)'!C55</f>
        <v>0</v>
      </c>
      <c r="D119" s="346">
        <f>D118-'Output - Jobs vs Yr (BAU)'!D55</f>
        <v>90.214062351346001</v>
      </c>
      <c r="E119" s="346">
        <f>E118-'Output - Jobs vs Yr (BAU)'!E55</f>
        <v>72.184684146241125</v>
      </c>
      <c r="F119" s="346">
        <f>F118-'Output - Jobs vs Yr (BAU)'!F55</f>
        <v>85.061078421877028</v>
      </c>
      <c r="G119" s="346">
        <f>G118-'Output - Jobs vs Yr (BAU)'!G55</f>
        <v>54.822367178481727</v>
      </c>
      <c r="H119" s="411">
        <f>H118-'Output - Jobs vs Yr (BAU)'!H55</f>
        <v>-0.1430000000000291</v>
      </c>
      <c r="I119" s="15">
        <f>I118-'Output - Jobs vs Yr (BAU)'!I55</f>
        <v>43.29528313865012</v>
      </c>
      <c r="J119" s="15">
        <f>J118-'Output - Jobs vs Yr (BAU)'!J55</f>
        <v>22.474112006679206</v>
      </c>
      <c r="K119" s="15">
        <f>K118-'Output - Jobs vs Yr (BAU)'!K55</f>
        <v>64.71985647251131</v>
      </c>
      <c r="L119" s="15">
        <f>L118-'Output - Jobs vs Yr (BAU)'!L55</f>
        <v>86.770431800283404</v>
      </c>
      <c r="M119" s="15">
        <f>M118-'Output - Jobs vs Yr (BAU)'!M55</f>
        <v>98.444062586320797</v>
      </c>
      <c r="N119" s="183">
        <f>N118-'Output - Jobs vs Yr (BAU)'!N55</f>
        <v>111.83955381748638</v>
      </c>
      <c r="O119" s="15">
        <f>O118-'Output - Jobs vs Yr (BAU)'!O55</f>
        <v>11.059626469212162</v>
      </c>
      <c r="P119" s="15">
        <f>P118-'Output - Jobs vs Yr (BAU)'!P55</f>
        <v>29.788089008596216</v>
      </c>
      <c r="Q119" s="15">
        <f>Q118-'Output - Jobs vs Yr (BAU)'!Q55</f>
        <v>22.936400379649058</v>
      </c>
      <c r="R119" s="15">
        <f>R118-'Output - Jobs vs Yr (BAU)'!R55</f>
        <v>56.790633488626554</v>
      </c>
      <c r="S119" s="15">
        <f>S118-'Output - Jobs vs Yr (BAU)'!S55</f>
        <v>74.710266913332816</v>
      </c>
      <c r="T119" s="15">
        <f>T118-'Output - Jobs vs Yr (BAU)'!T55</f>
        <v>87.411635672766351</v>
      </c>
      <c r="U119" s="15">
        <f>U118-'Output - Jobs vs Yr (BAU)'!U55</f>
        <v>148.5996925444706</v>
      </c>
      <c r="V119" s="15">
        <f>V118-'Output - Jobs vs Yr (BAU)'!V55</f>
        <v>166.26861456896222</v>
      </c>
      <c r="W119" s="15">
        <f>W118-'Output - Jobs vs Yr (BAU)'!W55</f>
        <v>203.0007719536552</v>
      </c>
      <c r="X119" s="191">
        <f>X118-'Output - Jobs vs Yr (BAU)'!X55</f>
        <v>240.10902648876072</v>
      </c>
      <c r="Y119" s="131">
        <f>Y118-'Output - Jobs vs Yr (BAU)'!Y55</f>
        <v>224.52078313018137</v>
      </c>
      <c r="Z119" s="131">
        <f>Z118-'Output - Jobs vs Yr (BAU)'!Z55</f>
        <v>224.60295024684456</v>
      </c>
      <c r="AA119" s="131">
        <f>AA118-'Output - Jobs vs Yr (BAU)'!AA55</f>
        <v>230.38260342630383</v>
      </c>
      <c r="AB119" s="131">
        <f>AB118-'Output - Jobs vs Yr (BAU)'!AB55</f>
        <v>243.70449240282687</v>
      </c>
      <c r="AC119" s="131">
        <f>AC118-'Output - Jobs vs Yr (BAU)'!AC55</f>
        <v>237.49110170145286</v>
      </c>
      <c r="AD119" s="131">
        <f>AD118-'Output - Jobs vs Yr (BAU)'!AD55</f>
        <v>233.30782615273347</v>
      </c>
      <c r="AE119" s="131">
        <f>AE118-'Output - Jobs vs Yr (BAU)'!AE55</f>
        <v>233.88838519726778</v>
      </c>
      <c r="AF119" s="131">
        <f>AF118-'Output - Jobs vs Yr (BAU)'!AF55</f>
        <v>235.38173449669193</v>
      </c>
      <c r="AG119" s="131">
        <f>AG118-'Output - Jobs vs Yr (BAU)'!AG55</f>
        <v>255.69046745008382</v>
      </c>
      <c r="AH119" s="191">
        <f>AH118-'Output - Jobs vs Yr (BAU)'!AH55</f>
        <v>272.31672418760718</v>
      </c>
    </row>
    <row r="120" spans="1:35" s="1" customFormat="1">
      <c r="B120" s="13"/>
      <c r="C120" s="333"/>
      <c r="D120" s="346"/>
      <c r="E120" s="346"/>
      <c r="F120" s="346"/>
      <c r="G120" s="346"/>
      <c r="H120" s="411"/>
      <c r="I120" s="15"/>
      <c r="J120" s="15"/>
      <c r="K120" s="15"/>
      <c r="L120" s="15"/>
      <c r="M120" s="15"/>
      <c r="N120" s="188" t="s">
        <v>0</v>
      </c>
      <c r="O120" s="15"/>
      <c r="P120" s="15"/>
      <c r="Q120" s="15"/>
      <c r="R120" s="15"/>
      <c r="S120" s="15"/>
      <c r="T120" s="15"/>
      <c r="U120" s="15"/>
      <c r="V120" s="15"/>
      <c r="W120" s="15"/>
      <c r="X120" s="191"/>
      <c r="Y120"/>
      <c r="Z120"/>
      <c r="AA120"/>
      <c r="AB120"/>
      <c r="AC120"/>
      <c r="AD120"/>
      <c r="AE120"/>
      <c r="AF120"/>
      <c r="AG120"/>
      <c r="AH120" s="281"/>
    </row>
    <row r="121" spans="1:35" hidden="1">
      <c r="W121" s="2" t="s">
        <v>133</v>
      </c>
      <c r="X121" s="188">
        <f>X100</f>
        <v>0</v>
      </c>
    </row>
    <row r="122" spans="1:35" hidden="1">
      <c r="W122" s="2" t="s">
        <v>136</v>
      </c>
      <c r="X122" s="188">
        <f>X103-'Output - Jobs vs Yr (BAU)'!X43</f>
        <v>-4.5711243728874251E-5</v>
      </c>
    </row>
    <row r="123" spans="1:35" hidden="1">
      <c r="W123" s="2" t="s">
        <v>134</v>
      </c>
      <c r="X123" s="188">
        <f>X115-'Output - Jobs vs Yr (BAU)'!X51</f>
        <v>517.5295605181982</v>
      </c>
    </row>
    <row r="124" spans="1:35" hidden="1">
      <c r="W124" s="2" t="s">
        <v>137</v>
      </c>
      <c r="X124" s="188">
        <f>SUM(X101,X106,X111)</f>
        <v>0</v>
      </c>
    </row>
    <row r="125" spans="1:35" hidden="1">
      <c r="W125" s="2" t="s">
        <v>132</v>
      </c>
      <c r="X125" s="188">
        <f>SUM(X121:X124)</f>
        <v>517.52951480695447</v>
      </c>
    </row>
    <row r="126" spans="1:35">
      <c r="A126" s="1" t="s">
        <v>140</v>
      </c>
      <c r="C126" s="333">
        <v>2009</v>
      </c>
      <c r="D126" s="333">
        <v>2010</v>
      </c>
      <c r="E126" s="333">
        <v>2011</v>
      </c>
      <c r="F126" s="333">
        <v>2012</v>
      </c>
      <c r="G126" s="333">
        <v>2013</v>
      </c>
      <c r="H126" s="406">
        <v>2014</v>
      </c>
      <c r="I126" s="13">
        <v>2015</v>
      </c>
      <c r="J126" s="13">
        <v>2016</v>
      </c>
      <c r="K126" s="13">
        <v>2017</v>
      </c>
      <c r="L126" s="13">
        <v>2018</v>
      </c>
      <c r="M126" s="13">
        <v>2019</v>
      </c>
      <c r="N126" s="177">
        <v>2020</v>
      </c>
      <c r="O126" s="13">
        <v>2021</v>
      </c>
      <c r="P126" s="13">
        <v>2022</v>
      </c>
      <c r="Q126" s="13">
        <v>2023</v>
      </c>
      <c r="R126" s="13">
        <v>2024</v>
      </c>
      <c r="S126" s="13">
        <v>2025</v>
      </c>
      <c r="T126" s="13">
        <v>2026</v>
      </c>
      <c r="U126" s="13">
        <v>2027</v>
      </c>
      <c r="V126" s="13">
        <v>2028</v>
      </c>
      <c r="W126" s="13">
        <v>2029</v>
      </c>
      <c r="X126" s="177">
        <v>2030</v>
      </c>
      <c r="Y126" s="13">
        <v>2031</v>
      </c>
      <c r="Z126" s="13">
        <v>2032</v>
      </c>
      <c r="AA126" s="13">
        <v>2033</v>
      </c>
      <c r="AB126" s="13">
        <v>2034</v>
      </c>
      <c r="AC126" s="13">
        <v>2035</v>
      </c>
      <c r="AD126" s="13">
        <v>2036</v>
      </c>
      <c r="AE126" s="13">
        <v>2037</v>
      </c>
      <c r="AF126" s="13">
        <v>2038</v>
      </c>
      <c r="AG126" s="13">
        <v>2039</v>
      </c>
      <c r="AH126" s="177">
        <v>2040</v>
      </c>
      <c r="AI126" s="1" t="s">
        <v>0</v>
      </c>
    </row>
    <row r="127" spans="1:35">
      <c r="A127" s="10" t="s">
        <v>61</v>
      </c>
      <c r="B127" s="35">
        <v>0</v>
      </c>
      <c r="C127" s="336">
        <v>0</v>
      </c>
      <c r="D127" s="336">
        <f xml:space="preserve"> IF(D100&gt; 0, D100*Inputs!$H44, 0)</f>
        <v>0</v>
      </c>
      <c r="E127" s="336">
        <f xml:space="preserve"> IF(E100&gt; 0, E100*Inputs!$H44, 0)</f>
        <v>0</v>
      </c>
      <c r="F127" s="336">
        <f xml:space="preserve"> IF(F100&gt; 0, F100*Inputs!$H44, 0)</f>
        <v>0</v>
      </c>
      <c r="G127" s="336">
        <f xml:space="preserve"> IF(G100&gt; 0, G100*Inputs!$H44, 0)</f>
        <v>0</v>
      </c>
      <c r="H127" s="408">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3">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8">
        <f xml:space="preserve"> IF(X100&gt; 0, X100*Inputs!$H44, 0)</f>
        <v>0</v>
      </c>
      <c r="Y127" s="159">
        <f xml:space="preserve"> IF(Y100&gt; 0, Y100*Inputs!$H44, 0)</f>
        <v>0</v>
      </c>
      <c r="Z127" s="159">
        <f xml:space="preserve"> IF(Z100&gt; 0, Z100*Inputs!$H44, 0)</f>
        <v>0</v>
      </c>
      <c r="AA127" s="159">
        <f xml:space="preserve"> IF(AA100&gt; 0, AA100*Inputs!$H44, 0)</f>
        <v>0</v>
      </c>
      <c r="AB127" s="159">
        <f xml:space="preserve"> IF(AB100&gt; 0, AB100*Inputs!$H44, 0)</f>
        <v>0</v>
      </c>
      <c r="AC127" s="159">
        <f xml:space="preserve"> IF(AC100&gt; 0, AC100*Inputs!$H44, 0)</f>
        <v>0</v>
      </c>
      <c r="AD127" s="159">
        <f xml:space="preserve"> IF(AD100&gt; 0, AD100*Inputs!$H44, 0)</f>
        <v>0</v>
      </c>
      <c r="AE127" s="159">
        <f xml:space="preserve"> IF(AE100&gt; 0, AE100*Inputs!$H44, 0)</f>
        <v>0</v>
      </c>
      <c r="AF127" s="159">
        <f xml:space="preserve"> IF(AF100&gt; 0, AF100*Inputs!$H44, 0)</f>
        <v>0</v>
      </c>
      <c r="AG127" s="159">
        <f xml:space="preserve"> IF(AG100&gt; 0, AG100*Inputs!$H44, 0)</f>
        <v>0</v>
      </c>
      <c r="AH127" s="188">
        <f xml:space="preserve"> IF(AH100&gt; 0, AH100*Inputs!$H44, 0)</f>
        <v>0</v>
      </c>
    </row>
    <row r="128" spans="1:35">
      <c r="A128" s="10" t="s">
        <v>60</v>
      </c>
      <c r="B128" s="35">
        <v>0</v>
      </c>
      <c r="C128" s="336">
        <f>C101*Inputs!$H47</f>
        <v>0</v>
      </c>
      <c r="D128" s="336">
        <f>D101*Inputs!$H47</f>
        <v>0</v>
      </c>
      <c r="E128" s="336">
        <f>E101*Inputs!$H47</f>
        <v>0</v>
      </c>
      <c r="F128" s="336">
        <f>F101*Inputs!$H47</f>
        <v>0</v>
      </c>
      <c r="G128" s="336">
        <f>G101*Inputs!$H47</f>
        <v>0</v>
      </c>
      <c r="H128" s="408">
        <f>H101*Inputs!$H47</f>
        <v>0</v>
      </c>
      <c r="I128" s="14">
        <f>I101*Inputs!$H47</f>
        <v>0</v>
      </c>
      <c r="J128" s="14">
        <f>J101*Inputs!$H47</f>
        <v>0</v>
      </c>
      <c r="K128" s="14">
        <f>K101*Inputs!$H47</f>
        <v>0</v>
      </c>
      <c r="L128" s="14">
        <f>L101*Inputs!$H47</f>
        <v>0</v>
      </c>
      <c r="M128" s="14">
        <f>M101*Inputs!$H47</f>
        <v>0</v>
      </c>
      <c r="N128" s="183">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8">
        <f>X101*Inputs!$H47</f>
        <v>0</v>
      </c>
      <c r="Y128" s="159">
        <f>Y101*Inputs!$H47</f>
        <v>0</v>
      </c>
      <c r="Z128" s="159">
        <f>Z101*Inputs!$H47</f>
        <v>0</v>
      </c>
      <c r="AA128" s="159">
        <f>AA101*Inputs!$H47</f>
        <v>0</v>
      </c>
      <c r="AB128" s="159">
        <f>AB101*Inputs!$H47</f>
        <v>0</v>
      </c>
      <c r="AC128" s="159">
        <f>AC101*Inputs!$H47</f>
        <v>0</v>
      </c>
      <c r="AD128" s="159">
        <f>AD101*Inputs!$H47</f>
        <v>0</v>
      </c>
      <c r="AE128" s="159">
        <f>AE101*Inputs!$H47</f>
        <v>0</v>
      </c>
      <c r="AF128" s="159">
        <f>AF101*Inputs!$H47</f>
        <v>0</v>
      </c>
      <c r="AG128" s="159">
        <f>AG101*Inputs!$H47</f>
        <v>0</v>
      </c>
      <c r="AH128" s="188">
        <f>AH101*Inputs!$H47</f>
        <v>0</v>
      </c>
    </row>
    <row r="129" spans="1:35">
      <c r="A129" s="10" t="s">
        <v>49</v>
      </c>
      <c r="B129" s="35">
        <v>0</v>
      </c>
      <c r="C129" s="336">
        <f>C102*Inputs!$H48</f>
        <v>314.81864999999993</v>
      </c>
      <c r="D129" s="336">
        <f>D102*Inputs!$H48</f>
        <v>330.66101662243682</v>
      </c>
      <c r="E129" s="336">
        <f>E102*Inputs!$H48</f>
        <v>320.75950954622829</v>
      </c>
      <c r="F129" s="336">
        <f>F102*Inputs!$H48</f>
        <v>321.98607933521521</v>
      </c>
      <c r="G129" s="336">
        <f>G102*Inputs!$H48</f>
        <v>320.02893532011683</v>
      </c>
      <c r="H129" s="408">
        <f>H102*Inputs!$H48</f>
        <v>379.41323399999999</v>
      </c>
      <c r="I129" s="14">
        <f>I102*Inputs!$H48</f>
        <v>385.18245612810671</v>
      </c>
      <c r="J129" s="14">
        <f>J102*Inputs!$H48</f>
        <v>385.16543099323457</v>
      </c>
      <c r="K129" s="14">
        <f>K102*Inputs!$H48</f>
        <v>395.28937125311091</v>
      </c>
      <c r="L129" s="14">
        <f>L102*Inputs!$H48</f>
        <v>398.20868871177532</v>
      </c>
      <c r="M129" s="14">
        <f>M102*Inputs!$H48</f>
        <v>400.39785488786953</v>
      </c>
      <c r="N129" s="183">
        <f>N102*Inputs!$H48</f>
        <v>402.54397199999994</v>
      </c>
      <c r="O129" s="14">
        <f>O102*Inputs!$H48</f>
        <v>404.64400754967966</v>
      </c>
      <c r="P129" s="14">
        <f>P102*Inputs!$H48</f>
        <v>407.01245361728826</v>
      </c>
      <c r="Q129" s="14">
        <f>Q102*Inputs!$H48</f>
        <v>405.17554527565125</v>
      </c>
      <c r="R129" s="14">
        <f>R102*Inputs!$H48</f>
        <v>406.43333194701432</v>
      </c>
      <c r="S129" s="14">
        <f>S102*Inputs!$H48</f>
        <v>405.3200923251228</v>
      </c>
      <c r="T129" s="14">
        <f>T102*Inputs!$H48</f>
        <v>402.42452618353934</v>
      </c>
      <c r="U129" s="14">
        <f>U102*Inputs!$H48</f>
        <v>405.65672636433305</v>
      </c>
      <c r="V129" s="14">
        <f>V102*Inputs!$H48</f>
        <v>403.41712416912674</v>
      </c>
      <c r="W129" s="14">
        <f>W102*Inputs!$H48</f>
        <v>403.64643518823459</v>
      </c>
      <c r="X129" s="188">
        <f>X102*Inputs!$H48</f>
        <v>402.54401607869943</v>
      </c>
      <c r="Y129" s="159">
        <f>Y102*Inputs!$H48</f>
        <v>400.2660398289816</v>
      </c>
      <c r="Z129" s="159">
        <f>Z102*Inputs!$H48</f>
        <v>399.57248846248314</v>
      </c>
      <c r="AA129" s="159">
        <f>AA102*Inputs!$H48</f>
        <v>399.97999862444294</v>
      </c>
      <c r="AB129" s="159">
        <f>AB102*Inputs!$H48</f>
        <v>401.91490416115067</v>
      </c>
      <c r="AC129" s="159">
        <f>AC102*Inputs!$H48</f>
        <v>400.8533733772444</v>
      </c>
      <c r="AD129" s="159">
        <f>AD102*Inputs!$H48</f>
        <v>401.49956226504656</v>
      </c>
      <c r="AE129" s="159">
        <f>AE102*Inputs!$H48</f>
        <v>401.74060286730497</v>
      </c>
      <c r="AF129" s="159">
        <f>AF102*Inputs!$H48</f>
        <v>401.19686860298754</v>
      </c>
      <c r="AG129" s="159">
        <f>AG102*Inputs!$H48</f>
        <v>405.35344408491608</v>
      </c>
      <c r="AH129" s="188">
        <f>AH102*Inputs!$H48</f>
        <v>407.76177830527138</v>
      </c>
    </row>
    <row r="130" spans="1:35">
      <c r="A130" s="10" t="s">
        <v>59</v>
      </c>
      <c r="B130" s="35">
        <v>0</v>
      </c>
      <c r="C130" s="336">
        <f>C103*Inputs!$H53</f>
        <v>6570.9000000000005</v>
      </c>
      <c r="D130" s="336">
        <f>D103*Inputs!$H53</f>
        <v>6836.6524323471576</v>
      </c>
      <c r="E130" s="336">
        <f>E103*Inputs!$H53</f>
        <v>6570.2587795870795</v>
      </c>
      <c r="F130" s="336">
        <f>F103*Inputs!$H53</f>
        <v>6534.732831552099</v>
      </c>
      <c r="G130" s="336">
        <f>G103*Inputs!$H53</f>
        <v>6435.9438158153298</v>
      </c>
      <c r="H130" s="408">
        <f>H103*Inputs!$H53</f>
        <v>6440.2880830271406</v>
      </c>
      <c r="I130" s="14">
        <f>I103*Inputs!$H53</f>
        <v>6654.7503073621956</v>
      </c>
      <c r="J130" s="14">
        <f>J103*Inputs!$H53</f>
        <v>6774.0512383390096</v>
      </c>
      <c r="K130" s="14">
        <f>K103*Inputs!$H53</f>
        <v>7078.1166490713294</v>
      </c>
      <c r="L130" s="14">
        <f>L103*Inputs!$H53</f>
        <v>7260.7639620313312</v>
      </c>
      <c r="M130" s="14">
        <f>M103*Inputs!$H53</f>
        <v>7435.3622696847624</v>
      </c>
      <c r="N130" s="183">
        <f>N103*Inputs!$H53</f>
        <v>7614.3808769627713</v>
      </c>
      <c r="O130" s="14">
        <f>O103*Inputs!$H53</f>
        <v>7654.1044143715562</v>
      </c>
      <c r="P130" s="14">
        <f>P103*Inputs!$H53</f>
        <v>7698.9051111891349</v>
      </c>
      <c r="Q130" s="14">
        <f>Q103*Inputs!$H53</f>
        <v>7664.1587959485878</v>
      </c>
      <c r="R130" s="14">
        <f>R103*Inputs!$H53</f>
        <v>7687.9506483768873</v>
      </c>
      <c r="S130" s="14">
        <f>S103*Inputs!$H53</f>
        <v>7666.8929973424119</v>
      </c>
      <c r="T130" s="14">
        <f>T103*Inputs!$H53</f>
        <v>7612.1214817067139</v>
      </c>
      <c r="U130" s="14">
        <f>U103*Inputs!$H53</f>
        <v>7673.2606490003482</v>
      </c>
      <c r="V130" s="14">
        <f>V103*Inputs!$H53</f>
        <v>7630.897117775532</v>
      </c>
      <c r="W130" s="14">
        <f>W103*Inputs!$H53</f>
        <v>7635.2346847501331</v>
      </c>
      <c r="X130" s="188">
        <f>X103*Inputs!$H53</f>
        <v>7614.3817107400209</v>
      </c>
      <c r="Y130" s="159">
        <f>Y103*Inputs!$H53</f>
        <v>7571.2923093316522</v>
      </c>
      <c r="Z130" s="159">
        <f>Z103*Inputs!$H53</f>
        <v>7558.1733344380045</v>
      </c>
      <c r="AA130" s="159">
        <f>AA103*Inputs!$H53</f>
        <v>7565.8816540259932</v>
      </c>
      <c r="AB130" s="159">
        <f>AB103*Inputs!$H53</f>
        <v>7602.481649907777</v>
      </c>
      <c r="AC130" s="159">
        <f>AC103*Inputs!$H53</f>
        <v>7582.4021051536365</v>
      </c>
      <c r="AD130" s="159">
        <f>AD103*Inputs!$H53</f>
        <v>7594.6251879779566</v>
      </c>
      <c r="AE130" s="159">
        <f>AE103*Inputs!$H53</f>
        <v>7599.1846276418728</v>
      </c>
      <c r="AF130" s="159">
        <f>AF103*Inputs!$H53</f>
        <v>7588.8995406144923</v>
      </c>
      <c r="AG130" s="159">
        <f>AG103*Inputs!$H53</f>
        <v>7667.5238675569626</v>
      </c>
      <c r="AH130" s="188">
        <f>AH103*Inputs!$H53</f>
        <v>7713.0790747103547</v>
      </c>
    </row>
    <row r="131" spans="1:35">
      <c r="A131" s="10" t="s">
        <v>121</v>
      </c>
      <c r="B131" s="35">
        <v>1</v>
      </c>
      <c r="C131" s="335">
        <f>Inputs!$H46*'Output -Jobs vs Yr'!C104</f>
        <v>304.47899999999998</v>
      </c>
      <c r="D131" s="335">
        <f>Inputs!$H46*'Output -Jobs vs Yr'!D104</f>
        <v>364.1854511462513</v>
      </c>
      <c r="E131" s="335">
        <f>Inputs!$H46*'Output -Jobs vs Yr'!E104</f>
        <v>402.35424347785369</v>
      </c>
      <c r="F131" s="335">
        <f>Inputs!$H46*'Output -Jobs vs Yr'!F104</f>
        <v>460.04613081361833</v>
      </c>
      <c r="G131" s="335">
        <f>Inputs!$H46*'Output -Jobs vs Yr'!G104</f>
        <v>520.87515154526432</v>
      </c>
      <c r="H131" s="287">
        <f>Inputs!$H46*'Output -Jobs vs Yr'!H104</f>
        <v>397.32342805698903</v>
      </c>
      <c r="I131" s="40">
        <f>Inputs!$H46*'Output -Jobs vs Yr'!I104</f>
        <v>470.19095549873487</v>
      </c>
      <c r="J131" s="40">
        <f>Inputs!$H46*'Output -Jobs vs Yr'!J104</f>
        <v>643.61455030538582</v>
      </c>
      <c r="K131" s="40">
        <f>Inputs!$H46*'Output -Jobs vs Yr'!K104</f>
        <v>655.9893530547555</v>
      </c>
      <c r="L131" s="40">
        <f>Inputs!$H46*'Output -Jobs vs Yr'!L104</f>
        <v>770.71560552625897</v>
      </c>
      <c r="M131" s="40">
        <f>Inputs!$H46*'Output -Jobs vs Yr'!M104</f>
        <v>903.9746582183418</v>
      </c>
      <c r="N131" s="178">
        <f>Inputs!$H46*'Output -Jobs vs Yr'!N104</f>
        <v>1060.328533052279</v>
      </c>
      <c r="O131" s="40">
        <f>Inputs!$H46*'Output -Jobs vs Yr'!O104</f>
        <v>1135.7715435425127</v>
      </c>
      <c r="P131" s="40">
        <f>Inputs!$H46*'Output -Jobs vs Yr'!P104</f>
        <v>1171.2408207479073</v>
      </c>
      <c r="Q131" s="40">
        <f>Inputs!$H46*'Output -Jobs vs Yr'!Q104</f>
        <v>1218.8810337451641</v>
      </c>
      <c r="R131" s="40">
        <f>Inputs!$H46*'Output -Jobs vs Yr'!R104</f>
        <v>1278.3144443902918</v>
      </c>
      <c r="S131" s="40">
        <f>Inputs!$H46*'Output -Jobs vs Yr'!S104</f>
        <v>1332.9952524511418</v>
      </c>
      <c r="T131" s="40">
        <f>Inputs!$H46*'Output -Jobs vs Yr'!T104</f>
        <v>1384.0441981349156</v>
      </c>
      <c r="U131" s="40">
        <f>Inputs!$H46*'Output -Jobs vs Yr'!U104</f>
        <v>1459.1952038040608</v>
      </c>
      <c r="V131" s="40">
        <f>Inputs!$H46*'Output -Jobs vs Yr'!V104</f>
        <v>1517.9365249232765</v>
      </c>
      <c r="W131" s="40">
        <f>Inputs!$H46*'Output -Jobs vs Yr'!W104</f>
        <v>1588.9185002553043</v>
      </c>
      <c r="X131" s="185">
        <f>Inputs!$H46*'Output -Jobs vs Yr'!X104</f>
        <v>1657.9562198361277</v>
      </c>
      <c r="Y131" s="272">
        <f>Inputs!$H46*'Output -Jobs vs Yr'!Y104</f>
        <v>1656.3099547005932</v>
      </c>
      <c r="Z131" s="272">
        <f>Inputs!$H46*'Output -Jobs vs Yr'!Z104</f>
        <v>1661.235463717117</v>
      </c>
      <c r="AA131" s="272">
        <f>Inputs!$H46*'Output -Jobs vs Yr'!AA104</f>
        <v>1670.8070204514884</v>
      </c>
      <c r="AB131" s="272">
        <f>Inputs!$H46*'Output -Jobs vs Yr'!AB104</f>
        <v>1686.8803335996342</v>
      </c>
      <c r="AC131" s="272">
        <f>Inputs!$H46*'Output -Jobs vs Yr'!AC104</f>
        <v>1690.4708706062845</v>
      </c>
      <c r="AD131" s="272">
        <f>Inputs!$H46*'Output -Jobs vs Yr'!AD104</f>
        <v>1701.3322828976086</v>
      </c>
      <c r="AE131" s="272">
        <f>Inputs!$H46*'Output -Jobs vs Yr'!AE104</f>
        <v>1710.5735008443874</v>
      </c>
      <c r="AF131" s="272">
        <f>Inputs!$H46*'Output -Jobs vs Yr'!AF104</f>
        <v>1716.546684412506</v>
      </c>
      <c r="AG131" s="272">
        <f>Inputs!$H46*'Output -Jobs vs Yr'!AG104</f>
        <v>1742.786742905748</v>
      </c>
      <c r="AH131" s="185">
        <f>Inputs!$H46*'Output -Jobs vs Yr'!AH104</f>
        <v>1761.7306676340938</v>
      </c>
    </row>
    <row r="132" spans="1:35">
      <c r="A132" s="10" t="s">
        <v>50</v>
      </c>
      <c r="B132" s="35">
        <v>1</v>
      </c>
      <c r="C132" s="336">
        <f>C105*Inputs!$H49</f>
        <v>0</v>
      </c>
      <c r="D132" s="336">
        <f>D105*Inputs!$H49</f>
        <v>0</v>
      </c>
      <c r="E132" s="336">
        <f>E105*Inputs!$H49</f>
        <v>2.2500000000000001E-5</v>
      </c>
      <c r="F132" s="336">
        <f>F105*Inputs!$H49</f>
        <v>2.2500000000000001E-5</v>
      </c>
      <c r="G132" s="336">
        <f>G105*Inputs!$H49</f>
        <v>2.2500000000000001E-5</v>
      </c>
      <c r="H132" s="408">
        <f>H105*Inputs!$H49</f>
        <v>2.2500000000000001E-5</v>
      </c>
      <c r="I132" s="14">
        <f>I105*Inputs!$H49</f>
        <v>2.3455444206999978E-5</v>
      </c>
      <c r="J132" s="14">
        <f>J105*Inputs!$H49</f>
        <v>2.4088227871727527E-5</v>
      </c>
      <c r="K132" s="14">
        <f>K105*Inputs!$H49</f>
        <v>2.539383398932127E-5</v>
      </c>
      <c r="L132" s="14">
        <f>L105*Inputs!$H49</f>
        <v>2.6281895561781059E-5</v>
      </c>
      <c r="M132" s="14">
        <f>M105*Inputs!$H49</f>
        <v>2.7155001759469476E-5</v>
      </c>
      <c r="N132" s="183">
        <f>N105*Inputs!$H49</f>
        <v>2.8058540366122133E-5</v>
      </c>
      <c r="O132" s="14">
        <f>O105*Inputs!$H49</f>
        <v>2.9478560062453603E-5</v>
      </c>
      <c r="P132" s="14">
        <f>P105*Inputs!$H49</f>
        <v>3.0993514578735646E-5</v>
      </c>
      <c r="Q132" s="14">
        <f>Q105*Inputs!$H49</f>
        <v>3.2254175588758926E-5</v>
      </c>
      <c r="R132" s="14">
        <f>R105*Inputs!$H49</f>
        <v>3.3826909604396705E-5</v>
      </c>
      <c r="S132" s="14">
        <f>S105*Inputs!$H49</f>
        <v>3.5273879682445051E-5</v>
      </c>
      <c r="T132" s="14">
        <f>T105*Inputs!$H49</f>
        <v>3.6624742984211461E-5</v>
      </c>
      <c r="U132" s="14">
        <f>U105*Inputs!$H49</f>
        <v>3.8613397877853214E-5</v>
      </c>
      <c r="V132" s="14">
        <f>V105*Inputs!$H49</f>
        <v>4.016781773774166E-5</v>
      </c>
      <c r="W132" s="14">
        <f>W105*Inputs!$H49</f>
        <v>4.2046151252343587E-5</v>
      </c>
      <c r="X132" s="188">
        <f>X105*Inputs!$H49</f>
        <v>4.3873035638890627E-5</v>
      </c>
      <c r="Y132" s="159">
        <f>Y105*Inputs!$H49</f>
        <v>4.3829471974121776E-5</v>
      </c>
      <c r="Z132" s="159">
        <f>Z105*Inputs!$H49</f>
        <v>4.3959811382386121E-5</v>
      </c>
      <c r="AA132" s="159">
        <f>AA105*Inputs!$H49</f>
        <v>4.4213095060629593E-5</v>
      </c>
      <c r="AB132" s="159">
        <f>AB105*Inputs!$H49</f>
        <v>4.4638428994147675E-5</v>
      </c>
      <c r="AC132" s="159">
        <f>AC105*Inputs!$H49</f>
        <v>4.4733442213538398E-5</v>
      </c>
      <c r="AD132" s="159">
        <f>AD105*Inputs!$H49</f>
        <v>4.5020858203686223E-5</v>
      </c>
      <c r="AE132" s="159">
        <f>AE105*Inputs!$H49</f>
        <v>4.5265400417452187E-5</v>
      </c>
      <c r="AF132" s="159">
        <f>AF105*Inputs!$H49</f>
        <v>4.5423463514913004E-5</v>
      </c>
      <c r="AG132" s="159">
        <f>AG105*Inputs!$H49</f>
        <v>4.6117831078825136E-5</v>
      </c>
      <c r="AH132" s="188">
        <f>AH105*Inputs!$H49</f>
        <v>4.6619127479057789E-5</v>
      </c>
    </row>
    <row r="133" spans="1:35">
      <c r="A133" s="10" t="s">
        <v>119</v>
      </c>
      <c r="B133" s="35">
        <v>1</v>
      </c>
      <c r="C133" s="336">
        <f>C106*Inputs!$H50</f>
        <v>0</v>
      </c>
      <c r="D133" s="336">
        <f>D106*Inputs!$H50</f>
        <v>0</v>
      </c>
      <c r="E133" s="336">
        <f>E106*Inputs!$H50</f>
        <v>0</v>
      </c>
      <c r="F133" s="336">
        <f>F106*Inputs!$H50</f>
        <v>0</v>
      </c>
      <c r="G133" s="336">
        <f>G106*Inputs!$H50</f>
        <v>0</v>
      </c>
      <c r="H133" s="408">
        <f>H106*Inputs!$H50</f>
        <v>0</v>
      </c>
      <c r="I133" s="14">
        <f>I106*Inputs!$H50</f>
        <v>0</v>
      </c>
      <c r="J133" s="14">
        <f>J106*Inputs!$H50</f>
        <v>0</v>
      </c>
      <c r="K133" s="14">
        <f>K106*Inputs!$H50</f>
        <v>0</v>
      </c>
      <c r="L133" s="14">
        <f>L106*Inputs!$H50</f>
        <v>0</v>
      </c>
      <c r="M133" s="14">
        <f>M106*Inputs!$H50</f>
        <v>0</v>
      </c>
      <c r="N133" s="183">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8">
        <f>X106*Inputs!$H50</f>
        <v>0</v>
      </c>
      <c r="Y133" s="159">
        <f>Y106*Inputs!$H50</f>
        <v>0</v>
      </c>
      <c r="Z133" s="159">
        <f>Z106*Inputs!$H50</f>
        <v>0</v>
      </c>
      <c r="AA133" s="159">
        <f>AA106*Inputs!$H50</f>
        <v>0</v>
      </c>
      <c r="AB133" s="159">
        <f>AB106*Inputs!$H50</f>
        <v>0</v>
      </c>
      <c r="AC133" s="159">
        <f>AC106*Inputs!$H50</f>
        <v>0</v>
      </c>
      <c r="AD133" s="159">
        <f>AD106*Inputs!$H50</f>
        <v>0</v>
      </c>
      <c r="AE133" s="159">
        <f>AE106*Inputs!$H50</f>
        <v>0</v>
      </c>
      <c r="AF133" s="159">
        <f>AF106*Inputs!$H50</f>
        <v>0</v>
      </c>
      <c r="AG133" s="159">
        <f>AG106*Inputs!$H50</f>
        <v>0</v>
      </c>
      <c r="AH133" s="188">
        <f>AH106*Inputs!$H50</f>
        <v>0</v>
      </c>
    </row>
    <row r="134" spans="1:35">
      <c r="A134" s="10" t="s">
        <v>51</v>
      </c>
      <c r="B134" s="35">
        <v>1</v>
      </c>
      <c r="C134" s="336">
        <f>C107*Inputs!$H52</f>
        <v>18.495000000000001</v>
      </c>
      <c r="D134" s="336">
        <f>D107*Inputs!$H52</f>
        <v>19.523829635652376</v>
      </c>
      <c r="E134" s="336">
        <f>E107*Inputs!$H52</f>
        <v>21.533517114859261</v>
      </c>
      <c r="F134" s="336">
        <f>F107*Inputs!$H52</f>
        <v>25.446873392159645</v>
      </c>
      <c r="G134" s="336">
        <f>G107*Inputs!$H52</f>
        <v>19.196070463038915</v>
      </c>
      <c r="H134" s="408">
        <f>H107*Inputs!$H52</f>
        <v>19.783663853398142</v>
      </c>
      <c r="I134" s="14">
        <f>I107*Inputs!$H52</f>
        <v>20.662470541915841</v>
      </c>
      <c r="J134" s="14">
        <f>J107*Inputs!$H52</f>
        <v>21.259733454569155</v>
      </c>
      <c r="K134" s="14">
        <f>K107*Inputs!$H52</f>
        <v>22.454098295995383</v>
      </c>
      <c r="L134" s="14">
        <f>L107*Inputs!$H52</f>
        <v>23.282971560301888</v>
      </c>
      <c r="M134" s="14">
        <f>M107*Inputs!$H52</f>
        <v>24.10160346314284</v>
      </c>
      <c r="N134" s="183">
        <f>N107*Inputs!$H52</f>
        <v>24.950287567761833</v>
      </c>
      <c r="O134" s="14">
        <f>O107*Inputs!$H52</f>
        <v>26.213001141349348</v>
      </c>
      <c r="P134" s="14">
        <f>P107*Inputs!$H52</f>
        <v>27.560132900168647</v>
      </c>
      <c r="Q134" s="14">
        <f>Q107*Inputs!$H52</f>
        <v>28.68114113206952</v>
      </c>
      <c r="R134" s="14">
        <f>R107*Inputs!$H52</f>
        <v>30.079651726196573</v>
      </c>
      <c r="S134" s="14">
        <f>S107*Inputs!$H52</f>
        <v>31.366330187662189</v>
      </c>
      <c r="T134" s="14">
        <f>T107*Inputs!$H52</f>
        <v>32.56754833386708</v>
      </c>
      <c r="U134" s="14">
        <f>U107*Inputs!$H52</f>
        <v>34.33590516290964</v>
      </c>
      <c r="V134" s="14">
        <f>V107*Inputs!$H52</f>
        <v>35.718130396267952</v>
      </c>
      <c r="W134" s="14">
        <f>W107*Inputs!$H52</f>
        <v>37.38838696435613</v>
      </c>
      <c r="X134" s="188">
        <f>X107*Inputs!$H52</f>
        <v>39.012893806217313</v>
      </c>
      <c r="Y134" s="159">
        <f>Y107*Inputs!$H52</f>
        <v>38.974156011973371</v>
      </c>
      <c r="Z134" s="159">
        <f>Z107*Inputs!$H52</f>
        <v>39.090056756458772</v>
      </c>
      <c r="AA134" s="159">
        <f>AA107*Inputs!$H52</f>
        <v>39.31528232150724</v>
      </c>
      <c r="AB134" s="159">
        <f>AB107*Inputs!$H52</f>
        <v>39.693498857903286</v>
      </c>
      <c r="AC134" s="159">
        <f>AC107*Inputs!$H52</f>
        <v>39.777986757687252</v>
      </c>
      <c r="AD134" s="159">
        <f>AD107*Inputs!$H52</f>
        <v>40.033563545082075</v>
      </c>
      <c r="AE134" s="159">
        <f>AE107*Inputs!$H52</f>
        <v>40.251016002562181</v>
      </c>
      <c r="AF134" s="159">
        <f>AF107*Inputs!$H52</f>
        <v>40.391569277395398</v>
      </c>
      <c r="AG134" s="159">
        <f>AG107*Inputs!$H52</f>
        <v>41.009016591876929</v>
      </c>
      <c r="AH134" s="188">
        <f>AH107*Inputs!$H52</f>
        <v>41.454780668670821</v>
      </c>
    </row>
    <row r="135" spans="1:35">
      <c r="A135" s="9" t="s">
        <v>347</v>
      </c>
      <c r="B135" s="35">
        <v>1</v>
      </c>
      <c r="C135" s="336">
        <f>C108*Inputs!$H54</f>
        <v>0</v>
      </c>
      <c r="D135" s="336">
        <f>D108*Inputs!$H54</f>
        <v>0</v>
      </c>
      <c r="E135" s="336">
        <f>E108*Inputs!$H54</f>
        <v>0.14220000000000002</v>
      </c>
      <c r="F135" s="336">
        <f>F108*Inputs!$H54</f>
        <v>0.14220000000000002</v>
      </c>
      <c r="G135" s="336">
        <f>G108*Inputs!$H54</f>
        <v>0.14220000000000002</v>
      </c>
      <c r="H135" s="408">
        <f>H108*Inputs!$H54</f>
        <v>0.14220000000000002</v>
      </c>
      <c r="I135" s="14">
        <f>I108*Inputs!$H54</f>
        <v>0.14823840738823985</v>
      </c>
      <c r="J135" s="14">
        <f>J108*Inputs!$H54</f>
        <v>0.15223760014931795</v>
      </c>
      <c r="K135" s="14">
        <f>K108*Inputs!$H54</f>
        <v>0.1604890308125104</v>
      </c>
      <c r="L135" s="14">
        <f>L108*Inputs!$H54</f>
        <v>0.16610157995045627</v>
      </c>
      <c r="M135" s="14">
        <f>M108*Inputs!$H54</f>
        <v>0.17161961111984708</v>
      </c>
      <c r="N135" s="183">
        <f>N108*Inputs!$H54</f>
        <v>0.1773299751138919</v>
      </c>
      <c r="O135" s="14">
        <f>O108*Inputs!$H54</f>
        <v>0.18630449959470677</v>
      </c>
      <c r="P135" s="14">
        <f>P108*Inputs!$H54</f>
        <v>0.1958790121376093</v>
      </c>
      <c r="Q135" s="14">
        <f>Q108*Inputs!$H54</f>
        <v>0.20384638972095642</v>
      </c>
      <c r="R135" s="14">
        <f>R108*Inputs!$H54</f>
        <v>0.21378606869978717</v>
      </c>
      <c r="S135" s="14">
        <f>S108*Inputs!$H54</f>
        <v>0.22293091959305267</v>
      </c>
      <c r="T135" s="14">
        <f>T108*Inputs!$H54</f>
        <v>0.23146837566021639</v>
      </c>
      <c r="U135" s="14">
        <f>U108*Inputs!$H54</f>
        <v>0.24403667458803224</v>
      </c>
      <c r="V135" s="14">
        <f>V108*Inputs!$H54</f>
        <v>0.25386060810252731</v>
      </c>
      <c r="W135" s="14">
        <f>W108*Inputs!$H54</f>
        <v>0.2657316759148115</v>
      </c>
      <c r="X135" s="188">
        <f>X108*Inputs!$H54</f>
        <v>0.27727758523778884</v>
      </c>
      <c r="Y135" s="159">
        <f>Y108*Inputs!$H54</f>
        <v>0.27700226287644969</v>
      </c>
      <c r="Z135" s="159">
        <f>Z108*Inputs!$H54</f>
        <v>0.27782600793668033</v>
      </c>
      <c r="AA135" s="159">
        <f>AA108*Inputs!$H54</f>
        <v>0.27942676078317913</v>
      </c>
      <c r="AB135" s="159">
        <f>AB108*Inputs!$H54</f>
        <v>0.28211487124301338</v>
      </c>
      <c r="AC135" s="159">
        <f>AC108*Inputs!$H54</f>
        <v>0.28271535478956272</v>
      </c>
      <c r="AD135" s="159">
        <f>AD108*Inputs!$H54</f>
        <v>0.28453182384729697</v>
      </c>
      <c r="AE135" s="159">
        <f>AE108*Inputs!$H54</f>
        <v>0.28607733063829788</v>
      </c>
      <c r="AF135" s="159">
        <f>AF108*Inputs!$H54</f>
        <v>0.28707628941425023</v>
      </c>
      <c r="AG135" s="159">
        <f>AG108*Inputs!$H54</f>
        <v>0.29146469241817491</v>
      </c>
      <c r="AH135" s="188">
        <f>AH108*Inputs!$H54</f>
        <v>0.29463288566764528</v>
      </c>
    </row>
    <row r="136" spans="1:35">
      <c r="A136" s="9" t="s">
        <v>348</v>
      </c>
      <c r="B136" s="35">
        <v>1</v>
      </c>
      <c r="C136" s="336">
        <f>C109*Inputs!$H55</f>
        <v>0</v>
      </c>
      <c r="D136" s="336">
        <f>D109*Inputs!$H55</f>
        <v>0</v>
      </c>
      <c r="E136" s="336">
        <f>E109*Inputs!$H55</f>
        <v>2.0700000000000003E-2</v>
      </c>
      <c r="F136" s="336">
        <f>F109*Inputs!$H55</f>
        <v>2.0700000000000003E-2</v>
      </c>
      <c r="G136" s="336">
        <f>G109*Inputs!$H55</f>
        <v>2.0700000000000003E-2</v>
      </c>
      <c r="H136" s="408">
        <f>H109*Inputs!$H55</f>
        <v>2.0700000000000003E-2</v>
      </c>
      <c r="I136" s="14">
        <f>I109*Inputs!$H55</f>
        <v>2.1579008670439975E-2</v>
      </c>
      <c r="J136" s="14">
        <f>J109*Inputs!$H55</f>
        <v>2.2161169641989324E-2</v>
      </c>
      <c r="K136" s="14">
        <f>K109*Inputs!$H55</f>
        <v>2.3362327270175565E-2</v>
      </c>
      <c r="L136" s="14">
        <f>L109*Inputs!$H55</f>
        <v>2.4179343916838569E-2</v>
      </c>
      <c r="M136" s="14">
        <f>M109*Inputs!$H55</f>
        <v>2.4982601618711919E-2</v>
      </c>
      <c r="N136" s="188">
        <f>N109*Inputs!$H55</f>
        <v>2.5813857136832367E-2</v>
      </c>
      <c r="O136" s="14">
        <f>O109*Inputs!$H55</f>
        <v>2.7120275257457315E-2</v>
      </c>
      <c r="P136" s="14">
        <f>P109*Inputs!$H55</f>
        <v>2.8514033412436801E-2</v>
      </c>
      <c r="Q136" s="14">
        <f>Q109*Inputs!$H55</f>
        <v>2.9673841541658207E-2</v>
      </c>
      <c r="R136" s="14">
        <f>R109*Inputs!$H55</f>
        <v>3.1120756836044965E-2</v>
      </c>
      <c r="S136" s="14">
        <f>S109*Inputs!$H55</f>
        <v>3.2451969307849438E-2</v>
      </c>
      <c r="T136" s="14">
        <f>T109*Inputs!$H55</f>
        <v>3.3694763545474543E-2</v>
      </c>
      <c r="U136" s="14">
        <f>U109*Inputs!$H55</f>
        <v>3.5524326047624948E-2</v>
      </c>
      <c r="V136" s="14">
        <f>V109*Inputs!$H55</f>
        <v>3.6954392318722329E-2</v>
      </c>
      <c r="W136" s="14">
        <f>W109*Inputs!$H55</f>
        <v>3.8682459152156103E-2</v>
      </c>
      <c r="X136" s="188">
        <f>X109*Inputs!$H55</f>
        <v>4.0363192787779383E-2</v>
      </c>
      <c r="Y136" s="159">
        <f>Y109*Inputs!$H55</f>
        <v>4.0323114216192044E-2</v>
      </c>
      <c r="Z136" s="159">
        <f>Z109*Inputs!$H55</f>
        <v>4.0443026471795235E-2</v>
      </c>
      <c r="AA136" s="159">
        <f>AA109*Inputs!$H55</f>
        <v>4.0676047455779234E-2</v>
      </c>
      <c r="AB136" s="159">
        <f>AB109*Inputs!$H55</f>
        <v>4.106735467461587E-2</v>
      </c>
      <c r="AC136" s="159">
        <f>AC109*Inputs!$H55</f>
        <v>4.1154766836455338E-2</v>
      </c>
      <c r="AD136" s="159">
        <f>AD109*Inputs!$H55</f>
        <v>4.1419189547391329E-2</v>
      </c>
      <c r="AE136" s="159">
        <f>AE109*Inputs!$H55</f>
        <v>4.1644168384056025E-2</v>
      </c>
      <c r="AF136" s="159">
        <f>AF109*Inputs!$H55</f>
        <v>4.1789586433719973E-2</v>
      </c>
      <c r="AG136" s="159">
        <f>AG109*Inputs!$H55</f>
        <v>4.2428404592519134E-2</v>
      </c>
      <c r="AH136" s="188">
        <f>AH109*Inputs!$H55</f>
        <v>4.2889597280733167E-2</v>
      </c>
    </row>
    <row r="137" spans="1:35">
      <c r="A137" s="9" t="s">
        <v>344</v>
      </c>
      <c r="B137" s="35">
        <v>1</v>
      </c>
      <c r="C137" s="336">
        <f>C110*Inputs!$H56</f>
        <v>2.16E-3</v>
      </c>
      <c r="D137" s="336">
        <f>D110*Inputs!$H56</f>
        <v>2.2758835971814907E-3</v>
      </c>
      <c r="E137" s="336">
        <f>E110*Inputs!$H56</f>
        <v>2.2149661150197351E-3</v>
      </c>
      <c r="F137" s="336">
        <f>F110*Inputs!$H56</f>
        <v>2.2309556155631909E-3</v>
      </c>
      <c r="G137" s="336">
        <f>G110*Inputs!$H56</f>
        <v>2.2251240848777795E-3</v>
      </c>
      <c r="H137" s="408">
        <f>H110*Inputs!$H56</f>
        <v>2.16E-3</v>
      </c>
      <c r="I137" s="14">
        <f>I110*Inputs!$H56</f>
        <v>2.2517226438719977E-3</v>
      </c>
      <c r="J137" s="14">
        <f>J110*Inputs!$H56</f>
        <v>2.3124698756858421E-3</v>
      </c>
      <c r="K137" s="14">
        <f>K110*Inputs!$H56</f>
        <v>2.437808062974842E-3</v>
      </c>
      <c r="L137" s="14">
        <f>L110*Inputs!$H56</f>
        <v>2.5230619739309815E-3</v>
      </c>
      <c r="M137" s="14">
        <f>M110*Inputs!$H56</f>
        <v>2.6068801689090697E-3</v>
      </c>
      <c r="N137" s="188">
        <f>N110*Inputs!$H56</f>
        <v>2.6936198751477251E-3</v>
      </c>
      <c r="O137" s="14">
        <f>O110*Inputs!$H56</f>
        <v>2.829941765995546E-3</v>
      </c>
      <c r="P137" s="14">
        <f>P110*Inputs!$H56</f>
        <v>2.9753773995586227E-3</v>
      </c>
      <c r="Q137" s="14">
        <f>Q110*Inputs!$H56</f>
        <v>3.0964008565208569E-3</v>
      </c>
      <c r="R137" s="14">
        <f>R110*Inputs!$H56</f>
        <v>3.247383322022083E-3</v>
      </c>
      <c r="S137" s="14">
        <f>S110*Inputs!$H56</f>
        <v>3.386292449514724E-3</v>
      </c>
      <c r="T137" s="14">
        <f>T110*Inputs!$H56</f>
        <v>3.5159753264842998E-3</v>
      </c>
      <c r="U137" s="14">
        <f>U110*Inputs!$H56</f>
        <v>3.7068861962739081E-3</v>
      </c>
      <c r="V137" s="14">
        <f>V110*Inputs!$H56</f>
        <v>3.8561105028232E-3</v>
      </c>
      <c r="W137" s="14">
        <f>W110*Inputs!$H56</f>
        <v>4.0364305202249852E-3</v>
      </c>
      <c r="X137" s="188">
        <f>X110*Inputs!$H56</f>
        <v>4.2118114213334995E-3</v>
      </c>
      <c r="Y137" s="159">
        <f>Y110*Inputs!$H56</f>
        <v>4.2076293095156909E-3</v>
      </c>
      <c r="Z137" s="159">
        <f>Z110*Inputs!$H56</f>
        <v>4.2201418927090674E-3</v>
      </c>
      <c r="AA137" s="159">
        <f>AA110*Inputs!$H56</f>
        <v>4.2444571258204401E-3</v>
      </c>
      <c r="AB137" s="159">
        <f>AB110*Inputs!$H56</f>
        <v>4.2852891834381764E-3</v>
      </c>
      <c r="AC137" s="159">
        <f>AC110*Inputs!$H56</f>
        <v>4.2944104524996855E-3</v>
      </c>
      <c r="AD137" s="159">
        <f>AD110*Inputs!$H56</f>
        <v>4.3220023875538763E-3</v>
      </c>
      <c r="AE137" s="159">
        <f>AE110*Inputs!$H56</f>
        <v>4.34547844007541E-3</v>
      </c>
      <c r="AF137" s="159">
        <f>AF110*Inputs!$H56</f>
        <v>4.3606524974316475E-3</v>
      </c>
      <c r="AG137" s="159">
        <f>AG110*Inputs!$H56</f>
        <v>4.4273117835672117E-3</v>
      </c>
      <c r="AH137" s="188">
        <f>AH110*Inputs!$H56</f>
        <v>4.4754362379895466E-3</v>
      </c>
    </row>
    <row r="138" spans="1:35">
      <c r="A138" s="10" t="s">
        <v>120</v>
      </c>
      <c r="B138" s="35">
        <v>1</v>
      </c>
      <c r="C138" s="336">
        <f>C111*Inputs!$H56</f>
        <v>0</v>
      </c>
      <c r="D138" s="336">
        <f>D111*Inputs!$H56</f>
        <v>0</v>
      </c>
      <c r="E138" s="336">
        <f>E111*Inputs!$H56</f>
        <v>0</v>
      </c>
      <c r="F138" s="336">
        <f>F111*Inputs!$H56</f>
        <v>0</v>
      </c>
      <c r="G138" s="336">
        <f>G111*Inputs!$H56</f>
        <v>0</v>
      </c>
      <c r="H138" s="408">
        <f>H111*Inputs!$H56</f>
        <v>0</v>
      </c>
      <c r="I138" s="14">
        <f>I111*Inputs!$H56</f>
        <v>0</v>
      </c>
      <c r="J138" s="14">
        <f>J111*Inputs!$H56</f>
        <v>0</v>
      </c>
      <c r="K138" s="14">
        <f>K111*Inputs!$H56</f>
        <v>0</v>
      </c>
      <c r="L138" s="14">
        <f>L111*Inputs!$H56</f>
        <v>0</v>
      </c>
      <c r="M138" s="14">
        <f>M111*Inputs!$H56</f>
        <v>0</v>
      </c>
      <c r="N138" s="183">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8">
        <f>X111*Inputs!$H56</f>
        <v>0</v>
      </c>
      <c r="Y138" s="159">
        <f>Y111*Inputs!$H56</f>
        <v>0</v>
      </c>
      <c r="Z138" s="159">
        <f>Z111*Inputs!$H56</f>
        <v>0</v>
      </c>
      <c r="AA138" s="159">
        <f>AA111*Inputs!$H56</f>
        <v>0</v>
      </c>
      <c r="AB138" s="159">
        <f>AB111*Inputs!$H56</f>
        <v>0</v>
      </c>
      <c r="AC138" s="159">
        <f>AC111*Inputs!$H56</f>
        <v>0</v>
      </c>
      <c r="AD138" s="159">
        <f>AD111*Inputs!$H56</f>
        <v>0</v>
      </c>
      <c r="AE138" s="159">
        <f>AE111*Inputs!$H56</f>
        <v>0</v>
      </c>
      <c r="AF138" s="159">
        <f>AF111*Inputs!$H56</f>
        <v>0</v>
      </c>
      <c r="AG138" s="159">
        <f>AG111*Inputs!$H56</f>
        <v>0</v>
      </c>
      <c r="AH138" s="188">
        <f>AH111*Inputs!$H56</f>
        <v>0</v>
      </c>
    </row>
    <row r="139" spans="1:35">
      <c r="A139" s="10" t="s">
        <v>53</v>
      </c>
      <c r="B139" s="35">
        <v>1</v>
      </c>
      <c r="C139" s="336">
        <f>C112*Inputs!$H57</f>
        <v>0</v>
      </c>
      <c r="D139" s="336">
        <f>D112*Inputs!$H57</f>
        <v>0</v>
      </c>
      <c r="E139" s="336">
        <f>E112*Inputs!$H57</f>
        <v>9.1800000000000004E-10</v>
      </c>
      <c r="F139" s="336">
        <f>F112*Inputs!$H57</f>
        <v>9.1800000000000004E-10</v>
      </c>
      <c r="G139" s="336">
        <f>G112*Inputs!$H57</f>
        <v>9.1800000000000004E-10</v>
      </c>
      <c r="H139" s="408">
        <f>H112*Inputs!$H57</f>
        <v>9.1800000000000004E-10</v>
      </c>
      <c r="I139" s="14">
        <f>I112*Inputs!$H57</f>
        <v>4.27709358E-4</v>
      </c>
      <c r="J139" s="14">
        <f>J112*Inputs!$H57</f>
        <v>5.8311222299999997E-4</v>
      </c>
      <c r="K139" s="14">
        <f>K112*Inputs!$H57</f>
        <v>5.8311222299999997E-4</v>
      </c>
      <c r="L139" s="14">
        <f>L112*Inputs!$H57</f>
        <v>5.8319499600000002E-4</v>
      </c>
      <c r="M139" s="14">
        <f>M112*Inputs!$H57</f>
        <v>5.8316760899999995E-4</v>
      </c>
      <c r="N139" s="183">
        <f>N112*Inputs!$H57</f>
        <v>7.2725261865728269E-4</v>
      </c>
      <c r="O139" s="14">
        <f>O112*Inputs!$H57</f>
        <v>7.6405827672882114E-4</v>
      </c>
      <c r="P139" s="14">
        <f>P112*Inputs!$H57</f>
        <v>8.0332456160096821E-4</v>
      </c>
      <c r="Q139" s="14">
        <f>Q112*Inputs!$H57</f>
        <v>8.3599978307776065E-4</v>
      </c>
      <c r="R139" s="14">
        <f>R112*Inputs!$H57</f>
        <v>8.7676366161169015E-4</v>
      </c>
      <c r="S139" s="14">
        <f>S112*Inputs!$H57</f>
        <v>9.1426784980709423E-4</v>
      </c>
      <c r="T139" s="14">
        <f>T112*Inputs!$H57</f>
        <v>9.4928103512744756E-4</v>
      </c>
      <c r="U139" s="14">
        <f>U112*Inputs!$H57</f>
        <v>1.0008252159770254E-3</v>
      </c>
      <c r="V139" s="14">
        <f>V112*Inputs!$H57</f>
        <v>1.0411144077470177E-3</v>
      </c>
      <c r="W139" s="14">
        <f>W112*Inputs!$H57</f>
        <v>1.0897991557553394E-3</v>
      </c>
      <c r="X139" s="188">
        <f>X112*Inputs!$H57</f>
        <v>1.1371503877426112E-3</v>
      </c>
      <c r="Y139" s="159">
        <f>Y112*Inputs!$H57</f>
        <v>1.1360212559749549E-3</v>
      </c>
      <c r="Z139" s="159">
        <f>Z112*Inputs!$H57</f>
        <v>1.1393995384778087E-3</v>
      </c>
      <c r="AA139" s="159">
        <f>AA112*Inputs!$H57</f>
        <v>1.1459644280216754E-3</v>
      </c>
      <c r="AB139" s="159">
        <f>AB112*Inputs!$H57</f>
        <v>1.1569887084339346E-3</v>
      </c>
      <c r="AC139" s="159">
        <f>AC112*Inputs!$H57</f>
        <v>1.1594513672788826E-3</v>
      </c>
      <c r="AD139" s="159">
        <f>AD112*Inputs!$H57</f>
        <v>1.166900936242611E-3</v>
      </c>
      <c r="AE139" s="159">
        <f>AE112*Inputs!$H57</f>
        <v>1.1732392547371922E-3</v>
      </c>
      <c r="AF139" s="159">
        <f>AF112*Inputs!$H57</f>
        <v>1.1773361108117246E-3</v>
      </c>
      <c r="AG139" s="159">
        <f>AG112*Inputs!$H57</f>
        <v>1.1953335056361356E-3</v>
      </c>
      <c r="AH139" s="188">
        <f>AH112*Inputs!$H57</f>
        <v>1.2083266661867408E-3</v>
      </c>
      <c r="AI139" s="31">
        <f>SUM(C139:X139)</f>
        <v>1.2900137034833057E-2</v>
      </c>
    </row>
    <row r="140" spans="1:35">
      <c r="A140" s="10" t="s">
        <v>383</v>
      </c>
      <c r="C140" s="336">
        <f t="shared" ref="C140:AH140" si="91">SUM(C127:C139)</f>
        <v>7208.6948100000009</v>
      </c>
      <c r="D140" s="336">
        <f t="shared" si="91"/>
        <v>7551.025005635096</v>
      </c>
      <c r="E140" s="336">
        <f t="shared" si="91"/>
        <v>7315.0711871930544</v>
      </c>
      <c r="F140" s="336">
        <f t="shared" si="91"/>
        <v>7342.3770685496256</v>
      </c>
      <c r="G140" s="336">
        <f t="shared" si="91"/>
        <v>7296.2091207687536</v>
      </c>
      <c r="H140" s="408">
        <f t="shared" si="91"/>
        <v>7236.9734914384453</v>
      </c>
      <c r="I140" s="14">
        <f t="shared" si="91"/>
        <v>7530.9587098344573</v>
      </c>
      <c r="J140" s="14">
        <f t="shared" si="91"/>
        <v>7824.2682715323162</v>
      </c>
      <c r="K140" s="14">
        <f t="shared" si="91"/>
        <v>8152.0363693473937</v>
      </c>
      <c r="L140" s="14">
        <f t="shared" si="91"/>
        <v>8453.1646412924019</v>
      </c>
      <c r="M140" s="14">
        <f t="shared" si="91"/>
        <v>8764.0362056696358</v>
      </c>
      <c r="N140" s="183">
        <f t="shared" si="91"/>
        <v>9102.4102623460985</v>
      </c>
      <c r="O140" s="14">
        <f t="shared" si="91"/>
        <v>9220.9500148585557</v>
      </c>
      <c r="P140" s="14">
        <f t="shared" si="91"/>
        <v>9304.9467211955252</v>
      </c>
      <c r="Q140" s="14">
        <f t="shared" si="91"/>
        <v>9317.1340009875512</v>
      </c>
      <c r="R140" s="14">
        <f t="shared" si="91"/>
        <v>9403.0271412398179</v>
      </c>
      <c r="S140" s="14">
        <f t="shared" si="91"/>
        <v>9436.8343910294188</v>
      </c>
      <c r="T140" s="14">
        <f t="shared" si="91"/>
        <v>9431.4274193793444</v>
      </c>
      <c r="U140" s="14">
        <f t="shared" si="91"/>
        <v>9572.7327916570976</v>
      </c>
      <c r="V140" s="14">
        <f t="shared" si="91"/>
        <v>9588.2646496573543</v>
      </c>
      <c r="W140" s="14">
        <f t="shared" si="91"/>
        <v>9665.4975895689204</v>
      </c>
      <c r="X140" s="188">
        <f t="shared" si="91"/>
        <v>9714.2178740739346</v>
      </c>
      <c r="Y140" s="159">
        <f t="shared" si="91"/>
        <v>9667.1651727303288</v>
      </c>
      <c r="Z140" s="159">
        <f t="shared" si="91"/>
        <v>9658.3950159097149</v>
      </c>
      <c r="AA140" s="159">
        <f t="shared" si="91"/>
        <v>9676.3094928663195</v>
      </c>
      <c r="AB140" s="159">
        <f t="shared" si="91"/>
        <v>9731.2990556687037</v>
      </c>
      <c r="AC140" s="159">
        <f t="shared" si="91"/>
        <v>9713.8337046117394</v>
      </c>
      <c r="AD140" s="159">
        <f t="shared" si="91"/>
        <v>9737.8220816232715</v>
      </c>
      <c r="AE140" s="159">
        <f t="shared" si="91"/>
        <v>9752.0830328382453</v>
      </c>
      <c r="AF140" s="159">
        <f t="shared" si="91"/>
        <v>9747.3691121953016</v>
      </c>
      <c r="AG140" s="159">
        <f t="shared" si="91"/>
        <v>9857.0126329996365</v>
      </c>
      <c r="AH140" s="188">
        <f t="shared" si="91"/>
        <v>9924.3695541833695</v>
      </c>
      <c r="AI140" s="48" t="s">
        <v>0</v>
      </c>
    </row>
    <row r="141" spans="1:35">
      <c r="A141" s="10" t="s">
        <v>386</v>
      </c>
      <c r="C141" s="336">
        <f>SUM(C128:C130)</f>
        <v>6885.7186500000007</v>
      </c>
      <c r="D141" s="336">
        <f t="shared" ref="D141:AH141" si="92">SUM(D128:D130)</f>
        <v>7167.3134489695949</v>
      </c>
      <c r="E141" s="336">
        <f t="shared" si="92"/>
        <v>6891.0182891333079</v>
      </c>
      <c r="F141" s="336">
        <f t="shared" si="92"/>
        <v>6856.7189108873145</v>
      </c>
      <c r="G141" s="336">
        <f t="shared" si="92"/>
        <v>6755.9727511354467</v>
      </c>
      <c r="H141" s="408">
        <f t="shared" si="92"/>
        <v>6819.7013170271402</v>
      </c>
      <c r="I141" s="14">
        <f t="shared" si="92"/>
        <v>7039.932763490302</v>
      </c>
      <c r="J141" s="14">
        <f t="shared" si="92"/>
        <v>7159.2166693322442</v>
      </c>
      <c r="K141" s="14">
        <f t="shared" si="92"/>
        <v>7473.4060203244408</v>
      </c>
      <c r="L141" s="14">
        <f t="shared" si="92"/>
        <v>7658.9726507431069</v>
      </c>
      <c r="M141" s="14">
        <f t="shared" si="92"/>
        <v>7835.7601245726319</v>
      </c>
      <c r="N141" s="188">
        <f t="shared" si="92"/>
        <v>8016.9248489627716</v>
      </c>
      <c r="O141" s="14">
        <f t="shared" si="92"/>
        <v>8058.7484219212356</v>
      </c>
      <c r="P141" s="14">
        <f t="shared" si="92"/>
        <v>8105.9175648064229</v>
      </c>
      <c r="Q141" s="14">
        <f t="shared" si="92"/>
        <v>8069.3343412242393</v>
      </c>
      <c r="R141" s="14">
        <f t="shared" si="92"/>
        <v>8094.3839803239016</v>
      </c>
      <c r="S141" s="14">
        <f t="shared" si="92"/>
        <v>8072.2130896675344</v>
      </c>
      <c r="T141" s="14">
        <f t="shared" si="92"/>
        <v>8014.5460078902533</v>
      </c>
      <c r="U141" s="14">
        <f t="shared" si="92"/>
        <v>8078.917375364681</v>
      </c>
      <c r="V141" s="14">
        <f t="shared" si="92"/>
        <v>8034.3142419446585</v>
      </c>
      <c r="W141" s="14">
        <f t="shared" si="92"/>
        <v>8038.8811199383672</v>
      </c>
      <c r="X141" s="188">
        <f t="shared" si="92"/>
        <v>8016.9257268187202</v>
      </c>
      <c r="Y141" s="159">
        <f t="shared" si="92"/>
        <v>7971.558349160634</v>
      </c>
      <c r="Z141" s="159">
        <f t="shared" si="92"/>
        <v>7957.7458229004878</v>
      </c>
      <c r="AA141" s="159">
        <f t="shared" si="92"/>
        <v>7965.8616526504356</v>
      </c>
      <c r="AB141" s="159">
        <f t="shared" si="92"/>
        <v>8004.3965540689278</v>
      </c>
      <c r="AC141" s="159">
        <f t="shared" si="92"/>
        <v>7983.2554785308812</v>
      </c>
      <c r="AD141" s="159">
        <f t="shared" si="92"/>
        <v>7996.1247502430033</v>
      </c>
      <c r="AE141" s="159">
        <f t="shared" si="92"/>
        <v>8000.9252305091777</v>
      </c>
      <c r="AF141" s="159">
        <f t="shared" si="92"/>
        <v>7990.09640921748</v>
      </c>
      <c r="AG141" s="159">
        <f t="shared" si="92"/>
        <v>8072.8773116418788</v>
      </c>
      <c r="AH141" s="188">
        <f t="shared" si="92"/>
        <v>8120.8408530156257</v>
      </c>
      <c r="AI141" s="48"/>
    </row>
    <row r="142" spans="1:35">
      <c r="A142" s="10" t="s">
        <v>385</v>
      </c>
      <c r="C142" s="335">
        <f t="shared" ref="C142:AH142" si="93">SUMPRODUCT($B131:$B139,C131:C139)</f>
        <v>322.97615999999999</v>
      </c>
      <c r="D142" s="335">
        <f t="shared" si="93"/>
        <v>383.71155666550084</v>
      </c>
      <c r="E142" s="335">
        <f t="shared" si="93"/>
        <v>424.05289805974598</v>
      </c>
      <c r="F142" s="335">
        <f t="shared" si="93"/>
        <v>485.65815766231157</v>
      </c>
      <c r="G142" s="335">
        <f t="shared" si="93"/>
        <v>540.23636963330625</v>
      </c>
      <c r="H142" s="287">
        <f t="shared" si="93"/>
        <v>417.27217441130517</v>
      </c>
      <c r="I142" s="40">
        <f t="shared" si="93"/>
        <v>491.02594634415544</v>
      </c>
      <c r="J142" s="40">
        <f t="shared" si="93"/>
        <v>665.05160220007292</v>
      </c>
      <c r="K142" s="40">
        <f t="shared" si="93"/>
        <v>678.63034902295362</v>
      </c>
      <c r="L142" s="40">
        <f t="shared" si="93"/>
        <v>794.19199054929356</v>
      </c>
      <c r="M142" s="40">
        <f t="shared" si="93"/>
        <v>928.2760810970027</v>
      </c>
      <c r="N142" s="178">
        <f t="shared" si="93"/>
        <v>1085.4854133833257</v>
      </c>
      <c r="O142" s="40">
        <f t="shared" si="93"/>
        <v>1162.2015929373169</v>
      </c>
      <c r="P142" s="40">
        <f t="shared" si="93"/>
        <v>1199.0291563891014</v>
      </c>
      <c r="Q142" s="40">
        <f t="shared" si="93"/>
        <v>1247.7996597633112</v>
      </c>
      <c r="R142" s="40">
        <f t="shared" si="93"/>
        <v>1308.6431609159176</v>
      </c>
      <c r="S142" s="40">
        <f t="shared" si="93"/>
        <v>1364.6213013618838</v>
      </c>
      <c r="T142" s="40">
        <f t="shared" si="93"/>
        <v>1416.8814114890931</v>
      </c>
      <c r="U142" s="40">
        <f t="shared" si="93"/>
        <v>1493.8154162924163</v>
      </c>
      <c r="V142" s="40">
        <f t="shared" si="93"/>
        <v>1553.950407712694</v>
      </c>
      <c r="W142" s="40">
        <f t="shared" si="93"/>
        <v>1626.6164696305548</v>
      </c>
      <c r="X142" s="185">
        <f t="shared" si="93"/>
        <v>1697.292147255215</v>
      </c>
      <c r="Y142" s="272">
        <f t="shared" si="93"/>
        <v>1695.6068235696964</v>
      </c>
      <c r="Z142" s="272">
        <f t="shared" si="93"/>
        <v>1700.649193009227</v>
      </c>
      <c r="AA142" s="272">
        <f t="shared" si="93"/>
        <v>1710.4478402158836</v>
      </c>
      <c r="AB142" s="272">
        <f t="shared" si="93"/>
        <v>1726.9025015997761</v>
      </c>
      <c r="AC142" s="272">
        <f t="shared" si="93"/>
        <v>1730.5782260808598</v>
      </c>
      <c r="AD142" s="272">
        <f t="shared" si="93"/>
        <v>1741.6973313802675</v>
      </c>
      <c r="AE142" s="272">
        <f t="shared" si="93"/>
        <v>1751.157802329067</v>
      </c>
      <c r="AF142" s="272">
        <f t="shared" si="93"/>
        <v>1757.2727029778209</v>
      </c>
      <c r="AG142" s="272">
        <f t="shared" si="93"/>
        <v>1784.1353213577559</v>
      </c>
      <c r="AH142" s="185">
        <f t="shared" si="93"/>
        <v>1803.5287011677444</v>
      </c>
    </row>
    <row r="143" spans="1:35">
      <c r="A143" s="10" t="s">
        <v>142</v>
      </c>
      <c r="C143" s="336">
        <f>C116*Inputs!$H$60</f>
        <v>3067.0794000000001</v>
      </c>
      <c r="D143" s="336">
        <f>D116*Inputs!$H$60</f>
        <v>3534.3529736224273</v>
      </c>
      <c r="E143" s="336">
        <f>E116*Inputs!$H$60</f>
        <v>3033.1697913947332</v>
      </c>
      <c r="F143" s="336">
        <f>F116*Inputs!$H$60</f>
        <v>2471.6031282772196</v>
      </c>
      <c r="G143" s="336">
        <f>G116*Inputs!$H$60</f>
        <v>2585.550143731778</v>
      </c>
      <c r="H143" s="408">
        <f>H116*Inputs!$H$60</f>
        <v>2967.1427657981217</v>
      </c>
      <c r="I143" s="14">
        <f>I116*Inputs!$H$60</f>
        <v>2703.6597837892218</v>
      </c>
      <c r="J143" s="14">
        <f>J116*Inputs!$H$60</f>
        <v>2503.316443561594</v>
      </c>
      <c r="K143" s="14">
        <f>K116*Inputs!$H$60</f>
        <v>2706.9871002710174</v>
      </c>
      <c r="L143" s="14">
        <f>L116*Inputs!$H$60</f>
        <v>2975.3580211301482</v>
      </c>
      <c r="M143" s="14">
        <f>M116*Inputs!$H$60</f>
        <v>3034.4890667864383</v>
      </c>
      <c r="N143" s="183">
        <f>N116*Inputs!$H$60</f>
        <v>2915.5603635663674</v>
      </c>
      <c r="O143" s="14">
        <f>O116*Inputs!$H$60</f>
        <v>2999.2465272450231</v>
      </c>
      <c r="P143" s="14">
        <f>P116*Inputs!$H$60</f>
        <v>3014.2439365091177</v>
      </c>
      <c r="Q143" s="14">
        <f>Q116*Inputs!$H$60</f>
        <v>3047.9102230407289</v>
      </c>
      <c r="R143" s="14">
        <f>R116*Inputs!$H$60</f>
        <v>3058.9792382239043</v>
      </c>
      <c r="S143" s="14">
        <f>S116*Inputs!$H$60</f>
        <v>3085.7834439355784</v>
      </c>
      <c r="T143" s="14">
        <f>T116*Inputs!$H$60</f>
        <v>3097.0296816240734</v>
      </c>
      <c r="U143" s="14">
        <f>U116*Inputs!$H$60</f>
        <v>3056.4751794098429</v>
      </c>
      <c r="V143" s="14">
        <f>V116*Inputs!$H$60</f>
        <v>3058.566921512645</v>
      </c>
      <c r="W143" s="14">
        <f>W116*Inputs!$H$60</f>
        <v>3049.1953372293865</v>
      </c>
      <c r="X143" s="188">
        <f>X116*Inputs!$H$60</f>
        <v>3044.7891575883164</v>
      </c>
      <c r="Y143" s="159">
        <f>Y116*Inputs!$H$60</f>
        <v>3065.9671172943799</v>
      </c>
      <c r="Z143" s="159">
        <f>Z116*Inputs!$H$60</f>
        <v>3078.4236241776912</v>
      </c>
      <c r="AA143" s="159">
        <f>AA116*Inputs!$H$60</f>
        <v>3076.7399241209428</v>
      </c>
      <c r="AB143" s="159">
        <f>AB116*Inputs!$H$60</f>
        <v>3065.100473733205</v>
      </c>
      <c r="AC143" s="159">
        <f>AC116*Inputs!$H$60</f>
        <v>3073.852539747269</v>
      </c>
      <c r="AD143" s="159">
        <f>AD116*Inputs!$H$60</f>
        <v>3087.1025146780207</v>
      </c>
      <c r="AE143" s="159">
        <f>AE116*Inputs!$H$60</f>
        <v>3087.1009968778317</v>
      </c>
      <c r="AF143" s="159">
        <f>AF116*Inputs!$H$60</f>
        <v>3091.4460008502706</v>
      </c>
      <c r="AG143" s="159">
        <f>AG116*Inputs!$H$60</f>
        <v>3072.404645729765</v>
      </c>
      <c r="AH143" s="188">
        <f>AH116*Inputs!$H$60</f>
        <v>3054.6488378424328</v>
      </c>
      <c r="AI143" s="48"/>
    </row>
    <row r="144" spans="1:35">
      <c r="A144" s="10" t="s">
        <v>222</v>
      </c>
      <c r="C144" s="336">
        <f>C117*Inputs!$H$61</f>
        <v>1314.4625999999998</v>
      </c>
      <c r="D144" s="336">
        <f>D117*Inputs!$H$61</f>
        <v>1025.1884723732387</v>
      </c>
      <c r="E144" s="336">
        <f>E117*Inputs!$H$61</f>
        <v>1304.6200020314623</v>
      </c>
      <c r="F144" s="336">
        <f>F117*Inputs!$H$61</f>
        <v>1803.980654223614</v>
      </c>
      <c r="G144" s="336">
        <f>G117*Inputs!$H$61</f>
        <v>1568.94833725851</v>
      </c>
      <c r="H144" s="408">
        <f>H117*Inputs!$H$61</f>
        <v>1421.0607507131749</v>
      </c>
      <c r="I144" s="14">
        <f>I117*Inputs!$H$61</f>
        <v>1757.3196557120048</v>
      </c>
      <c r="J144" s="14">
        <f>J117*Inputs!$H$61</f>
        <v>1907.8118844376575</v>
      </c>
      <c r="K144" s="14">
        <f>K117*Inputs!$H$61</f>
        <v>1865.4334035133397</v>
      </c>
      <c r="L144" s="14">
        <f>L117*Inputs!$H$61</f>
        <v>1616.5540986805242</v>
      </c>
      <c r="M144" s="14">
        <f>M117*Inputs!$H$61</f>
        <v>1560.6598106273409</v>
      </c>
      <c r="N144" s="183">
        <f>N117*Inputs!$H$61</f>
        <v>1672.0893298687984</v>
      </c>
      <c r="O144" s="14">
        <f>O117*Inputs!$H$61</f>
        <v>1696.1502330113783</v>
      </c>
      <c r="P144" s="14">
        <f>P117*Inputs!$H$61</f>
        <v>1817.7322847275202</v>
      </c>
      <c r="Q144" s="14">
        <f>Q117*Inputs!$H$61</f>
        <v>1860.5860742673976</v>
      </c>
      <c r="R144" s="14">
        <f>R117*Inputs!$H$61</f>
        <v>1965.0935636209465</v>
      </c>
      <c r="S144" s="14">
        <f>S117*Inputs!$H$61</f>
        <v>2029.154156999416</v>
      </c>
      <c r="T144" s="14">
        <f>T117*Inputs!$H$61</f>
        <v>2089.6879601942396</v>
      </c>
      <c r="U144" s="14">
        <f>U117*Inputs!$H$61</f>
        <v>2279.7010672454462</v>
      </c>
      <c r="V144" s="14">
        <f>V117*Inputs!$H$61</f>
        <v>2354.9628703057911</v>
      </c>
      <c r="W144" s="14">
        <f>W117*Inputs!$H$61</f>
        <v>2474.5257404262043</v>
      </c>
      <c r="X144" s="188">
        <f>X117*Inputs!$H$61</f>
        <v>2572.1474849293318</v>
      </c>
      <c r="Y144" s="159">
        <f>Y117*Inputs!$H$61</f>
        <v>2574.7972161337707</v>
      </c>
      <c r="Z144" s="159">
        <f>Z117*Inputs!$H$61</f>
        <v>2608.635106628969</v>
      </c>
      <c r="AA144" s="159">
        <f>AA117*Inputs!$H$61</f>
        <v>2673.4035287197303</v>
      </c>
      <c r="AB144" s="159">
        <f>AB117*Inputs!$H$61</f>
        <v>2770.2716106536373</v>
      </c>
      <c r="AC144" s="159">
        <f>AC117*Inputs!$H$61</f>
        <v>2803.8375401817643</v>
      </c>
      <c r="AD144" s="159">
        <f>AD117*Inputs!$H$61</f>
        <v>2858.4772713543798</v>
      </c>
      <c r="AE144" s="159">
        <f>AE117*Inputs!$H$61</f>
        <v>2920.9343880649535</v>
      </c>
      <c r="AF144" s="159">
        <f>AF117*Inputs!$H$61</f>
        <v>2967.8633362532978</v>
      </c>
      <c r="AG144" s="159">
        <f>AG117*Inputs!$H$61</f>
        <v>3110.4754553213652</v>
      </c>
      <c r="AH144" s="188">
        <f>AH117*Inputs!$H$61</f>
        <v>3226.7379112557028</v>
      </c>
      <c r="AI144" s="48"/>
    </row>
    <row r="145" spans="1:35">
      <c r="A145" s="10" t="s">
        <v>58</v>
      </c>
      <c r="C145" s="336">
        <f>SUM(C140,C143,C144)</f>
        <v>11590.236810000002</v>
      </c>
      <c r="D145" s="336">
        <f>SUM(D140,D143,D144)</f>
        <v>12110.566451630761</v>
      </c>
      <c r="E145" s="336">
        <f t="shared" ref="E145:AH145" si="94">SUM(E140,E143,E144)</f>
        <v>11652.860980619251</v>
      </c>
      <c r="F145" s="336">
        <f t="shared" si="94"/>
        <v>11617.96085105046</v>
      </c>
      <c r="G145" s="336">
        <f t="shared" si="94"/>
        <v>11450.707601759041</v>
      </c>
      <c r="H145" s="408">
        <f t="shared" si="94"/>
        <v>11625.177007949742</v>
      </c>
      <c r="I145" s="14">
        <f t="shared" si="94"/>
        <v>11991.938149335683</v>
      </c>
      <c r="J145" s="14">
        <f t="shared" si="94"/>
        <v>12235.396599531567</v>
      </c>
      <c r="K145" s="14">
        <f t="shared" si="94"/>
        <v>12724.45687313175</v>
      </c>
      <c r="L145" s="14">
        <f t="shared" si="94"/>
        <v>13045.076761103075</v>
      </c>
      <c r="M145" s="14">
        <f t="shared" si="94"/>
        <v>13359.185083083416</v>
      </c>
      <c r="N145" s="188">
        <f t="shared" si="94"/>
        <v>13690.059955781264</v>
      </c>
      <c r="O145" s="14">
        <f t="shared" si="94"/>
        <v>13916.346775114956</v>
      </c>
      <c r="P145" s="14">
        <f t="shared" si="94"/>
        <v>14136.922942432164</v>
      </c>
      <c r="Q145" s="14">
        <f t="shared" si="94"/>
        <v>14225.630298295677</v>
      </c>
      <c r="R145" s="14">
        <f t="shared" si="94"/>
        <v>14427.09994308467</v>
      </c>
      <c r="S145" s="14">
        <f t="shared" si="94"/>
        <v>14551.771991964411</v>
      </c>
      <c r="T145" s="14">
        <f t="shared" si="94"/>
        <v>14618.145061197658</v>
      </c>
      <c r="U145" s="14">
        <f t="shared" si="94"/>
        <v>14908.909038312388</v>
      </c>
      <c r="V145" s="14">
        <f t="shared" si="94"/>
        <v>15001.794441475791</v>
      </c>
      <c r="W145" s="14">
        <f t="shared" si="94"/>
        <v>15189.218667224512</v>
      </c>
      <c r="X145" s="188">
        <f t="shared" si="94"/>
        <v>15331.154516591583</v>
      </c>
      <c r="Y145" s="159">
        <f t="shared" si="94"/>
        <v>15307.92950615848</v>
      </c>
      <c r="Z145" s="159">
        <f t="shared" si="94"/>
        <v>15345.453746716375</v>
      </c>
      <c r="AA145" s="159">
        <f t="shared" si="94"/>
        <v>15426.452945706991</v>
      </c>
      <c r="AB145" s="159">
        <f t="shared" si="94"/>
        <v>15566.671140055545</v>
      </c>
      <c r="AC145" s="159">
        <f t="shared" si="94"/>
        <v>15591.523784540774</v>
      </c>
      <c r="AD145" s="159">
        <f t="shared" si="94"/>
        <v>15683.401867655673</v>
      </c>
      <c r="AE145" s="159">
        <f t="shared" si="94"/>
        <v>15760.118417781032</v>
      </c>
      <c r="AF145" s="159">
        <f t="shared" si="94"/>
        <v>15806.67844929887</v>
      </c>
      <c r="AG145" s="159">
        <f t="shared" si="94"/>
        <v>16039.892734050765</v>
      </c>
      <c r="AH145" s="188">
        <f t="shared" si="94"/>
        <v>16205.756303281505</v>
      </c>
      <c r="AI145" s="48"/>
    </row>
    <row r="146" spans="1:35" s="1" customFormat="1">
      <c r="A146" s="1" t="s">
        <v>335</v>
      </c>
      <c r="B146" s="13"/>
      <c r="C146" s="346">
        <f>C145-'Output - Jobs vs Yr (BAU)'!C73</f>
        <v>-2.699999986361945E-4</v>
      </c>
      <c r="D146" s="346">
        <f>D145-'Output - Jobs vs Yr (BAU)'!D73</f>
        <v>81.192371630759226</v>
      </c>
      <c r="E146" s="346">
        <f>E145-'Output - Jobs vs Yr (BAU)'!E73</f>
        <v>64.965938860854294</v>
      </c>
      <c r="F146" s="346">
        <f>F145-'Output - Jobs vs Yr (BAU)'!F73</f>
        <v>76.55469171023833</v>
      </c>
      <c r="G146" s="346">
        <f>G145-'Output - Jobs vs Yr (BAU)'!G73</f>
        <v>49.3398523201231</v>
      </c>
      <c r="H146" s="411">
        <f>H145-'Output - Jobs vs Yr (BAU)'!H73</f>
        <v>-0.12896999999975378</v>
      </c>
      <c r="I146" s="15">
        <f>I145-'Output - Jobs vs Yr (BAU)'!I73</f>
        <v>38.965473359448879</v>
      </c>
      <c r="J146" s="15">
        <f>J145-'Output - Jobs vs Yr (BAU)'!J73</f>
        <v>20.226411747275051</v>
      </c>
      <c r="K146" s="15">
        <f>K145-'Output - Jobs vs Yr (BAU)'!K73</f>
        <v>58.247566099251344</v>
      </c>
      <c r="L146" s="15">
        <f>L145-'Output - Jobs vs Yr (BAU)'!L73</f>
        <v>78.093073237507269</v>
      </c>
      <c r="M146" s="15">
        <f>M145-'Output - Jobs vs Yr (BAU)'!M73</f>
        <v>88.599330467663094</v>
      </c>
      <c r="N146" s="183">
        <f>N145-'Output - Jobs vs Yr (BAU)'!N73</f>
        <v>100.65526173325452</v>
      </c>
      <c r="O146" s="15">
        <f>O145-'Output - Jobs vs Yr (BAU)'!O73</f>
        <v>9.953310079568837</v>
      </c>
      <c r="P146" s="15">
        <f>P145-'Output - Jobs vs Yr (BAU)'!P73</f>
        <v>26.808908185555993</v>
      </c>
      <c r="Q146" s="15">
        <f>Q145-'Output - Jobs vs Yr (BAU)'!Q73</f>
        <v>20.642373291571857</v>
      </c>
      <c r="R146" s="15">
        <f>R145-'Output - Jobs vs Yr (BAU)'!R73</f>
        <v>51.111164216847101</v>
      </c>
      <c r="S146" s="15">
        <f>S145-'Output - Jobs vs Yr (BAU)'!S73</f>
        <v>67.238816935443538</v>
      </c>
      <c r="T146" s="15">
        <f>T145-'Output - Jobs vs Yr (BAU)'!T73</f>
        <v>78.670032608568363</v>
      </c>
      <c r="U146" s="15">
        <f>U145-'Output - Jobs vs Yr (BAU)'!U73</f>
        <v>133.73925992924705</v>
      </c>
      <c r="V146" s="15">
        <f>V145-'Output - Jobs vs Yr (BAU)'!V73</f>
        <v>149.64127109825313</v>
      </c>
      <c r="W146" s="15">
        <f>W145-'Output - Jobs vs Yr (BAU)'!W73</f>
        <v>182.70019020447035</v>
      </c>
      <c r="X146" s="191">
        <f>X145-'Output - Jobs vs Yr (BAU)'!X73</f>
        <v>216.09759736345222</v>
      </c>
      <c r="Y146" s="131">
        <f>Y145-'Output - Jobs vs Yr (BAU)'!Y73</f>
        <v>202.06817886349927</v>
      </c>
      <c r="Z146" s="131">
        <f>Z145-'Output - Jobs vs Yr (BAU)'!Z73</f>
        <v>202.142127704421</v>
      </c>
      <c r="AA146" s="131">
        <f>AA145-'Output - Jobs vs Yr (BAU)'!AA73</f>
        <v>207.34381252653111</v>
      </c>
      <c r="AB146" s="131">
        <f>AB145-'Output - Jobs vs Yr (BAU)'!AB73</f>
        <v>219.33350750139107</v>
      </c>
      <c r="AC146" s="131">
        <f>AC145-'Output - Jobs vs Yr (BAU)'!AC73</f>
        <v>213.74145472999771</v>
      </c>
      <c r="AD146" s="131">
        <f>AD145-'Output - Jobs vs Yr (BAU)'!AD73</f>
        <v>209.97650328716554</v>
      </c>
      <c r="AE146" s="131">
        <f>AE145-'Output - Jobs vs Yr (BAU)'!AE73</f>
        <v>210.4990034927323</v>
      </c>
      <c r="AF146" s="131">
        <f>AF145-'Output - Jobs vs Yr (BAU)'!AF73</f>
        <v>211.84301596545993</v>
      </c>
      <c r="AG146" s="131">
        <f>AG145-'Output - Jobs vs Yr (BAU)'!AG73</f>
        <v>230.12086729110342</v>
      </c>
      <c r="AH146" s="191">
        <f>AH145-'Output - Jobs vs Yr (BAU)'!AH73</f>
        <v>245.08449233931242</v>
      </c>
    </row>
    <row r="147" spans="1:35" s="1" customFormat="1">
      <c r="A147" s="11"/>
      <c r="B147" s="13"/>
      <c r="C147" s="333"/>
      <c r="D147" s="346"/>
      <c r="E147" s="346"/>
      <c r="F147" s="346"/>
      <c r="G147" s="346"/>
      <c r="H147" s="411"/>
      <c r="I147" s="15"/>
      <c r="J147" s="15"/>
      <c r="K147" s="15"/>
      <c r="L147" s="15"/>
      <c r="M147" s="15"/>
      <c r="N147" s="188" t="s">
        <v>0</v>
      </c>
      <c r="O147" s="15"/>
      <c r="P147" s="15"/>
      <c r="Q147" s="15"/>
      <c r="R147" s="15"/>
      <c r="S147" s="15"/>
      <c r="T147" s="15"/>
      <c r="U147" s="15"/>
      <c r="V147" s="15"/>
      <c r="W147" s="15"/>
      <c r="X147" s="191"/>
      <c r="Y147"/>
      <c r="Z147"/>
      <c r="AA147"/>
      <c r="AB147"/>
      <c r="AC147"/>
      <c r="AD147"/>
      <c r="AE147"/>
      <c r="AF147"/>
      <c r="AG147"/>
      <c r="AH147" s="281"/>
    </row>
    <row r="148" spans="1:35" hidden="1">
      <c r="A148" s="1" t="s">
        <v>199</v>
      </c>
    </row>
    <row r="149" spans="1:35" hidden="1">
      <c r="A149" s="20" t="s">
        <v>197</v>
      </c>
      <c r="C149" s="338">
        <f>'backup - EIA liq_fuelS_aeo2014'!E44</f>
        <v>7088.7783050537164</v>
      </c>
      <c r="D149" s="338">
        <f>'backup - EIA liq_fuelS_aeo2014'!F44</f>
        <v>7149.5953941345133</v>
      </c>
      <c r="E149" s="338">
        <f>'backup - EIA liq_fuelS_aeo2014'!G44</f>
        <v>6912.5827950000003</v>
      </c>
      <c r="F149" s="338">
        <f>'backup - EIA liq_fuelS_aeo2014'!H44</f>
        <v>6786.185485</v>
      </c>
      <c r="G149" s="338">
        <f>'backup - EIA liq_fuelS_aeo2014'!I44</f>
        <v>6929.6414350000005</v>
      </c>
      <c r="H149" s="412">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9">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5">
        <f>'backup - EIA liq_fuelS_aeo2014'!Z44</f>
        <v>6908.05278</v>
      </c>
    </row>
    <row r="150" spans="1:35" hidden="1">
      <c r="A150" s="20" t="s">
        <v>198</v>
      </c>
      <c r="C150" s="338">
        <f>'backup - EIA liq_fuelS_aeo2014'!E44</f>
        <v>7088.7783050537164</v>
      </c>
      <c r="D150" s="338">
        <f>'backup - EIA liq_fuelS_aeo2014'!F44</f>
        <v>7149.5953941345133</v>
      </c>
      <c r="E150" s="338">
        <f>'backup - EIA liq_fuelS_aeo2014'!G44</f>
        <v>6912.5827950000003</v>
      </c>
      <c r="F150" s="338">
        <f>'backup - EIA liq_fuelS_aeo2014'!H44</f>
        <v>6786.185485</v>
      </c>
      <c r="G150" s="338">
        <f>'backup - EIA liq_fuelS_aeo2014'!I44</f>
        <v>6929.6414350000005</v>
      </c>
      <c r="H150" s="412">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9">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5">
        <f>'backup - EIA liq_fuelS_aeo2014'!Z44</f>
        <v>6908.05278</v>
      </c>
    </row>
    <row r="151" spans="1:35" hidden="1">
      <c r="A151" s="20" t="s">
        <v>200</v>
      </c>
      <c r="C151" s="347">
        <f>'backup - EIA liq_fuelS_aeo2014'!E46</f>
        <v>273.77869168296451</v>
      </c>
      <c r="D151" s="347">
        <f>'backup - EIA liq_fuelS_aeo2014'!F46</f>
        <v>330.59007454663532</v>
      </c>
      <c r="E151" s="347">
        <f>'backup - EIA liq_fuelS_aeo2014'!G46</f>
        <v>346.41273999999999</v>
      </c>
      <c r="F151" s="347">
        <f>'backup - EIA liq_fuelS_aeo2014'!H46</f>
        <v>332.23648773503913</v>
      </c>
      <c r="G151" s="347">
        <f>'backup - EIA liq_fuelS_aeo2014'!I46</f>
        <v>336.63400877733272</v>
      </c>
      <c r="H151" s="413">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90">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6">
        <f>'backup - EIA liq_fuelS_aeo2014'!Z46</f>
        <v>459.60339229062083</v>
      </c>
    </row>
    <row r="152" spans="1:35" hidden="1">
      <c r="A152" s="20" t="s">
        <v>203</v>
      </c>
      <c r="C152" s="337">
        <f>C151/C149</f>
        <v>3.8621421054708789E-2</v>
      </c>
      <c r="D152" s="337">
        <f t="shared" ref="D152:X152" si="95">D151/D149</f>
        <v>4.62389906452398E-2</v>
      </c>
      <c r="E152" s="337">
        <f t="shared" si="95"/>
        <v>5.0113358533740347E-2</v>
      </c>
      <c r="F152" s="337">
        <f t="shared" si="95"/>
        <v>4.8957766991398283E-2</v>
      </c>
      <c r="G152" s="337">
        <f t="shared" si="95"/>
        <v>4.8578849560248959E-2</v>
      </c>
      <c r="H152" s="285">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1">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6">
        <f t="shared" si="95"/>
        <v>6.6531540352623195E-2</v>
      </c>
    </row>
    <row r="153" spans="1:35" hidden="1">
      <c r="A153" t="s">
        <v>201</v>
      </c>
      <c r="C153" s="347">
        <f>'backup - EIA liq_fuelS_aeo2014'!E46</f>
        <v>273.77869168296451</v>
      </c>
      <c r="D153" s="347">
        <f>'backup - EIA liq_fuelS_aeo2014'!F46</f>
        <v>330.59007454663532</v>
      </c>
      <c r="E153" s="347">
        <f>'backup - EIA liq_fuelS_aeo2014'!G46</f>
        <v>346.41273999999999</v>
      </c>
      <c r="F153" s="347">
        <f>'backup - EIA liq_fuelS_aeo2014'!H46</f>
        <v>332.23648773503913</v>
      </c>
      <c r="G153" s="347">
        <f>'backup - EIA liq_fuelS_aeo2014'!I46</f>
        <v>336.63400877733272</v>
      </c>
      <c r="H153" s="413">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90">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6">
        <f>'backup - EIA liq_fuelS_aeo2014'!Z46</f>
        <v>459.60339229062083</v>
      </c>
    </row>
    <row r="154" spans="1:35" hidden="1">
      <c r="A154" t="s">
        <v>204</v>
      </c>
      <c r="C154" s="337">
        <f>C153/C149</f>
        <v>3.8621421054708789E-2</v>
      </c>
      <c r="D154" s="337">
        <f t="shared" ref="D154:X154" si="96">D153/D149</f>
        <v>4.62389906452398E-2</v>
      </c>
      <c r="E154" s="337">
        <f t="shared" si="96"/>
        <v>5.0113358533740347E-2</v>
      </c>
      <c r="F154" s="337">
        <f t="shared" si="96"/>
        <v>4.8957766991398283E-2</v>
      </c>
      <c r="G154" s="337">
        <f t="shared" si="96"/>
        <v>4.8578849560248959E-2</v>
      </c>
      <c r="H154" s="285">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1">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6">
        <f t="shared" si="96"/>
        <v>6.6531540352623195E-2</v>
      </c>
    </row>
    <row r="155" spans="1:35" hidden="1">
      <c r="A155" s="1" t="s">
        <v>202</v>
      </c>
      <c r="C155" s="347">
        <f>MAX(C151,C153)</f>
        <v>273.77869168296451</v>
      </c>
      <c r="D155" s="347">
        <f t="shared" ref="D155:X155" si="97">MAX(D151,D153)</f>
        <v>330.59007454663532</v>
      </c>
      <c r="E155" s="347">
        <f t="shared" si="97"/>
        <v>346.41273999999999</v>
      </c>
      <c r="F155" s="347">
        <f t="shared" si="97"/>
        <v>332.23648773503913</v>
      </c>
      <c r="G155" s="347">
        <f t="shared" si="97"/>
        <v>336.63400877733272</v>
      </c>
      <c r="H155" s="413">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90">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6">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8">
        <f>C149-C150</f>
        <v>0</v>
      </c>
      <c r="D157" s="338">
        <f t="shared" ref="D157:X157" si="98">D149-D150</f>
        <v>0</v>
      </c>
      <c r="E157" s="338">
        <f t="shared" si="98"/>
        <v>0</v>
      </c>
      <c r="F157" s="338">
        <f t="shared" si="98"/>
        <v>0</v>
      </c>
      <c r="G157" s="338">
        <f t="shared" si="98"/>
        <v>0</v>
      </c>
      <c r="H157" s="412">
        <f t="shared" si="98"/>
        <v>0</v>
      </c>
      <c r="I157" s="16">
        <f t="shared" si="98"/>
        <v>0</v>
      </c>
      <c r="J157" s="16">
        <f t="shared" si="98"/>
        <v>0</v>
      </c>
      <c r="K157" s="16">
        <f t="shared" si="98"/>
        <v>0</v>
      </c>
      <c r="L157" s="16">
        <f t="shared" si="98"/>
        <v>0</v>
      </c>
      <c r="M157" s="16">
        <f t="shared" si="98"/>
        <v>0</v>
      </c>
      <c r="N157" s="189">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5">
        <f t="shared" si="98"/>
        <v>0</v>
      </c>
    </row>
    <row r="158" spans="1:35" hidden="1"/>
    <row r="159" spans="1:35" hidden="1">
      <c r="A159" s="1" t="s">
        <v>252</v>
      </c>
    </row>
    <row r="160" spans="1:35" hidden="1">
      <c r="A160" t="s">
        <v>285</v>
      </c>
      <c r="C160" s="335">
        <v>0</v>
      </c>
      <c r="D160" s="335">
        <v>0</v>
      </c>
      <c r="E160" s="335">
        <v>0</v>
      </c>
      <c r="F160" s="335">
        <v>0</v>
      </c>
      <c r="G160" s="335">
        <v>0</v>
      </c>
      <c r="H160" s="287">
        <v>0</v>
      </c>
      <c r="I160" s="83">
        <v>0</v>
      </c>
      <c r="J160" s="83">
        <v>0</v>
      </c>
      <c r="K160" s="83">
        <v>0</v>
      </c>
      <c r="L160" s="83">
        <v>0</v>
      </c>
      <c r="M160" s="83">
        <v>0</v>
      </c>
      <c r="N160" s="178">
        <v>0</v>
      </c>
      <c r="O160" s="83">
        <v>0</v>
      </c>
      <c r="P160" s="83">
        <v>0</v>
      </c>
      <c r="Q160" s="83">
        <v>0</v>
      </c>
      <c r="R160" s="83">
        <v>0</v>
      </c>
      <c r="S160" s="83">
        <v>0</v>
      </c>
      <c r="T160" s="83">
        <v>0</v>
      </c>
      <c r="U160" s="83">
        <v>0</v>
      </c>
      <c r="V160" s="83">
        <v>0</v>
      </c>
      <c r="W160" s="83">
        <v>0</v>
      </c>
      <c r="X160" s="185">
        <v>0</v>
      </c>
    </row>
    <row r="161" spans="1:35" hidden="1">
      <c r="A161" t="s">
        <v>286</v>
      </c>
      <c r="C161" s="335">
        <v>0</v>
      </c>
      <c r="D161" s="335">
        <v>0</v>
      </c>
      <c r="E161" s="335">
        <v>0</v>
      </c>
      <c r="F161" s="335">
        <v>0</v>
      </c>
      <c r="G161" s="335">
        <v>0</v>
      </c>
      <c r="H161" s="287">
        <v>0</v>
      </c>
      <c r="I161" s="83">
        <v>0</v>
      </c>
      <c r="J161" s="83">
        <v>0</v>
      </c>
      <c r="K161" s="83">
        <v>0</v>
      </c>
      <c r="L161" s="83">
        <v>0</v>
      </c>
      <c r="M161" s="83">
        <v>0</v>
      </c>
      <c r="N161" s="178">
        <v>0</v>
      </c>
      <c r="O161" s="83">
        <v>0</v>
      </c>
      <c r="P161" s="83">
        <v>0</v>
      </c>
      <c r="Q161" s="83">
        <v>0</v>
      </c>
      <c r="R161" s="83">
        <v>0</v>
      </c>
      <c r="S161" s="83">
        <v>0</v>
      </c>
      <c r="T161" s="83">
        <v>0</v>
      </c>
      <c r="U161" s="83">
        <v>0</v>
      </c>
      <c r="V161" s="83">
        <v>0</v>
      </c>
      <c r="W161" s="83">
        <v>0</v>
      </c>
      <c r="X161" s="185">
        <v>0</v>
      </c>
    </row>
    <row r="162" spans="1:35" hidden="1">
      <c r="A162" t="s">
        <v>287</v>
      </c>
      <c r="C162" s="335">
        <v>0</v>
      </c>
      <c r="D162" s="335">
        <v>0</v>
      </c>
      <c r="E162" s="335">
        <v>0</v>
      </c>
      <c r="F162" s="335">
        <v>0</v>
      </c>
      <c r="G162" s="335">
        <v>0</v>
      </c>
      <c r="H162" s="287">
        <v>0</v>
      </c>
      <c r="I162" s="83">
        <v>0</v>
      </c>
      <c r="J162" s="83">
        <v>0</v>
      </c>
      <c r="K162" s="83">
        <v>0</v>
      </c>
      <c r="L162" s="83">
        <v>0</v>
      </c>
      <c r="M162" s="83">
        <v>0</v>
      </c>
      <c r="N162" s="178">
        <v>0</v>
      </c>
      <c r="O162" s="83">
        <v>0</v>
      </c>
      <c r="P162" s="83">
        <v>0</v>
      </c>
      <c r="Q162" s="83">
        <v>0</v>
      </c>
      <c r="R162" s="83">
        <v>0</v>
      </c>
      <c r="S162" s="83">
        <v>0</v>
      </c>
      <c r="T162" s="83">
        <v>0</v>
      </c>
      <c r="U162" s="83">
        <v>0</v>
      </c>
      <c r="V162" s="83">
        <v>0</v>
      </c>
      <c r="W162" s="83">
        <v>0</v>
      </c>
      <c r="X162" s="185">
        <v>0</v>
      </c>
    </row>
    <row r="163" spans="1:35" hidden="1">
      <c r="A163" t="s">
        <v>288</v>
      </c>
      <c r="C163" s="335">
        <v>0</v>
      </c>
      <c r="D163" s="335">
        <v>0</v>
      </c>
      <c r="E163" s="335">
        <v>0</v>
      </c>
      <c r="F163" s="335">
        <v>0</v>
      </c>
      <c r="G163" s="335">
        <v>0</v>
      </c>
      <c r="H163" s="287">
        <v>0</v>
      </c>
      <c r="I163" s="83">
        <v>0</v>
      </c>
      <c r="J163" s="83">
        <v>0</v>
      </c>
      <c r="K163" s="83">
        <v>0</v>
      </c>
      <c r="L163" s="83">
        <v>0</v>
      </c>
      <c r="M163" s="83">
        <v>0</v>
      </c>
      <c r="N163" s="178">
        <v>0</v>
      </c>
      <c r="O163" s="83">
        <v>0</v>
      </c>
      <c r="P163" s="83">
        <v>0</v>
      </c>
      <c r="Q163" s="83">
        <v>0</v>
      </c>
      <c r="R163" s="83">
        <v>0</v>
      </c>
      <c r="S163" s="83">
        <v>0</v>
      </c>
      <c r="T163" s="83">
        <v>0</v>
      </c>
      <c r="U163" s="83">
        <v>0</v>
      </c>
      <c r="V163" s="83">
        <v>0</v>
      </c>
      <c r="W163" s="83">
        <v>0</v>
      </c>
      <c r="X163" s="185">
        <v>0</v>
      </c>
      <c r="AI163" s="79" t="s">
        <v>0</v>
      </c>
    </row>
    <row r="164" spans="1:35" hidden="1">
      <c r="A164" t="s">
        <v>289</v>
      </c>
      <c r="C164" s="335" t="e">
        <f>C157*#REF!</f>
        <v>#REF!</v>
      </c>
      <c r="D164" s="335" t="e">
        <f>D157*#REF!</f>
        <v>#REF!</v>
      </c>
      <c r="E164" s="335" t="e">
        <f>E157*#REF!</f>
        <v>#REF!</v>
      </c>
      <c r="F164" s="335" t="e">
        <f>F157*#REF!</f>
        <v>#REF!</v>
      </c>
      <c r="G164" s="335" t="e">
        <f>G157*#REF!</f>
        <v>#REF!</v>
      </c>
      <c r="H164" s="287" t="e">
        <f>H157*#REF!</f>
        <v>#REF!</v>
      </c>
      <c r="I164" s="83" t="e">
        <f>I157*#REF!</f>
        <v>#REF!</v>
      </c>
      <c r="J164" s="83" t="e">
        <f>J157*#REF!</f>
        <v>#REF!</v>
      </c>
      <c r="K164" s="83" t="e">
        <f>K157*#REF!</f>
        <v>#REF!</v>
      </c>
      <c r="L164" s="83" t="e">
        <f>L157*#REF!</f>
        <v>#REF!</v>
      </c>
      <c r="M164" s="83" t="e">
        <f>M157*#REF!</f>
        <v>#REF!</v>
      </c>
      <c r="N164" s="178"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5" t="e">
        <f>X157*#REF!</f>
        <v>#REF!</v>
      </c>
    </row>
    <row r="165" spans="1:35" hidden="1">
      <c r="A165" t="s">
        <v>290</v>
      </c>
      <c r="C165" s="335">
        <v>0</v>
      </c>
      <c r="D165" s="335">
        <v>0</v>
      </c>
      <c r="E165" s="335">
        <v>0</v>
      </c>
      <c r="F165" s="335">
        <v>0</v>
      </c>
      <c r="G165" s="335">
        <v>0</v>
      </c>
      <c r="H165" s="287">
        <v>0</v>
      </c>
      <c r="I165" s="83">
        <v>0</v>
      </c>
      <c r="J165" s="83">
        <v>0</v>
      </c>
      <c r="K165" s="83">
        <v>0</v>
      </c>
      <c r="L165" s="83">
        <v>0</v>
      </c>
      <c r="M165" s="83">
        <v>0</v>
      </c>
      <c r="N165" s="178">
        <v>0</v>
      </c>
      <c r="O165" s="83">
        <v>0</v>
      </c>
      <c r="P165" s="83">
        <v>0</v>
      </c>
      <c r="Q165" s="83">
        <v>0</v>
      </c>
      <c r="R165" s="83">
        <v>0</v>
      </c>
      <c r="S165" s="83">
        <v>0</v>
      </c>
      <c r="T165" s="83">
        <v>0</v>
      </c>
      <c r="U165" s="83">
        <v>0</v>
      </c>
      <c r="V165" s="83">
        <v>0</v>
      </c>
      <c r="W165" s="83">
        <v>0</v>
      </c>
      <c r="X165" s="185">
        <v>0</v>
      </c>
    </row>
    <row r="166" spans="1:35" hidden="1">
      <c r="A166" t="s">
        <v>254</v>
      </c>
      <c r="C166" s="335" t="e">
        <f>C162-C160+C164+C165</f>
        <v>#REF!</v>
      </c>
      <c r="D166" s="335">
        <v>0</v>
      </c>
      <c r="E166" s="335">
        <v>0</v>
      </c>
      <c r="F166" s="335">
        <v>0</v>
      </c>
      <c r="G166" s="335">
        <v>0</v>
      </c>
      <c r="H166" s="287">
        <v>0</v>
      </c>
      <c r="I166" s="83">
        <v>0</v>
      </c>
      <c r="J166" s="83">
        <v>0</v>
      </c>
      <c r="K166" s="83">
        <v>0</v>
      </c>
      <c r="L166" s="83">
        <v>0</v>
      </c>
      <c r="M166" s="83">
        <v>0</v>
      </c>
      <c r="N166" s="178">
        <v>0</v>
      </c>
      <c r="O166" s="83">
        <v>0</v>
      </c>
      <c r="P166" s="83">
        <v>0</v>
      </c>
      <c r="Q166" s="83">
        <v>0</v>
      </c>
      <c r="R166" s="83">
        <v>0</v>
      </c>
      <c r="S166" s="83">
        <v>0</v>
      </c>
      <c r="T166" s="83">
        <v>0</v>
      </c>
      <c r="U166" s="83">
        <v>0</v>
      </c>
      <c r="V166" s="83">
        <v>0</v>
      </c>
      <c r="W166" s="83">
        <v>0</v>
      </c>
      <c r="X166" s="185">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5">
        <v>0</v>
      </c>
      <c r="D169" s="335">
        <v>0</v>
      </c>
      <c r="E169" s="335">
        <v>0</v>
      </c>
      <c r="F169" s="335">
        <v>0</v>
      </c>
      <c r="G169" s="335">
        <v>0</v>
      </c>
      <c r="H169" s="287">
        <v>0</v>
      </c>
      <c r="I169" s="83">
        <v>0</v>
      </c>
      <c r="J169" s="83">
        <v>0</v>
      </c>
      <c r="K169" s="83">
        <v>0</v>
      </c>
      <c r="L169" s="83">
        <v>0</v>
      </c>
      <c r="M169" s="83">
        <v>0</v>
      </c>
      <c r="N169" s="178">
        <v>0</v>
      </c>
      <c r="O169" s="83">
        <v>0</v>
      </c>
      <c r="P169" s="83">
        <v>0</v>
      </c>
      <c r="Q169" s="83">
        <v>0</v>
      </c>
      <c r="R169" s="83">
        <v>0</v>
      </c>
      <c r="S169" s="83">
        <v>0</v>
      </c>
      <c r="T169" s="83">
        <v>0</v>
      </c>
      <c r="U169" s="83">
        <v>0</v>
      </c>
      <c r="V169" s="83">
        <v>0</v>
      </c>
      <c r="W169" s="83">
        <v>0</v>
      </c>
      <c r="X169" s="185">
        <v>0</v>
      </c>
    </row>
    <row r="170" spans="1:35" hidden="1">
      <c r="A170" s="55" t="s">
        <v>295</v>
      </c>
      <c r="C170" s="335">
        <v>0</v>
      </c>
      <c r="D170" s="335">
        <v>0</v>
      </c>
      <c r="E170" s="335">
        <v>0</v>
      </c>
      <c r="F170" s="335">
        <v>0</v>
      </c>
      <c r="G170" s="335">
        <v>0</v>
      </c>
      <c r="H170" s="287">
        <v>0</v>
      </c>
      <c r="I170" s="83">
        <v>0</v>
      </c>
      <c r="J170" s="83">
        <v>0</v>
      </c>
      <c r="K170" s="83">
        <v>0</v>
      </c>
      <c r="L170" s="83">
        <v>0</v>
      </c>
      <c r="M170" s="83">
        <v>0</v>
      </c>
      <c r="N170" s="178">
        <v>0</v>
      </c>
      <c r="O170" s="83">
        <v>0</v>
      </c>
      <c r="P170" s="83">
        <v>0</v>
      </c>
      <c r="Q170" s="83">
        <v>0</v>
      </c>
      <c r="R170" s="83">
        <v>0</v>
      </c>
      <c r="S170" s="83">
        <v>0</v>
      </c>
      <c r="T170" s="83">
        <v>0</v>
      </c>
      <c r="U170" s="83">
        <v>0</v>
      </c>
      <c r="V170" s="83">
        <v>0</v>
      </c>
      <c r="W170" s="83">
        <v>0</v>
      </c>
      <c r="X170" s="185">
        <v>0</v>
      </c>
    </row>
    <row r="171" spans="1:35" hidden="1">
      <c r="A171" s="55" t="s">
        <v>296</v>
      </c>
      <c r="C171" s="335">
        <v>0</v>
      </c>
      <c r="D171" s="335">
        <v>0</v>
      </c>
      <c r="E171" s="335">
        <v>0</v>
      </c>
      <c r="F171" s="335">
        <v>0</v>
      </c>
      <c r="G171" s="335">
        <v>0</v>
      </c>
      <c r="H171" s="287">
        <v>0</v>
      </c>
      <c r="I171" s="83">
        <v>0</v>
      </c>
      <c r="J171" s="83">
        <v>0</v>
      </c>
      <c r="K171" s="83">
        <v>0</v>
      </c>
      <c r="L171" s="83">
        <v>0</v>
      </c>
      <c r="M171" s="83">
        <v>0</v>
      </c>
      <c r="N171" s="178">
        <v>0</v>
      </c>
      <c r="O171" s="83">
        <v>0</v>
      </c>
      <c r="P171" s="83">
        <v>0</v>
      </c>
      <c r="Q171" s="83">
        <v>0</v>
      </c>
      <c r="R171" s="83">
        <v>0</v>
      </c>
      <c r="S171" s="83">
        <v>0</v>
      </c>
      <c r="T171" s="83">
        <v>0</v>
      </c>
      <c r="U171" s="83">
        <v>0</v>
      </c>
      <c r="V171" s="83">
        <v>0</v>
      </c>
      <c r="W171" s="83">
        <v>0</v>
      </c>
      <c r="X171" s="185">
        <v>0</v>
      </c>
    </row>
    <row r="172" spans="1:35" hidden="1">
      <c r="A172" s="55" t="s">
        <v>297</v>
      </c>
      <c r="C172" s="335">
        <v>0</v>
      </c>
      <c r="D172" s="335">
        <v>0</v>
      </c>
      <c r="E172" s="335">
        <v>0</v>
      </c>
      <c r="F172" s="335">
        <v>0</v>
      </c>
      <c r="G172" s="335">
        <v>0</v>
      </c>
      <c r="H172" s="287">
        <v>0</v>
      </c>
      <c r="I172" s="83">
        <v>0</v>
      </c>
      <c r="J172" s="83">
        <v>0</v>
      </c>
      <c r="K172" s="83">
        <v>0</v>
      </c>
      <c r="L172" s="83">
        <v>0</v>
      </c>
      <c r="M172" s="83">
        <v>0</v>
      </c>
      <c r="N172" s="178">
        <v>0</v>
      </c>
      <c r="O172" s="83">
        <v>0</v>
      </c>
      <c r="P172" s="83">
        <v>0</v>
      </c>
      <c r="Q172" s="83">
        <v>0</v>
      </c>
      <c r="R172" s="83">
        <v>0</v>
      </c>
      <c r="S172" s="83">
        <v>0</v>
      </c>
      <c r="T172" s="83">
        <v>0</v>
      </c>
      <c r="U172" s="83">
        <v>0</v>
      </c>
      <c r="V172" s="83">
        <v>0</v>
      </c>
      <c r="W172" s="83">
        <v>0</v>
      </c>
      <c r="X172" s="185">
        <v>0</v>
      </c>
    </row>
    <row r="173" spans="1:35" hidden="1">
      <c r="A173" s="55" t="s">
        <v>255</v>
      </c>
      <c r="C173" s="335" t="e">
        <f>'backup - Mass Transit'!BC34</f>
        <v>#REF!</v>
      </c>
      <c r="D173" s="335" t="e">
        <f>'backup - Mass Transit'!BD34</f>
        <v>#REF!</v>
      </c>
      <c r="E173" s="335" t="e">
        <f>'backup - Mass Transit'!BE34</f>
        <v>#REF!</v>
      </c>
      <c r="F173" s="335" t="e">
        <f>'backup - Mass Transit'!BF34</f>
        <v>#REF!</v>
      </c>
      <c r="G173" s="335" t="e">
        <f>'backup - Mass Transit'!BG34</f>
        <v>#REF!</v>
      </c>
      <c r="H173" s="287"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8"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5" t="e">
        <f>'backup - Mass Transit'!BX34</f>
        <v>#REF!</v>
      </c>
    </row>
    <row r="175" spans="1:35">
      <c r="A175" s="75" t="s">
        <v>256</v>
      </c>
      <c r="C175" s="333">
        <v>2009</v>
      </c>
      <c r="D175" s="333">
        <v>2010</v>
      </c>
      <c r="E175" s="333">
        <v>2011</v>
      </c>
      <c r="F175" s="333">
        <v>2012</v>
      </c>
      <c r="G175" s="333">
        <v>2013</v>
      </c>
      <c r="H175" s="406">
        <v>2014</v>
      </c>
      <c r="I175" s="13">
        <v>2015</v>
      </c>
      <c r="J175" s="13">
        <v>2016</v>
      </c>
      <c r="K175" s="13">
        <v>2017</v>
      </c>
      <c r="L175" s="13">
        <v>2018</v>
      </c>
      <c r="M175" s="13">
        <v>2019</v>
      </c>
      <c r="N175" s="177">
        <v>2020</v>
      </c>
      <c r="O175" s="13">
        <v>2021</v>
      </c>
      <c r="P175" s="13">
        <v>2022</v>
      </c>
      <c r="Q175" s="13">
        <v>2023</v>
      </c>
      <c r="R175" s="13">
        <v>2024</v>
      </c>
      <c r="S175" s="13">
        <v>2025</v>
      </c>
      <c r="T175" s="13">
        <v>2026</v>
      </c>
      <c r="U175" s="13">
        <v>2027</v>
      </c>
      <c r="V175" s="13">
        <v>2028</v>
      </c>
      <c r="W175" s="13">
        <v>2029</v>
      </c>
      <c r="X175" s="177">
        <v>2030</v>
      </c>
      <c r="Y175" s="13">
        <v>2031</v>
      </c>
      <c r="Z175" s="13">
        <v>2032</v>
      </c>
      <c r="AA175" s="13">
        <v>2033</v>
      </c>
      <c r="AB175" s="13">
        <v>2034</v>
      </c>
      <c r="AC175" s="13">
        <v>2035</v>
      </c>
      <c r="AD175" s="13">
        <v>2036</v>
      </c>
      <c r="AE175" s="13">
        <v>2037</v>
      </c>
      <c r="AF175" s="13">
        <v>2038</v>
      </c>
      <c r="AG175" s="13">
        <v>2039</v>
      </c>
      <c r="AH175" s="177">
        <v>2040</v>
      </c>
      <c r="AI175" s="1" t="s">
        <v>0</v>
      </c>
    </row>
    <row r="176" spans="1:35">
      <c r="A176" s="75" t="s">
        <v>299</v>
      </c>
      <c r="C176" s="339">
        <f>'Output - Jobs vs Yr (BAU)'!C55+'Output - Jobs vs Yr (BAU)'!C73</f>
        <v>24468.278279999999</v>
      </c>
      <c r="D176" s="339">
        <f>'Output - Jobs vs Yr (BAU)'!D55+'Output - Jobs vs Yr (BAU)'!D73</f>
        <v>25395.345280000001</v>
      </c>
      <c r="E176" s="339">
        <f>'Output - Jobs vs Yr (BAU)'!E55+'Output - Jobs vs Yr (BAU)'!E73</f>
        <v>24463.333977045506</v>
      </c>
      <c r="F176" s="339">
        <f>'Output - Jobs vs Yr (BAU)'!F55+'Output - Jobs vs Yr (BAU)'!F73</f>
        <v>24365.190780829358</v>
      </c>
      <c r="G176" s="339">
        <f>'Output - Jobs vs Yr (BAU)'!G55+'Output - Jobs vs Yr (BAU)'!G73</f>
        <v>24069.554137704385</v>
      </c>
      <c r="H176" s="410">
        <f>'Output - Jobs vs Yr (BAU)'!H55+'Output - Jobs vs Yr (BAU)'!H73</f>
        <v>24542.312620116121</v>
      </c>
      <c r="I176" s="19">
        <f>'Output - Jobs vs Yr (BAU)'!I55+'Output - Jobs vs Yr (BAU)'!I73</f>
        <v>25234.053427060935</v>
      </c>
      <c r="J176" s="19">
        <f>'Output - Jobs vs Yr (BAU)'!J55+'Output - Jobs vs Yr (BAU)'!J73</f>
        <v>25787.581507544615</v>
      </c>
      <c r="K176" s="19">
        <f>'Output - Jobs vs Yr (BAU)'!K55+'Output - Jobs vs Yr (BAU)'!K73</f>
        <v>26739.775203735277</v>
      </c>
      <c r="L176" s="19">
        <f>'Output - Jobs vs Yr (BAU)'!L55+'Output - Jobs vs Yr (BAU)'!L73</f>
        <v>27374.743341049529</v>
      </c>
      <c r="M176" s="19">
        <f>'Output - Jobs vs Yr (BAU)'!M55+'Output - Jobs vs Yr (BAU)'!M73</f>
        <v>28015.681033299916</v>
      </c>
      <c r="N176" s="183">
        <f>'Output - Jobs vs Yr (BAU)'!N55+'Output - Jobs vs Yr (BAU)'!N73</f>
        <v>28688.74324299024</v>
      </c>
      <c r="O176" s="19">
        <f>'Output - Jobs vs Yr (BAU)'!O55+'Output - Jobs vs Yr (BAU)'!O73</f>
        <v>29357.941759519148</v>
      </c>
      <c r="P176" s="19">
        <f>'Output - Jobs vs Yr (BAU)'!P55+'Output - Jobs vs Yr (BAU)'!P73</f>
        <v>29788.018516742832</v>
      </c>
      <c r="Q176" s="19">
        <f>'Output - Jobs vs Yr (BAU)'!Q55+'Output - Jobs vs Yr (BAU)'!Q73</f>
        <v>29988.307841675327</v>
      </c>
      <c r="R176" s="19">
        <f>'Output - Jobs vs Yr (BAU)'!R55+'Output - Jobs vs Yr (BAU)'!R73</f>
        <v>30349.309644276513</v>
      </c>
      <c r="S176" s="19">
        <f>'Output - Jobs vs Yr (BAU)'!S55+'Output - Jobs vs Yr (BAU)'!S73</f>
        <v>30578.458925061153</v>
      </c>
      <c r="T176" s="19">
        <f>'Output - Jobs vs Yr (BAU)'!T55+'Output - Jobs vs Yr (BAU)'!T73</f>
        <v>30694.447282576963</v>
      </c>
      <c r="U176" s="19">
        <f>'Output - Jobs vs Yr (BAU)'!U55+'Output - Jobs vs Yr (BAU)'!U73</f>
        <v>31192.025087697737</v>
      </c>
      <c r="V176" s="19">
        <f>'Output - Jobs vs Yr (BAU)'!V55+'Output - Jobs vs Yr (BAU)'!V73</f>
        <v>31354.545581908133</v>
      </c>
      <c r="W176" s="19">
        <f>'Output - Jobs vs Yr (BAU)'!W55+'Output - Jobs vs Yr (BAU)'!W73</f>
        <v>31680.427895931192</v>
      </c>
      <c r="X176" s="183">
        <f>'Output - Jobs vs Yr (BAU)'!X55+'Output - Jobs vs Yr (BAU)'!X73</f>
        <v>31909.564607259381</v>
      </c>
      <c r="Y176" s="207">
        <f>'Output - Jobs vs Yr (BAU)'!Y55+'Output - Jobs vs Yr (BAU)'!Y73</f>
        <v>31890.151690956071</v>
      </c>
      <c r="Z176" s="207">
        <f>'Output - Jobs vs Yr (BAU)'!Z55+'Output - Jobs vs Yr (BAU)'!Z73</f>
        <v>31969.213417914121</v>
      </c>
      <c r="AA176" s="207">
        <f>'Output - Jobs vs Yr (BAU)'!AA55+'Output - Jobs vs Yr (BAU)'!AA73</f>
        <v>32129.230392269859</v>
      </c>
      <c r="AB176" s="207">
        <f>'Output - Jobs vs Yr (BAU)'!AB55+'Output - Jobs vs Yr (BAU)'!AB73</f>
        <v>32399.935002058763</v>
      </c>
      <c r="AC176" s="207">
        <f>'Output - Jobs vs Yr (BAU)'!AC55+'Output - Jobs vs Yr (BAU)'!AC73</f>
        <v>32464.207140711635</v>
      </c>
      <c r="AD176" s="207">
        <f>'Output - Jobs vs Yr (BAU)'!AD55+'Output - Jobs vs Yr (BAU)'!AD73</f>
        <v>32666.120213666851</v>
      </c>
      <c r="AE176" s="207">
        <f>'Output - Jobs vs Yr (BAU)'!AE55+'Output - Jobs vs Yr (BAU)'!AE73</f>
        <v>32826.974319053072</v>
      </c>
      <c r="AF176" s="207">
        <f>'Output - Jobs vs Yr (BAU)'!AF55+'Output - Jobs vs Yr (BAU)'!AF73</f>
        <v>32922.430359259422</v>
      </c>
      <c r="AG176" s="207">
        <f>'Output - Jobs vs Yr (BAU)'!AG55+'Output - Jobs vs Yr (BAU)'!AG73</f>
        <v>33376.185052048175</v>
      </c>
      <c r="AH176" s="183">
        <f>'Output - Jobs vs Yr (BAU)'!AH55+'Output - Jobs vs Yr (BAU)'!AH73</f>
        <v>33694.751600877964</v>
      </c>
      <c r="AI176" s="1"/>
    </row>
    <row r="177" spans="1:35">
      <c r="A177" s="76" t="s">
        <v>300</v>
      </c>
      <c r="C177" s="339">
        <f>'Output - Jobs vs Yr (BAU)'!C55</f>
        <v>12878.0412</v>
      </c>
      <c r="D177" s="339">
        <f>'Output - Jobs vs Yr (BAU)'!D55</f>
        <v>13365.9712</v>
      </c>
      <c r="E177" s="339">
        <f>'Output - Jobs vs Yr (BAU)'!E55</f>
        <v>12875.438935287108</v>
      </c>
      <c r="F177" s="339">
        <f>'Output - Jobs vs Yr (BAU)'!F55</f>
        <v>12823.784621489136</v>
      </c>
      <c r="G177" s="339">
        <f>'Output - Jobs vs Yr (BAU)'!G55</f>
        <v>12668.186388265465</v>
      </c>
      <c r="H177" s="410">
        <f>'Output - Jobs vs Yr (BAU)'!H55</f>
        <v>12917.006642166381</v>
      </c>
      <c r="I177" s="19">
        <f>'Output - Jobs vs Yr (BAU)'!I55</f>
        <v>13281.080751084703</v>
      </c>
      <c r="J177" s="19">
        <f>'Output - Jobs vs Yr (BAU)'!J55</f>
        <v>13572.411319760322</v>
      </c>
      <c r="K177" s="19">
        <f>'Output - Jobs vs Yr (BAU)'!K55</f>
        <v>14073.565896702778</v>
      </c>
      <c r="L177" s="19">
        <f>'Output - Jobs vs Yr (BAU)'!L55</f>
        <v>14407.759653183961</v>
      </c>
      <c r="M177" s="19">
        <f>'Output - Jobs vs Yr (BAU)'!M55</f>
        <v>14745.095280684165</v>
      </c>
      <c r="N177" s="183">
        <f>'Output - Jobs vs Yr (BAU)'!N55</f>
        <v>15099.338548942231</v>
      </c>
      <c r="O177" s="19">
        <f>'Output - Jobs vs Yr (BAU)'!O55</f>
        <v>15451.54829448376</v>
      </c>
      <c r="P177" s="19">
        <f>'Output - Jobs vs Yr (BAU)'!P55</f>
        <v>15677.904482496224</v>
      </c>
      <c r="Q177" s="19">
        <f>'Output - Jobs vs Yr (BAU)'!Q55</f>
        <v>15783.319916671224</v>
      </c>
      <c r="R177" s="19">
        <f>'Output - Jobs vs Yr (BAU)'!R55</f>
        <v>15973.32086540869</v>
      </c>
      <c r="S177" s="19">
        <f>'Output - Jobs vs Yr (BAU)'!S55</f>
        <v>16093.925750032186</v>
      </c>
      <c r="T177" s="19">
        <f>'Output - Jobs vs Yr (BAU)'!T55</f>
        <v>16154.972253987871</v>
      </c>
      <c r="U177" s="19">
        <f>'Output - Jobs vs Yr (BAU)'!U55</f>
        <v>16416.855309314597</v>
      </c>
      <c r="V177" s="19">
        <f>'Output - Jobs vs Yr (BAU)'!V55</f>
        <v>16502.392411530593</v>
      </c>
      <c r="W177" s="19">
        <f>'Output - Jobs vs Yr (BAU)'!W55</f>
        <v>16673.909418911153</v>
      </c>
      <c r="X177" s="183">
        <f>'Output - Jobs vs Yr (BAU)'!X55</f>
        <v>16794.507688031252</v>
      </c>
      <c r="Y177" s="207">
        <f>'Output - Jobs vs Yr (BAU)'!Y55</f>
        <v>16784.29036366109</v>
      </c>
      <c r="Z177" s="207">
        <f>'Output - Jobs vs Yr (BAU)'!Z55</f>
        <v>16825.901798902167</v>
      </c>
      <c r="AA177" s="207">
        <f>'Output - Jobs vs Yr (BAU)'!AA55</f>
        <v>16910.121259089399</v>
      </c>
      <c r="AB177" s="207">
        <f>'Output - Jobs vs Yr (BAU)'!AB55</f>
        <v>17052.597369504609</v>
      </c>
      <c r="AC177" s="207">
        <f>'Output - Jobs vs Yr (BAU)'!AC55</f>
        <v>17086.424810900859</v>
      </c>
      <c r="AD177" s="207">
        <f>'Output - Jobs vs Yr (BAU)'!AD55</f>
        <v>17192.694849298343</v>
      </c>
      <c r="AE177" s="207">
        <f>'Output - Jobs vs Yr (BAU)'!AE55</f>
        <v>17277.354904764772</v>
      </c>
      <c r="AF177" s="207">
        <f>'Output - Jobs vs Yr (BAU)'!AF55</f>
        <v>17327.594925926009</v>
      </c>
      <c r="AG177" s="207">
        <f>'Output - Jobs vs Yr (BAU)'!AG55</f>
        <v>17566.413185288511</v>
      </c>
      <c r="AH177" s="183">
        <f>'Output - Jobs vs Yr (BAU)'!AH55</f>
        <v>17734.079789935768</v>
      </c>
      <c r="AI177" s="1"/>
    </row>
    <row r="178" spans="1:35">
      <c r="A178" s="76" t="s">
        <v>301</v>
      </c>
      <c r="C178" s="339">
        <f>'Output - Jobs vs Yr (BAU)'!C73</f>
        <v>11590.237080000001</v>
      </c>
      <c r="D178" s="339">
        <f>'Output - Jobs vs Yr (BAU)'!D73</f>
        <v>12029.374080000001</v>
      </c>
      <c r="E178" s="339">
        <f>'Output - Jobs vs Yr (BAU)'!E73</f>
        <v>11587.895041758396</v>
      </c>
      <c r="F178" s="339">
        <f>'Output - Jobs vs Yr (BAU)'!F73</f>
        <v>11541.406159340222</v>
      </c>
      <c r="G178" s="339">
        <f>'Output - Jobs vs Yr (BAU)'!G73</f>
        <v>11401.367749438918</v>
      </c>
      <c r="H178" s="410">
        <f>'Output - Jobs vs Yr (BAU)'!H73</f>
        <v>11625.305977949742</v>
      </c>
      <c r="I178" s="19">
        <f>'Output - Jobs vs Yr (BAU)'!I73</f>
        <v>11952.972675976234</v>
      </c>
      <c r="J178" s="19">
        <f>'Output - Jobs vs Yr (BAU)'!J73</f>
        <v>12215.170187784292</v>
      </c>
      <c r="K178" s="19">
        <f>'Output - Jobs vs Yr (BAU)'!K73</f>
        <v>12666.209307032499</v>
      </c>
      <c r="L178" s="19">
        <f>'Output - Jobs vs Yr (BAU)'!L73</f>
        <v>12966.983687865568</v>
      </c>
      <c r="M178" s="19">
        <f>'Output - Jobs vs Yr (BAU)'!M73</f>
        <v>13270.585752615752</v>
      </c>
      <c r="N178" s="183">
        <f>'Output - Jobs vs Yr (BAU)'!N73</f>
        <v>13589.404694048009</v>
      </c>
      <c r="O178" s="19">
        <f>'Output - Jobs vs Yr (BAU)'!O73</f>
        <v>13906.393465035388</v>
      </c>
      <c r="P178" s="19">
        <f>'Output - Jobs vs Yr (BAU)'!P73</f>
        <v>14110.114034246608</v>
      </c>
      <c r="Q178" s="19">
        <f>'Output - Jobs vs Yr (BAU)'!Q73</f>
        <v>14204.987925004105</v>
      </c>
      <c r="R178" s="19">
        <f>'Output - Jobs vs Yr (BAU)'!R73</f>
        <v>14375.988778867822</v>
      </c>
      <c r="S178" s="19">
        <f>'Output - Jobs vs Yr (BAU)'!S73</f>
        <v>14484.533175028968</v>
      </c>
      <c r="T178" s="19">
        <f>'Output - Jobs vs Yr (BAU)'!T73</f>
        <v>14539.47502858909</v>
      </c>
      <c r="U178" s="19">
        <f>'Output - Jobs vs Yr (BAU)'!U73</f>
        <v>14775.169778383141</v>
      </c>
      <c r="V178" s="19">
        <f>'Output - Jobs vs Yr (BAU)'!V73</f>
        <v>14852.153170377538</v>
      </c>
      <c r="W178" s="19">
        <f>'Output - Jobs vs Yr (BAU)'!W73</f>
        <v>15006.518477020041</v>
      </c>
      <c r="X178" s="183">
        <f>'Output - Jobs vs Yr (BAU)'!X73</f>
        <v>15115.056919228131</v>
      </c>
      <c r="Y178" s="207">
        <f>'Output - Jobs vs Yr (BAU)'!Y73</f>
        <v>15105.861327294981</v>
      </c>
      <c r="Z178" s="207">
        <f>'Output - Jobs vs Yr (BAU)'!Z73</f>
        <v>15143.311619011954</v>
      </c>
      <c r="AA178" s="207">
        <f>'Output - Jobs vs Yr (BAU)'!AA73</f>
        <v>15219.10913318046</v>
      </c>
      <c r="AB178" s="207">
        <f>'Output - Jobs vs Yr (BAU)'!AB73</f>
        <v>15347.337632554154</v>
      </c>
      <c r="AC178" s="207">
        <f>'Output - Jobs vs Yr (BAU)'!AC73</f>
        <v>15377.782329810776</v>
      </c>
      <c r="AD178" s="207">
        <f>'Output - Jobs vs Yr (BAU)'!AD73</f>
        <v>15473.425364368508</v>
      </c>
      <c r="AE178" s="207">
        <f>'Output - Jobs vs Yr (BAU)'!AE73</f>
        <v>15549.6194142883</v>
      </c>
      <c r="AF178" s="207">
        <f>'Output - Jobs vs Yr (BAU)'!AF73</f>
        <v>15594.83543333341</v>
      </c>
      <c r="AG178" s="207">
        <f>'Output - Jobs vs Yr (BAU)'!AG73</f>
        <v>15809.771866759662</v>
      </c>
      <c r="AH178" s="183">
        <f>'Output - Jobs vs Yr (BAU)'!AH73</f>
        <v>15960.671810942193</v>
      </c>
      <c r="AI178" s="80" t="s">
        <v>0</v>
      </c>
    </row>
    <row r="179" spans="1:35">
      <c r="A179" s="75" t="s">
        <v>298</v>
      </c>
      <c r="C179" s="336">
        <f>SUM(C118,C145)</f>
        <v>24468.278010000002</v>
      </c>
      <c r="D179" s="336">
        <f t="shared" ref="D179:AH179" si="99">SUM(D118,D145)+D249+D252</f>
        <v>25566.751713982107</v>
      </c>
      <c r="E179" s="336">
        <f t="shared" si="99"/>
        <v>24600.484600052601</v>
      </c>
      <c r="F179" s="336">
        <f t="shared" si="99"/>
        <v>24526.806550961475</v>
      </c>
      <c r="G179" s="336">
        <f t="shared" si="99"/>
        <v>24173.716357202989</v>
      </c>
      <c r="H179" s="408">
        <f>SUM(H118,H145)+H249+H252</f>
        <v>24542.040650116123</v>
      </c>
      <c r="I179" s="14">
        <f t="shared" si="99"/>
        <v>25316.314183559036</v>
      </c>
      <c r="J179" s="14">
        <f t="shared" si="99"/>
        <v>25830.282031298568</v>
      </c>
      <c r="K179" s="14">
        <f t="shared" si="99"/>
        <v>26862.742626307037</v>
      </c>
      <c r="L179" s="14">
        <f t="shared" si="99"/>
        <v>27539.606846087321</v>
      </c>
      <c r="M179" s="14">
        <f t="shared" si="99"/>
        <v>28202.724426353903</v>
      </c>
      <c r="N179" s="188">
        <f t="shared" si="99"/>
        <v>28901.238058540981</v>
      </c>
      <c r="O179" s="14">
        <f t="shared" si="99"/>
        <v>29378.954696067929</v>
      </c>
      <c r="P179" s="14">
        <f t="shared" si="99"/>
        <v>29844.615513936984</v>
      </c>
      <c r="Q179" s="14">
        <f t="shared" si="99"/>
        <v>30031.88661534655</v>
      </c>
      <c r="R179" s="14">
        <f t="shared" si="99"/>
        <v>30457.211441981985</v>
      </c>
      <c r="S179" s="14">
        <f t="shared" si="99"/>
        <v>30720.40800890993</v>
      </c>
      <c r="T179" s="14">
        <f t="shared" si="99"/>
        <v>30860.528950858294</v>
      </c>
      <c r="U179" s="14">
        <f t="shared" si="99"/>
        <v>31474.364040171455</v>
      </c>
      <c r="V179" s="14">
        <f t="shared" si="99"/>
        <v>31670.455467575346</v>
      </c>
      <c r="W179" s="14">
        <f t="shared" si="99"/>
        <v>32066.12885808932</v>
      </c>
      <c r="X179" s="188">
        <f t="shared" si="99"/>
        <v>32365.771231111597</v>
      </c>
      <c r="Y179" s="159">
        <f t="shared" si="99"/>
        <v>32316.740652949753</v>
      </c>
      <c r="Z179" s="159">
        <f t="shared" si="99"/>
        <v>32395.958495865387</v>
      </c>
      <c r="AA179" s="159">
        <f t="shared" si="99"/>
        <v>32566.956808222694</v>
      </c>
      <c r="AB179" s="159">
        <f t="shared" si="99"/>
        <v>32862.973001962979</v>
      </c>
      <c r="AC179" s="159">
        <f t="shared" si="99"/>
        <v>32915.439697143083</v>
      </c>
      <c r="AD179" s="159">
        <f t="shared" si="99"/>
        <v>33109.40454310675</v>
      </c>
      <c r="AE179" s="159">
        <f t="shared" si="99"/>
        <v>33271.361707743068</v>
      </c>
      <c r="AF179" s="159">
        <f t="shared" si="99"/>
        <v>33369.655109721571</v>
      </c>
      <c r="AG179" s="159">
        <f t="shared" si="99"/>
        <v>33861.99638678936</v>
      </c>
      <c r="AH179" s="188">
        <f t="shared" si="99"/>
        <v>34212.15281740488</v>
      </c>
    </row>
    <row r="180" spans="1:35">
      <c r="A180" s="76" t="s">
        <v>302</v>
      </c>
      <c r="C180" s="336">
        <f>C118</f>
        <v>12878.0412</v>
      </c>
      <c r="D180" s="336">
        <f t="shared" ref="D180:AH180" si="100">D118+D250+D253</f>
        <v>13456.185262351346</v>
      </c>
      <c r="E180" s="336">
        <f t="shared" si="100"/>
        <v>12947.623619433349</v>
      </c>
      <c r="F180" s="336">
        <f t="shared" si="100"/>
        <v>12908.845699911013</v>
      </c>
      <c r="G180" s="336">
        <f t="shared" si="100"/>
        <v>12723.008755443947</v>
      </c>
      <c r="H180" s="408">
        <f t="shared" si="100"/>
        <v>12916.863642166381</v>
      </c>
      <c r="I180" s="14">
        <f t="shared" si="100"/>
        <v>13324.376034223353</v>
      </c>
      <c r="J180" s="14">
        <f t="shared" si="100"/>
        <v>13594.885431767001</v>
      </c>
      <c r="K180" s="14">
        <f t="shared" si="100"/>
        <v>14138.285753175289</v>
      </c>
      <c r="L180" s="14">
        <f t="shared" si="100"/>
        <v>14494.530084984244</v>
      </c>
      <c r="M180" s="14">
        <f t="shared" si="100"/>
        <v>14843.539343270486</v>
      </c>
      <c r="N180" s="188">
        <f t="shared" si="100"/>
        <v>15211.178102759717</v>
      </c>
      <c r="O180" s="14">
        <f t="shared" si="100"/>
        <v>15462.607920952973</v>
      </c>
      <c r="P180" s="14">
        <f t="shared" si="100"/>
        <v>15707.69257150482</v>
      </c>
      <c r="Q180" s="14">
        <f t="shared" si="100"/>
        <v>15806.256317050873</v>
      </c>
      <c r="R180" s="14">
        <f t="shared" si="100"/>
        <v>16030.111498897317</v>
      </c>
      <c r="S180" s="14">
        <f t="shared" si="100"/>
        <v>16168.636016945518</v>
      </c>
      <c r="T180" s="14">
        <f t="shared" si="100"/>
        <v>16242.383889660638</v>
      </c>
      <c r="U180" s="14">
        <f t="shared" si="100"/>
        <v>16565.455001859067</v>
      </c>
      <c r="V180" s="14">
        <f t="shared" si="100"/>
        <v>16668.661026099555</v>
      </c>
      <c r="W180" s="14">
        <f t="shared" si="100"/>
        <v>16876.910190864808</v>
      </c>
      <c r="X180" s="188">
        <f t="shared" si="100"/>
        <v>17034.616714520012</v>
      </c>
      <c r="Y180" s="159">
        <f t="shared" si="100"/>
        <v>17008.811146791271</v>
      </c>
      <c r="Z180" s="159">
        <f t="shared" si="100"/>
        <v>17050.504749149011</v>
      </c>
      <c r="AA180" s="159">
        <f t="shared" si="100"/>
        <v>17140.503862515703</v>
      </c>
      <c r="AB180" s="159">
        <f t="shared" si="100"/>
        <v>17296.301861907436</v>
      </c>
      <c r="AC180" s="159">
        <f t="shared" si="100"/>
        <v>17323.915912602311</v>
      </c>
      <c r="AD180" s="159">
        <f t="shared" si="100"/>
        <v>17426.002675451076</v>
      </c>
      <c r="AE180" s="159">
        <f t="shared" si="100"/>
        <v>17511.24328996204</v>
      </c>
      <c r="AF180" s="159">
        <f t="shared" si="100"/>
        <v>17562.976660422701</v>
      </c>
      <c r="AG180" s="159">
        <f t="shared" si="100"/>
        <v>17822.103652738595</v>
      </c>
      <c r="AH180" s="188">
        <f t="shared" si="100"/>
        <v>18006.396514123375</v>
      </c>
    </row>
    <row r="181" spans="1:35">
      <c r="A181" s="76" t="s">
        <v>303</v>
      </c>
      <c r="C181" s="336">
        <f>C145</f>
        <v>11590.236810000002</v>
      </c>
      <c r="D181" s="336">
        <f t="shared" ref="D181:AH181" si="101">D145+D251+D254</f>
        <v>12110.566451630761</v>
      </c>
      <c r="E181" s="336">
        <f t="shared" si="101"/>
        <v>11652.860980619251</v>
      </c>
      <c r="F181" s="336">
        <f t="shared" si="101"/>
        <v>11617.96085105046</v>
      </c>
      <c r="G181" s="336">
        <f t="shared" si="101"/>
        <v>11450.707601759041</v>
      </c>
      <c r="H181" s="408">
        <f>H145+H251+H254</f>
        <v>11625.177007949742</v>
      </c>
      <c r="I181" s="14">
        <f t="shared" si="101"/>
        <v>11991.938149335683</v>
      </c>
      <c r="J181" s="14">
        <f t="shared" si="101"/>
        <v>12235.396599531567</v>
      </c>
      <c r="K181" s="14">
        <f t="shared" si="101"/>
        <v>12724.45687313175</v>
      </c>
      <c r="L181" s="14">
        <f t="shared" si="101"/>
        <v>13045.076761103075</v>
      </c>
      <c r="M181" s="14">
        <f t="shared" si="101"/>
        <v>13359.185083083416</v>
      </c>
      <c r="N181" s="188">
        <f t="shared" si="101"/>
        <v>13690.059955781264</v>
      </c>
      <c r="O181" s="14">
        <f t="shared" si="101"/>
        <v>13916.346775114956</v>
      </c>
      <c r="P181" s="14">
        <f t="shared" si="101"/>
        <v>14136.922942432164</v>
      </c>
      <c r="Q181" s="14">
        <f t="shared" si="101"/>
        <v>14225.630298295677</v>
      </c>
      <c r="R181" s="14">
        <f t="shared" si="101"/>
        <v>14427.09994308467</v>
      </c>
      <c r="S181" s="14">
        <f t="shared" si="101"/>
        <v>14551.771991964411</v>
      </c>
      <c r="T181" s="14">
        <f t="shared" si="101"/>
        <v>14618.145061197658</v>
      </c>
      <c r="U181" s="14">
        <f t="shared" si="101"/>
        <v>14908.909038312388</v>
      </c>
      <c r="V181" s="14">
        <f t="shared" si="101"/>
        <v>15001.794441475791</v>
      </c>
      <c r="W181" s="14">
        <f t="shared" si="101"/>
        <v>15189.218667224512</v>
      </c>
      <c r="X181" s="188">
        <f t="shared" si="101"/>
        <v>15331.154516591583</v>
      </c>
      <c r="Y181" s="159">
        <f t="shared" si="101"/>
        <v>15307.92950615848</v>
      </c>
      <c r="Z181" s="159">
        <f t="shared" si="101"/>
        <v>15345.453746716375</v>
      </c>
      <c r="AA181" s="159">
        <f t="shared" si="101"/>
        <v>15426.452945706991</v>
      </c>
      <c r="AB181" s="159">
        <f t="shared" si="101"/>
        <v>15566.671140055545</v>
      </c>
      <c r="AC181" s="159">
        <f t="shared" si="101"/>
        <v>15591.523784540774</v>
      </c>
      <c r="AD181" s="159">
        <f t="shared" si="101"/>
        <v>15683.401867655673</v>
      </c>
      <c r="AE181" s="159">
        <f t="shared" si="101"/>
        <v>15760.118417781032</v>
      </c>
      <c r="AF181" s="159">
        <f t="shared" si="101"/>
        <v>15806.67844929887</v>
      </c>
      <c r="AG181" s="159">
        <f t="shared" si="101"/>
        <v>16039.892734050765</v>
      </c>
      <c r="AH181" s="188">
        <f t="shared" si="101"/>
        <v>16205.756303281505</v>
      </c>
      <c r="AI181" s="31" t="s">
        <v>0</v>
      </c>
    </row>
    <row r="182" spans="1:35" s="1" customFormat="1">
      <c r="A182" s="75" t="s">
        <v>304</v>
      </c>
      <c r="B182" s="13"/>
      <c r="C182" s="346" t="s">
        <v>0</v>
      </c>
      <c r="D182" s="346">
        <f t="shared" ref="D182:AH182" si="102">D179-D176</f>
        <v>171.40643398210523</v>
      </c>
      <c r="E182" s="346">
        <f t="shared" si="102"/>
        <v>137.15062300709542</v>
      </c>
      <c r="F182" s="346">
        <f t="shared" si="102"/>
        <v>161.61577013211718</v>
      </c>
      <c r="G182" s="346">
        <f t="shared" si="102"/>
        <v>104.16221949860483</v>
      </c>
      <c r="H182" s="411">
        <f>H179-H176</f>
        <v>-0.2719699999979639</v>
      </c>
      <c r="I182" s="15">
        <f t="shared" si="102"/>
        <v>82.260756498100818</v>
      </c>
      <c r="J182" s="15">
        <f t="shared" si="102"/>
        <v>42.700523753952439</v>
      </c>
      <c r="K182" s="15">
        <f t="shared" si="102"/>
        <v>122.96742257176084</v>
      </c>
      <c r="L182" s="15">
        <f t="shared" si="102"/>
        <v>164.86350503779249</v>
      </c>
      <c r="M182" s="15">
        <f t="shared" si="102"/>
        <v>187.04339305398753</v>
      </c>
      <c r="N182" s="191">
        <f t="shared" si="102"/>
        <v>212.4948155507409</v>
      </c>
      <c r="O182" s="15">
        <f t="shared" si="102"/>
        <v>21.012936548780999</v>
      </c>
      <c r="P182" s="15">
        <f t="shared" si="102"/>
        <v>56.596997194152209</v>
      </c>
      <c r="Q182" s="15">
        <f t="shared" si="102"/>
        <v>43.578773671222734</v>
      </c>
      <c r="R182" s="15">
        <f t="shared" si="102"/>
        <v>107.90179770547184</v>
      </c>
      <c r="S182" s="15">
        <f t="shared" si="102"/>
        <v>141.94908384877635</v>
      </c>
      <c r="T182" s="15">
        <f t="shared" si="102"/>
        <v>166.08166828133108</v>
      </c>
      <c r="U182" s="15">
        <f t="shared" si="102"/>
        <v>282.33895247371765</v>
      </c>
      <c r="V182" s="15">
        <f t="shared" si="102"/>
        <v>315.90988566721353</v>
      </c>
      <c r="W182" s="15">
        <f t="shared" si="102"/>
        <v>385.70096215812737</v>
      </c>
      <c r="X182" s="191">
        <f t="shared" si="102"/>
        <v>456.20662385221658</v>
      </c>
      <c r="Y182" s="131">
        <f t="shared" si="102"/>
        <v>426.58896199368246</v>
      </c>
      <c r="Z182" s="131">
        <f t="shared" si="102"/>
        <v>426.74507795126556</v>
      </c>
      <c r="AA182" s="131">
        <f t="shared" si="102"/>
        <v>437.72641595283494</v>
      </c>
      <c r="AB182" s="131">
        <f t="shared" si="102"/>
        <v>463.03799990421612</v>
      </c>
      <c r="AC182" s="131">
        <f t="shared" si="102"/>
        <v>451.23255643144876</v>
      </c>
      <c r="AD182" s="131">
        <f t="shared" si="102"/>
        <v>443.28432943989901</v>
      </c>
      <c r="AE182" s="131">
        <f t="shared" si="102"/>
        <v>444.38738868999644</v>
      </c>
      <c r="AF182" s="131">
        <f t="shared" si="102"/>
        <v>447.22475046214822</v>
      </c>
      <c r="AG182" s="131">
        <f t="shared" si="102"/>
        <v>485.81133474118542</v>
      </c>
      <c r="AH182" s="191">
        <f t="shared" si="102"/>
        <v>517.40121652691596</v>
      </c>
    </row>
    <row r="183" spans="1:35" s="20" customFormat="1">
      <c r="A183" s="20" t="s">
        <v>305</v>
      </c>
      <c r="B183" s="33"/>
      <c r="C183" s="339" t="s">
        <v>0</v>
      </c>
      <c r="D183" s="339">
        <f t="shared" ref="D183:AH183" si="103">D180-D177</f>
        <v>90.214062351346001</v>
      </c>
      <c r="E183" s="339">
        <f t="shared" si="103"/>
        <v>72.184684146241125</v>
      </c>
      <c r="F183" s="339">
        <f t="shared" si="103"/>
        <v>85.061078421877028</v>
      </c>
      <c r="G183" s="339">
        <f t="shared" si="103"/>
        <v>54.822367178481727</v>
      </c>
      <c r="H183" s="410">
        <f>H180-H177</f>
        <v>-0.1430000000000291</v>
      </c>
      <c r="I183" s="19">
        <f t="shared" si="103"/>
        <v>43.29528313865012</v>
      </c>
      <c r="J183" s="19">
        <f t="shared" si="103"/>
        <v>22.474112006679206</v>
      </c>
      <c r="K183" s="19">
        <f t="shared" si="103"/>
        <v>64.71985647251131</v>
      </c>
      <c r="L183" s="19">
        <f t="shared" si="103"/>
        <v>86.770431800283404</v>
      </c>
      <c r="M183" s="19">
        <f t="shared" si="103"/>
        <v>98.444062586320797</v>
      </c>
      <c r="N183" s="183">
        <f t="shared" si="103"/>
        <v>111.83955381748638</v>
      </c>
      <c r="O183" s="19">
        <f t="shared" si="103"/>
        <v>11.059626469212162</v>
      </c>
      <c r="P183" s="19">
        <f t="shared" si="103"/>
        <v>29.788089008596216</v>
      </c>
      <c r="Q183" s="19">
        <f t="shared" si="103"/>
        <v>22.936400379649058</v>
      </c>
      <c r="R183" s="19">
        <f t="shared" si="103"/>
        <v>56.790633488626554</v>
      </c>
      <c r="S183" s="19">
        <f t="shared" si="103"/>
        <v>74.710266913332816</v>
      </c>
      <c r="T183" s="19">
        <f t="shared" si="103"/>
        <v>87.411635672766351</v>
      </c>
      <c r="U183" s="19">
        <f t="shared" si="103"/>
        <v>148.5996925444706</v>
      </c>
      <c r="V183" s="19">
        <f t="shared" si="103"/>
        <v>166.26861456896222</v>
      </c>
      <c r="W183" s="19">
        <f t="shared" si="103"/>
        <v>203.0007719536552</v>
      </c>
      <c r="X183" s="183">
        <f t="shared" si="103"/>
        <v>240.10902648876072</v>
      </c>
      <c r="Y183" s="207">
        <f t="shared" si="103"/>
        <v>224.52078313018137</v>
      </c>
      <c r="Z183" s="207">
        <f t="shared" si="103"/>
        <v>224.60295024684456</v>
      </c>
      <c r="AA183" s="207">
        <f t="shared" si="103"/>
        <v>230.38260342630383</v>
      </c>
      <c r="AB183" s="207">
        <f t="shared" si="103"/>
        <v>243.70449240282687</v>
      </c>
      <c r="AC183" s="207">
        <f t="shared" si="103"/>
        <v>237.49110170145286</v>
      </c>
      <c r="AD183" s="207">
        <f t="shared" si="103"/>
        <v>233.30782615273347</v>
      </c>
      <c r="AE183" s="207">
        <f t="shared" si="103"/>
        <v>233.88838519726778</v>
      </c>
      <c r="AF183" s="207">
        <f t="shared" si="103"/>
        <v>235.38173449669193</v>
      </c>
      <c r="AG183" s="207">
        <f t="shared" si="103"/>
        <v>255.69046745008382</v>
      </c>
      <c r="AH183" s="183">
        <f t="shared" si="103"/>
        <v>272.31672418760718</v>
      </c>
    </row>
    <row r="184" spans="1:35" s="20" customFormat="1">
      <c r="A184" s="20" t="s">
        <v>306</v>
      </c>
      <c r="B184" s="33"/>
      <c r="C184" s="339" t="s">
        <v>0</v>
      </c>
      <c r="D184" s="339">
        <f t="shared" ref="D184:AH184" si="104">D181-D178</f>
        <v>81.192371630759226</v>
      </c>
      <c r="E184" s="339">
        <f t="shared" si="104"/>
        <v>64.965938860854294</v>
      </c>
      <c r="F184" s="339">
        <f t="shared" si="104"/>
        <v>76.55469171023833</v>
      </c>
      <c r="G184" s="339">
        <f t="shared" si="104"/>
        <v>49.3398523201231</v>
      </c>
      <c r="H184" s="410">
        <f t="shared" si="104"/>
        <v>-0.12896999999975378</v>
      </c>
      <c r="I184" s="19">
        <f t="shared" si="104"/>
        <v>38.965473359448879</v>
      </c>
      <c r="J184" s="19">
        <f t="shared" si="104"/>
        <v>20.226411747275051</v>
      </c>
      <c r="K184" s="19">
        <f t="shared" si="104"/>
        <v>58.247566099251344</v>
      </c>
      <c r="L184" s="19">
        <f t="shared" si="104"/>
        <v>78.093073237507269</v>
      </c>
      <c r="M184" s="19">
        <f t="shared" si="104"/>
        <v>88.599330467663094</v>
      </c>
      <c r="N184" s="183">
        <f t="shared" si="104"/>
        <v>100.65526173325452</v>
      </c>
      <c r="O184" s="19">
        <f t="shared" si="104"/>
        <v>9.953310079568837</v>
      </c>
      <c r="P184" s="19">
        <f t="shared" si="104"/>
        <v>26.808908185555993</v>
      </c>
      <c r="Q184" s="19">
        <f t="shared" si="104"/>
        <v>20.642373291571857</v>
      </c>
      <c r="R184" s="19">
        <f t="shared" si="104"/>
        <v>51.111164216847101</v>
      </c>
      <c r="S184" s="19">
        <f t="shared" si="104"/>
        <v>67.238816935443538</v>
      </c>
      <c r="T184" s="19">
        <f t="shared" si="104"/>
        <v>78.670032608568363</v>
      </c>
      <c r="U184" s="19">
        <f t="shared" si="104"/>
        <v>133.73925992924705</v>
      </c>
      <c r="V184" s="19">
        <f t="shared" si="104"/>
        <v>149.64127109825313</v>
      </c>
      <c r="W184" s="19">
        <f t="shared" si="104"/>
        <v>182.70019020447035</v>
      </c>
      <c r="X184" s="183">
        <f t="shared" si="104"/>
        <v>216.09759736345222</v>
      </c>
      <c r="Y184" s="207">
        <f t="shared" si="104"/>
        <v>202.06817886349927</v>
      </c>
      <c r="Z184" s="207">
        <f t="shared" si="104"/>
        <v>202.142127704421</v>
      </c>
      <c r="AA184" s="207">
        <f t="shared" si="104"/>
        <v>207.34381252653111</v>
      </c>
      <c r="AB184" s="207">
        <f t="shared" si="104"/>
        <v>219.33350750139107</v>
      </c>
      <c r="AC184" s="207">
        <f t="shared" si="104"/>
        <v>213.74145472999771</v>
      </c>
      <c r="AD184" s="207">
        <f t="shared" si="104"/>
        <v>209.97650328716554</v>
      </c>
      <c r="AE184" s="207">
        <f t="shared" si="104"/>
        <v>210.4990034927323</v>
      </c>
      <c r="AF184" s="207">
        <f t="shared" si="104"/>
        <v>211.84301596545993</v>
      </c>
      <c r="AG184" s="207">
        <f t="shared" si="104"/>
        <v>230.12086729110342</v>
      </c>
      <c r="AH184" s="183">
        <f t="shared" si="104"/>
        <v>245.08449233931242</v>
      </c>
    </row>
    <row r="185" spans="1:35" s="1" customFormat="1">
      <c r="A185" s="1" t="s">
        <v>449</v>
      </c>
      <c r="B185" s="13"/>
      <c r="C185" s="346"/>
      <c r="D185" s="346">
        <f>D182</f>
        <v>171.40643398210523</v>
      </c>
      <c r="E185" s="346">
        <f>D185+E182</f>
        <v>308.55705698920065</v>
      </c>
      <c r="F185" s="346">
        <f t="shared" ref="E185:N187" si="105">E185+F182</f>
        <v>470.17282712131782</v>
      </c>
      <c r="G185" s="346">
        <f t="shared" si="105"/>
        <v>574.33504661992265</v>
      </c>
      <c r="H185" s="411">
        <f>H182</f>
        <v>-0.2719699999979639</v>
      </c>
      <c r="I185" s="15">
        <f t="shared" si="105"/>
        <v>81.988786498102854</v>
      </c>
      <c r="J185" s="15">
        <f t="shared" si="105"/>
        <v>124.68931025205529</v>
      </c>
      <c r="K185" s="15">
        <f t="shared" si="105"/>
        <v>247.65673282381613</v>
      </c>
      <c r="L185" s="15">
        <f t="shared" si="105"/>
        <v>412.52023786160862</v>
      </c>
      <c r="M185" s="15">
        <f t="shared" si="105"/>
        <v>599.56363091559615</v>
      </c>
      <c r="N185" s="15">
        <f t="shared" si="105"/>
        <v>812.05844646633705</v>
      </c>
      <c r="O185" s="15">
        <f t="shared" ref="O185:X185" si="106">N185+O182</f>
        <v>833.07138301511804</v>
      </c>
      <c r="P185" s="15">
        <f t="shared" si="106"/>
        <v>889.66838020927025</v>
      </c>
      <c r="Q185" s="15">
        <f t="shared" si="106"/>
        <v>933.24715388049299</v>
      </c>
      <c r="R185" s="15">
        <f t="shared" si="106"/>
        <v>1041.1489515859648</v>
      </c>
      <c r="S185" s="131">
        <f t="shared" si="106"/>
        <v>1183.0980354347412</v>
      </c>
      <c r="T185" s="15">
        <f t="shared" si="106"/>
        <v>1349.1797037160723</v>
      </c>
      <c r="U185" s="15">
        <f t="shared" si="106"/>
        <v>1631.5186561897899</v>
      </c>
      <c r="V185" s="15">
        <f t="shared" si="106"/>
        <v>1947.4285418570034</v>
      </c>
      <c r="W185" s="15">
        <f t="shared" si="106"/>
        <v>2333.1295040151308</v>
      </c>
      <c r="X185" s="191">
        <f t="shared" si="106"/>
        <v>2789.3361278673474</v>
      </c>
      <c r="Y185" s="131">
        <f t="shared" ref="Y185:AH185" si="107">X185+Y182</f>
        <v>3215.9250898610298</v>
      </c>
      <c r="Z185" s="131">
        <f t="shared" si="107"/>
        <v>3642.6701678122954</v>
      </c>
      <c r="AA185" s="131">
        <f t="shared" si="107"/>
        <v>4080.3965837651303</v>
      </c>
      <c r="AB185" s="131">
        <f t="shared" si="107"/>
        <v>4543.4345836693465</v>
      </c>
      <c r="AC185" s="131">
        <f t="shared" si="107"/>
        <v>4994.6671401007952</v>
      </c>
      <c r="AD185" s="131">
        <f t="shared" si="107"/>
        <v>5437.9514695406942</v>
      </c>
      <c r="AE185" s="131">
        <f t="shared" si="107"/>
        <v>5882.3388582306907</v>
      </c>
      <c r="AF185" s="131">
        <f t="shared" si="107"/>
        <v>6329.5636086928389</v>
      </c>
      <c r="AG185" s="131">
        <f t="shared" si="107"/>
        <v>6815.3749434340243</v>
      </c>
      <c r="AH185" s="191">
        <f t="shared" si="107"/>
        <v>7332.7761599609403</v>
      </c>
    </row>
    <row r="186" spans="1:35" s="20" customFormat="1">
      <c r="A186" s="20" t="s">
        <v>450</v>
      </c>
      <c r="B186" s="33"/>
      <c r="C186" s="339"/>
      <c r="D186" s="339">
        <f>D183</f>
        <v>90.214062351346001</v>
      </c>
      <c r="E186" s="339">
        <f t="shared" si="105"/>
        <v>162.39874649758713</v>
      </c>
      <c r="F186" s="339">
        <f t="shared" si="105"/>
        <v>247.45982491946415</v>
      </c>
      <c r="G186" s="339">
        <f t="shared" si="105"/>
        <v>302.28219209794588</v>
      </c>
      <c r="H186" s="410">
        <f t="shared" si="105"/>
        <v>302.13919209794585</v>
      </c>
      <c r="I186" s="19">
        <f t="shared" ref="I186:X186" si="108">H186+I183</f>
        <v>345.43447523659597</v>
      </c>
      <c r="J186" s="19">
        <f t="shared" si="108"/>
        <v>367.90858724327518</v>
      </c>
      <c r="K186" s="19">
        <f t="shared" si="108"/>
        <v>432.62844371578649</v>
      </c>
      <c r="L186" s="19">
        <f t="shared" si="108"/>
        <v>519.39887551606989</v>
      </c>
      <c r="M186" s="19">
        <f t="shared" si="108"/>
        <v>617.84293810239069</v>
      </c>
      <c r="N186" s="183">
        <f t="shared" si="108"/>
        <v>729.68249191987707</v>
      </c>
      <c r="O186" s="19">
        <f t="shared" si="108"/>
        <v>740.74211838908923</v>
      </c>
      <c r="P186" s="19">
        <f t="shared" si="108"/>
        <v>770.53020739768544</v>
      </c>
      <c r="Q186" s="19">
        <f t="shared" si="108"/>
        <v>793.4666077773345</v>
      </c>
      <c r="R186" s="19">
        <f t="shared" si="108"/>
        <v>850.25724126596106</v>
      </c>
      <c r="S186" s="207">
        <f t="shared" si="108"/>
        <v>924.96750817929387</v>
      </c>
      <c r="T186" s="19">
        <f t="shared" si="108"/>
        <v>1012.3791438520602</v>
      </c>
      <c r="U186" s="19">
        <f t="shared" si="108"/>
        <v>1160.9788363965308</v>
      </c>
      <c r="V186" s="19">
        <f t="shared" si="108"/>
        <v>1327.247450965493</v>
      </c>
      <c r="W186" s="19">
        <f t="shared" si="108"/>
        <v>1530.2482229191482</v>
      </c>
      <c r="X186" s="183">
        <f t="shared" si="108"/>
        <v>1770.357249407909</v>
      </c>
      <c r="Y186" s="207">
        <f t="shared" ref="Y186:AH186" si="109">X186+Y183</f>
        <v>1994.8780325380903</v>
      </c>
      <c r="Z186" s="207">
        <f t="shared" si="109"/>
        <v>2219.4809827849349</v>
      </c>
      <c r="AA186" s="207">
        <f t="shared" si="109"/>
        <v>2449.8635862112387</v>
      </c>
      <c r="AB186" s="207">
        <f t="shared" si="109"/>
        <v>2693.5680786140656</v>
      </c>
      <c r="AC186" s="207">
        <f t="shared" si="109"/>
        <v>2931.0591803155185</v>
      </c>
      <c r="AD186" s="207">
        <f t="shared" si="109"/>
        <v>3164.3670064682519</v>
      </c>
      <c r="AE186" s="207">
        <f t="shared" si="109"/>
        <v>3398.2553916655197</v>
      </c>
      <c r="AF186" s="207">
        <f t="shared" si="109"/>
        <v>3633.6371261622116</v>
      </c>
      <c r="AG186" s="207">
        <f t="shared" si="109"/>
        <v>3889.3275936122955</v>
      </c>
      <c r="AH186" s="183">
        <f t="shared" si="109"/>
        <v>4161.6443177999026</v>
      </c>
    </row>
    <row r="187" spans="1:35" s="20" customFormat="1">
      <c r="A187" s="20" t="s">
        <v>451</v>
      </c>
      <c r="B187" s="33"/>
      <c r="C187" s="339"/>
      <c r="D187" s="339">
        <f>D184</f>
        <v>81.192371630759226</v>
      </c>
      <c r="E187" s="339">
        <f t="shared" si="105"/>
        <v>146.15831049161352</v>
      </c>
      <c r="F187" s="339">
        <f t="shared" si="105"/>
        <v>222.71300220185185</v>
      </c>
      <c r="G187" s="339">
        <f t="shared" si="105"/>
        <v>272.05285452197495</v>
      </c>
      <c r="H187" s="410">
        <f t="shared" si="105"/>
        <v>271.9238845219752</v>
      </c>
      <c r="I187" s="19">
        <f t="shared" ref="I187:X187" si="110">H187+I184</f>
        <v>310.88935788142408</v>
      </c>
      <c r="J187" s="19">
        <f t="shared" si="110"/>
        <v>331.11576962869913</v>
      </c>
      <c r="K187" s="19">
        <f t="shared" si="110"/>
        <v>389.36333572795047</v>
      </c>
      <c r="L187" s="19">
        <f t="shared" si="110"/>
        <v>467.45640896545774</v>
      </c>
      <c r="M187" s="19">
        <f t="shared" si="110"/>
        <v>556.05573943312083</v>
      </c>
      <c r="N187" s="183">
        <f t="shared" si="110"/>
        <v>656.71100116637535</v>
      </c>
      <c r="O187" s="19">
        <f t="shared" si="110"/>
        <v>666.66431124594419</v>
      </c>
      <c r="P187" s="19">
        <f t="shared" si="110"/>
        <v>693.47321943150018</v>
      </c>
      <c r="Q187" s="19">
        <f t="shared" si="110"/>
        <v>714.11559272307204</v>
      </c>
      <c r="R187" s="19">
        <f t="shared" si="110"/>
        <v>765.22675693991914</v>
      </c>
      <c r="S187" s="207">
        <f t="shared" si="110"/>
        <v>832.46557387536268</v>
      </c>
      <c r="T187" s="19">
        <f t="shared" si="110"/>
        <v>911.13560648393104</v>
      </c>
      <c r="U187" s="19">
        <f t="shared" si="110"/>
        <v>1044.8748664131781</v>
      </c>
      <c r="V187" s="19">
        <f t="shared" si="110"/>
        <v>1194.5161375114312</v>
      </c>
      <c r="W187" s="19">
        <f t="shared" si="110"/>
        <v>1377.2163277159016</v>
      </c>
      <c r="X187" s="183">
        <f t="shared" si="110"/>
        <v>1593.3139250793538</v>
      </c>
      <c r="Y187" s="207">
        <f t="shared" ref="Y187:AH187" si="111">X187+Y184</f>
        <v>1795.3821039428531</v>
      </c>
      <c r="Z187" s="207">
        <f t="shared" si="111"/>
        <v>1997.5242316472741</v>
      </c>
      <c r="AA187" s="207">
        <f t="shared" si="111"/>
        <v>2204.8680441738052</v>
      </c>
      <c r="AB187" s="207">
        <f t="shared" si="111"/>
        <v>2424.2015516751962</v>
      </c>
      <c r="AC187" s="207">
        <f t="shared" si="111"/>
        <v>2637.943006405194</v>
      </c>
      <c r="AD187" s="207">
        <f t="shared" si="111"/>
        <v>2847.9195096923595</v>
      </c>
      <c r="AE187" s="207">
        <f t="shared" si="111"/>
        <v>3058.4185131850918</v>
      </c>
      <c r="AF187" s="207">
        <f t="shared" si="111"/>
        <v>3270.2615291505517</v>
      </c>
      <c r="AG187" s="207">
        <f t="shared" si="111"/>
        <v>3500.3823964416551</v>
      </c>
      <c r="AH187" s="183">
        <f t="shared" si="111"/>
        <v>3745.4668887809676</v>
      </c>
    </row>
    <row r="188" spans="1:35" s="292" customFormat="1">
      <c r="A188" s="292" t="s">
        <v>549</v>
      </c>
      <c r="B188" s="293"/>
      <c r="C188" s="346"/>
      <c r="D188" s="346"/>
      <c r="E188" s="346"/>
      <c r="F188" s="346"/>
      <c r="G188" s="346"/>
      <c r="H188" s="294"/>
      <c r="I188" s="294"/>
      <c r="J188" s="294"/>
      <c r="K188" s="294"/>
      <c r="L188" s="294"/>
      <c r="M188" s="294"/>
      <c r="N188" s="294"/>
      <c r="O188" s="294"/>
      <c r="P188" s="294"/>
      <c r="Q188" s="294"/>
      <c r="R188" s="294"/>
      <c r="S188" s="294"/>
      <c r="T188" s="294"/>
      <c r="U188" s="294"/>
      <c r="V188" s="294"/>
      <c r="W188" s="294"/>
      <c r="X188" s="377"/>
      <c r="Y188" s="295"/>
      <c r="Z188" s="295"/>
      <c r="AA188" s="295"/>
      <c r="AB188" s="295"/>
      <c r="AC188" s="295"/>
      <c r="AD188" s="295"/>
      <c r="AE188" s="295"/>
      <c r="AF188" s="295"/>
      <c r="AG188" s="295"/>
      <c r="AH188" s="377"/>
    </row>
    <row r="189" spans="1:35" s="1" customFormat="1">
      <c r="B189" s="13"/>
      <c r="C189" s="346"/>
      <c r="D189" s="346"/>
      <c r="E189" s="346"/>
      <c r="F189" s="346"/>
      <c r="G189" s="346"/>
      <c r="H189" s="411"/>
      <c r="I189" s="15" t="s">
        <v>0</v>
      </c>
      <c r="J189" s="15" t="s">
        <v>0</v>
      </c>
      <c r="K189" s="15" t="s">
        <v>0</v>
      </c>
      <c r="L189" s="15" t="s">
        <v>0</v>
      </c>
      <c r="M189" s="15" t="s">
        <v>0</v>
      </c>
      <c r="N189" s="15" t="s">
        <v>0</v>
      </c>
      <c r="O189" s="131"/>
      <c r="P189" s="131"/>
      <c r="Q189" s="131"/>
      <c r="R189" s="131"/>
      <c r="S189" s="159"/>
      <c r="T189" s="131"/>
      <c r="U189" s="15"/>
      <c r="V189" s="15"/>
      <c r="W189" s="15"/>
      <c r="X189" s="191"/>
      <c r="Y189"/>
      <c r="Z189"/>
      <c r="AA189"/>
      <c r="AB189"/>
      <c r="AC189"/>
      <c r="AD189"/>
      <c r="AE189"/>
      <c r="AF189"/>
      <c r="AG189"/>
      <c r="AH189" s="281"/>
    </row>
    <row r="190" spans="1:35" s="1" customFormat="1">
      <c r="A190" s="1" t="s">
        <v>411</v>
      </c>
      <c r="B190" s="13"/>
      <c r="C190" s="333"/>
      <c r="D190" s="333"/>
      <c r="E190" s="333"/>
      <c r="F190" s="333"/>
      <c r="G190" s="333"/>
      <c r="H190" s="406"/>
      <c r="I190" s="15" t="s">
        <v>0</v>
      </c>
      <c r="J190" s="13"/>
      <c r="K190" s="13"/>
      <c r="L190" s="13"/>
      <c r="M190" s="13"/>
      <c r="N190" s="192"/>
      <c r="O190" s="13"/>
      <c r="P190" s="13"/>
      <c r="Q190" s="13"/>
      <c r="R190" s="13"/>
      <c r="T190" s="13"/>
      <c r="U190" s="13"/>
      <c r="V190" s="13"/>
      <c r="W190" s="13"/>
      <c r="X190" s="177"/>
      <c r="Y190"/>
      <c r="Z190"/>
      <c r="AA190"/>
      <c r="AB190"/>
      <c r="AC190"/>
      <c r="AD190"/>
      <c r="AE190"/>
      <c r="AF190"/>
      <c r="AG190"/>
      <c r="AH190" s="281"/>
    </row>
    <row r="191" spans="1:35">
      <c r="A191" t="s">
        <v>405</v>
      </c>
      <c r="I191" s="112"/>
      <c r="J191" s="112"/>
      <c r="K191" s="112"/>
      <c r="L191" s="112"/>
      <c r="M191" s="132"/>
      <c r="N191" s="193"/>
      <c r="O191" s="132"/>
      <c r="P191" s="112"/>
      <c r="Q191" s="112"/>
      <c r="R191" s="132"/>
      <c r="S191" s="132"/>
      <c r="T191" s="132"/>
      <c r="U191" s="132"/>
      <c r="V191" s="112"/>
      <c r="W191" s="112"/>
    </row>
    <row r="192" spans="1:35">
      <c r="A192" t="s">
        <v>406</v>
      </c>
      <c r="I192" s="112"/>
      <c r="J192" s="112"/>
      <c r="K192" s="112"/>
      <c r="L192" s="112"/>
      <c r="M192" s="132"/>
      <c r="N192" s="193"/>
      <c r="O192" s="132"/>
      <c r="P192" s="112"/>
      <c r="Q192" s="112"/>
      <c r="R192" s="132"/>
      <c r="S192" s="132"/>
      <c r="T192" s="132"/>
      <c r="U192" s="132"/>
      <c r="V192" s="112"/>
      <c r="W192" s="112"/>
    </row>
    <row r="193" spans="1:34">
      <c r="A193" t="s">
        <v>407</v>
      </c>
      <c r="I193" s="112"/>
      <c r="J193" s="112"/>
      <c r="K193" s="112"/>
      <c r="L193" s="112"/>
      <c r="M193" s="132"/>
      <c r="N193" s="193"/>
      <c r="O193" s="132"/>
      <c r="P193" s="112"/>
      <c r="Q193" s="112"/>
      <c r="R193" s="132"/>
      <c r="S193" s="132"/>
      <c r="T193" s="132"/>
      <c r="U193" s="132"/>
      <c r="V193" s="112"/>
      <c r="W193" s="112"/>
    </row>
    <row r="194" spans="1:34">
      <c r="A194" t="s">
        <v>387</v>
      </c>
      <c r="C194" s="336">
        <f>SUM(C195:C196)</f>
        <v>681.83913000000007</v>
      </c>
      <c r="D194" s="336">
        <f t="shared" ref="D194:AH194" si="112">SUM(D195:D196)</f>
        <v>732.39813000000004</v>
      </c>
      <c r="E194" s="336">
        <f t="shared" si="112"/>
        <v>741.06532678575604</v>
      </c>
      <c r="F194" s="336">
        <f t="shared" si="112"/>
        <v>786.86019404672948</v>
      </c>
      <c r="G194" s="336">
        <f t="shared" si="112"/>
        <v>866.88201879279552</v>
      </c>
      <c r="H194" s="408">
        <f t="shared" si="112"/>
        <v>880.90849375719984</v>
      </c>
      <c r="I194" s="14">
        <f t="shared" si="112"/>
        <v>898.84053443035964</v>
      </c>
      <c r="J194" s="14">
        <f t="shared" si="112"/>
        <v>1401.2776398849069</v>
      </c>
      <c r="K194" s="14">
        <f t="shared" si="112"/>
        <v>1258.0182508299217</v>
      </c>
      <c r="L194" s="14">
        <f t="shared" si="112"/>
        <v>1297.0389122216586</v>
      </c>
      <c r="M194" s="14">
        <f t="shared" si="112"/>
        <v>1446.3644635063106</v>
      </c>
      <c r="N194" s="188">
        <f t="shared" si="112"/>
        <v>1837.6071048702943</v>
      </c>
      <c r="O194" s="14">
        <f t="shared" si="112"/>
        <v>2440.2750302490113</v>
      </c>
      <c r="P194" s="14">
        <f t="shared" si="112"/>
        <v>2486.9636400262671</v>
      </c>
      <c r="Q194" s="14">
        <f t="shared" si="112"/>
        <v>2580.595421573481</v>
      </c>
      <c r="R194" s="14">
        <f t="shared" si="112"/>
        <v>2596.3145045180063</v>
      </c>
      <c r="S194" s="15">
        <f t="shared" si="112"/>
        <v>2620.0312453501692</v>
      </c>
      <c r="T194" s="14">
        <f t="shared" si="112"/>
        <v>2622.6339832848612</v>
      </c>
      <c r="U194" s="14">
        <f t="shared" si="112"/>
        <v>2600.7543847854813</v>
      </c>
      <c r="V194" s="14">
        <f t="shared" si="112"/>
        <v>2612.5704475707589</v>
      </c>
      <c r="W194" s="14">
        <f t="shared" si="112"/>
        <v>2621.8078267447418</v>
      </c>
      <c r="X194" s="188">
        <f t="shared" si="112"/>
        <v>2599.8672573377817</v>
      </c>
      <c r="Y194" s="159">
        <f t="shared" si="112"/>
        <v>2614.4359782510455</v>
      </c>
      <c r="Z194" s="159">
        <f t="shared" si="112"/>
        <v>2606.743192444429</v>
      </c>
      <c r="AA194" s="159">
        <f t="shared" si="112"/>
        <v>2611.4890447314765</v>
      </c>
      <c r="AB194" s="159">
        <f t="shared" si="112"/>
        <v>2629.3104007038855</v>
      </c>
      <c r="AC194" s="159">
        <f t="shared" si="112"/>
        <v>2640.9784104822666</v>
      </c>
      <c r="AD194" s="159">
        <f t="shared" si="112"/>
        <v>2655.7208865285493</v>
      </c>
      <c r="AE194" s="159">
        <f t="shared" si="112"/>
        <v>2668.1878476316451</v>
      </c>
      <c r="AF194" s="159">
        <f t="shared" si="112"/>
        <v>2664.1317872293721</v>
      </c>
      <c r="AG194" s="159">
        <f t="shared" si="112"/>
        <v>2677.8833523199883</v>
      </c>
      <c r="AH194" s="188">
        <f t="shared" si="112"/>
        <v>2689.5142586563984</v>
      </c>
    </row>
    <row r="195" spans="1:34">
      <c r="A195" t="s">
        <v>388</v>
      </c>
      <c r="C195" s="335">
        <f>'Output - Jobs vs Yr (BAU)'!C51</f>
        <v>358.86270000000002</v>
      </c>
      <c r="D195" s="335">
        <f>'Output - Jobs vs Yr (BAU)'!D51</f>
        <v>385.47269999999997</v>
      </c>
      <c r="E195" s="335">
        <f>'Output - Jobs vs Yr (BAU)'!E51</f>
        <v>390.03438251881897</v>
      </c>
      <c r="F195" s="335">
        <f>'Output - Jobs vs Yr (BAU)'!F51</f>
        <v>414.13694423512078</v>
      </c>
      <c r="G195" s="335">
        <f>'Output - Jobs vs Yr (BAU)'!G51</f>
        <v>456.25369410147135</v>
      </c>
      <c r="H195" s="287">
        <f>'Output - Jobs vs Yr (BAU)'!H51</f>
        <v>463.63604934589466</v>
      </c>
      <c r="I195" s="118">
        <f>'Output - Jobs vs Yr (BAU)'!I51</f>
        <v>473.07396548966301</v>
      </c>
      <c r="J195" s="118">
        <f>'Output - Jobs vs Yr (BAU)'!J51</f>
        <v>737.51454730784576</v>
      </c>
      <c r="K195" s="118">
        <f>'Output - Jobs vs Yr (BAU)'!K51</f>
        <v>662.11486885785348</v>
      </c>
      <c r="L195" s="118">
        <f>'Output - Jobs vs Yr (BAU)'!L51</f>
        <v>682.65205906403082</v>
      </c>
      <c r="M195" s="118">
        <f>'Output - Jobs vs Yr (BAU)'!M51</f>
        <v>761.24445447700566</v>
      </c>
      <c r="N195" s="178">
        <f>'Output - Jobs vs Yr (BAU)'!N51</f>
        <v>967.16163414226014</v>
      </c>
      <c r="O195" s="118">
        <f>'Output - Jobs vs Yr (BAU)'!O51</f>
        <v>1284.3552790784267</v>
      </c>
      <c r="P195" s="118">
        <f>'Output - Jobs vs Yr (BAU)'!P51</f>
        <v>1308.9282315927719</v>
      </c>
      <c r="Q195" s="118">
        <f>'Output - Jobs vs Yr (BAU)'!Q51</f>
        <v>1358.2081166176213</v>
      </c>
      <c r="R195" s="118">
        <f>'Output - Jobs vs Yr (BAU)'!R51</f>
        <v>1366.4813181673717</v>
      </c>
      <c r="S195" s="118">
        <f>'Output - Jobs vs Yr (BAU)'!S51</f>
        <v>1378.963813342194</v>
      </c>
      <c r="T195" s="118">
        <f>'Output - Jobs vs Yr (BAU)'!T51</f>
        <v>1380.3336754130846</v>
      </c>
      <c r="U195" s="118">
        <f>'Output - Jobs vs Yr (BAU)'!U51</f>
        <v>1368.8180972555162</v>
      </c>
      <c r="V195" s="118">
        <f>'Output - Jobs vs Yr (BAU)'!V51</f>
        <v>1375.0370776688205</v>
      </c>
      <c r="W195" s="118">
        <f>'Output - Jobs vs Yr (BAU)'!W51</f>
        <v>1379.8988561814431</v>
      </c>
      <c r="X195" s="185">
        <f>'Output - Jobs vs Yr (BAU)'!X51</f>
        <v>1368.3511880725164</v>
      </c>
      <c r="Y195" s="272">
        <f>'Output - Jobs vs Yr (BAU)'!Y51</f>
        <v>1376.0189359216026</v>
      </c>
      <c r="Z195" s="272">
        <f>'Output - Jobs vs Yr (BAU)'!Z51</f>
        <v>1371.9701012865416</v>
      </c>
      <c r="AA195" s="272">
        <f>'Output - Jobs vs Yr (BAU)'!AA51</f>
        <v>1374.4679182797245</v>
      </c>
      <c r="AB195" s="272">
        <f>'Output - Jobs vs Yr (BAU)'!AB51</f>
        <v>1383.8475793178345</v>
      </c>
      <c r="AC195" s="272">
        <f>'Output - Jobs vs Yr (BAU)'!AC51</f>
        <v>1389.9886370959296</v>
      </c>
      <c r="AD195" s="272">
        <f>'Output - Jobs vs Yr (BAU)'!AD51</f>
        <v>1397.7478350150259</v>
      </c>
      <c r="AE195" s="272">
        <f>'Output - Jobs vs Yr (BAU)'!AE51</f>
        <v>1404.3093934903397</v>
      </c>
      <c r="AF195" s="272">
        <f>'Output - Jobs vs Yr (BAU)'!AF51</f>
        <v>1402.1746248575641</v>
      </c>
      <c r="AG195" s="272">
        <f>'Output - Jobs vs Yr (BAU)'!AG51</f>
        <v>1409.4122906947305</v>
      </c>
      <c r="AH195" s="185">
        <f>'Output - Jobs vs Yr (BAU)'!AH51</f>
        <v>1415.5338203454728</v>
      </c>
    </row>
    <row r="196" spans="1:34">
      <c r="A196" t="s">
        <v>389</v>
      </c>
      <c r="C196" s="335">
        <f>'Output - Jobs vs Yr (BAU)'!C69</f>
        <v>322.97642999999999</v>
      </c>
      <c r="D196" s="335">
        <f>'Output - Jobs vs Yr (BAU)'!D69</f>
        <v>346.92543000000001</v>
      </c>
      <c r="E196" s="335">
        <f>'Output - Jobs vs Yr (BAU)'!E69</f>
        <v>351.03094426693707</v>
      </c>
      <c r="F196" s="335">
        <f>'Output - Jobs vs Yr (BAU)'!F69</f>
        <v>372.7232498116087</v>
      </c>
      <c r="G196" s="335">
        <f>'Output - Jobs vs Yr (BAU)'!G69</f>
        <v>410.62832469132417</v>
      </c>
      <c r="H196" s="287">
        <f>'Output - Jobs vs Yr (BAU)'!H69</f>
        <v>417.27244441130517</v>
      </c>
      <c r="I196" s="118">
        <f>'Output - Jobs vs Yr (BAU)'!I69</f>
        <v>425.76656894069669</v>
      </c>
      <c r="J196" s="118">
        <f>'Output - Jobs vs Yr (BAU)'!J69</f>
        <v>663.76309257706123</v>
      </c>
      <c r="K196" s="118">
        <f>'Output - Jobs vs Yr (BAU)'!K69</f>
        <v>595.90338197206813</v>
      </c>
      <c r="L196" s="118">
        <f>'Output - Jobs vs Yr (BAU)'!L69</f>
        <v>614.3868531576278</v>
      </c>
      <c r="M196" s="118">
        <f>'Output - Jobs vs Yr (BAU)'!M69</f>
        <v>685.12000902930504</v>
      </c>
      <c r="N196" s="178">
        <f>'Output - Jobs vs Yr (BAU)'!N69</f>
        <v>870.44547072803402</v>
      </c>
      <c r="O196" s="118">
        <f>'Output - Jobs vs Yr (BAU)'!O69</f>
        <v>1155.9197511705843</v>
      </c>
      <c r="P196" s="118">
        <f>'Output - Jobs vs Yr (BAU)'!P69</f>
        <v>1178.0354084334951</v>
      </c>
      <c r="Q196" s="118">
        <f>'Output - Jobs vs Yr (BAU)'!Q69</f>
        <v>1222.3873049558595</v>
      </c>
      <c r="R196" s="118">
        <f>'Output - Jobs vs Yr (BAU)'!R69</f>
        <v>1229.8331863506348</v>
      </c>
      <c r="S196" s="118">
        <f>'Output - Jobs vs Yr (BAU)'!S69</f>
        <v>1241.067432007975</v>
      </c>
      <c r="T196" s="118">
        <f>'Output - Jobs vs Yr (BAU)'!T69</f>
        <v>1242.3003078717766</v>
      </c>
      <c r="U196" s="118">
        <f>'Output - Jobs vs Yr (BAU)'!U69</f>
        <v>1231.9362875299648</v>
      </c>
      <c r="V196" s="118">
        <f>'Output - Jobs vs Yr (BAU)'!V69</f>
        <v>1237.5333699019386</v>
      </c>
      <c r="W196" s="118">
        <f>'Output - Jobs vs Yr (BAU)'!W69</f>
        <v>1241.9089705632989</v>
      </c>
      <c r="X196" s="185">
        <f>'Output - Jobs vs Yr (BAU)'!X69</f>
        <v>1231.5160692652651</v>
      </c>
      <c r="Y196" s="272">
        <f>'Output - Jobs vs Yr (BAU)'!Y69</f>
        <v>1238.4170423294427</v>
      </c>
      <c r="Z196" s="272">
        <f>'Output - Jobs vs Yr (BAU)'!Z69</f>
        <v>1234.7730911578876</v>
      </c>
      <c r="AA196" s="272">
        <f>'Output - Jobs vs Yr (BAU)'!AA69</f>
        <v>1237.0211264517523</v>
      </c>
      <c r="AB196" s="272">
        <f>'Output - Jobs vs Yr (BAU)'!AB69</f>
        <v>1245.4628213860512</v>
      </c>
      <c r="AC196" s="272">
        <f>'Output - Jobs vs Yr (BAU)'!AC69</f>
        <v>1250.9897733863368</v>
      </c>
      <c r="AD196" s="272">
        <f>'Output - Jobs vs Yr (BAU)'!AD69</f>
        <v>1257.9730515135234</v>
      </c>
      <c r="AE196" s="272">
        <f>'Output - Jobs vs Yr (BAU)'!AE69</f>
        <v>1263.8784541413056</v>
      </c>
      <c r="AF196" s="272">
        <f>'Output - Jobs vs Yr (BAU)'!AF69</f>
        <v>1261.957162371808</v>
      </c>
      <c r="AG196" s="272">
        <f>'Output - Jobs vs Yr (BAU)'!AG69</f>
        <v>1268.4710616252576</v>
      </c>
      <c r="AH196" s="185">
        <f>'Output - Jobs vs Yr (BAU)'!AH69</f>
        <v>1273.9804383109256</v>
      </c>
    </row>
    <row r="197" spans="1:34">
      <c r="A197" t="s">
        <v>390</v>
      </c>
      <c r="C197" s="336">
        <f>SUM(C198:C199)</f>
        <v>14536.517150000001</v>
      </c>
      <c r="D197" s="336">
        <f t="shared" ref="D197:AH197" si="113">SUM(D198:D199)</f>
        <v>14505.96515</v>
      </c>
      <c r="E197" s="336">
        <f t="shared" si="113"/>
        <v>14281.764710714971</v>
      </c>
      <c r="F197" s="336">
        <f t="shared" si="113"/>
        <v>14289.089340847804</v>
      </c>
      <c r="G197" s="336">
        <f t="shared" si="113"/>
        <v>14356.630069937779</v>
      </c>
      <c r="H197" s="408">
        <f t="shared" si="113"/>
        <v>14397.147224835075</v>
      </c>
      <c r="I197" s="14">
        <f t="shared" si="113"/>
        <v>14779.182584866789</v>
      </c>
      <c r="J197" s="14">
        <f t="shared" si="113"/>
        <v>14909.547876514047</v>
      </c>
      <c r="K197" s="14">
        <f t="shared" si="113"/>
        <v>15578.624711156208</v>
      </c>
      <c r="L197" s="14">
        <f t="shared" si="113"/>
        <v>16229.149070555997</v>
      </c>
      <c r="M197" s="14">
        <f t="shared" si="113"/>
        <v>16794.521391675429</v>
      </c>
      <c r="N197" s="188">
        <f t="shared" si="113"/>
        <v>16924.619125588073</v>
      </c>
      <c r="O197" s="14">
        <f t="shared" si="113"/>
        <v>16924.62097263585</v>
      </c>
      <c r="P197" s="14">
        <f t="shared" si="113"/>
        <v>16924.619125588073</v>
      </c>
      <c r="Q197" s="14">
        <f t="shared" si="113"/>
        <v>16924.62097263585</v>
      </c>
      <c r="R197" s="14">
        <f t="shared" si="113"/>
        <v>16924.62097263585</v>
      </c>
      <c r="S197" s="15">
        <f t="shared" si="113"/>
        <v>16924.619125588073</v>
      </c>
      <c r="T197" s="14">
        <f t="shared" si="113"/>
        <v>16924.67557598585</v>
      </c>
      <c r="U197" s="14">
        <f t="shared" si="113"/>
        <v>16924.619125588073</v>
      </c>
      <c r="V197" s="14">
        <f t="shared" si="113"/>
        <v>16924.619125588073</v>
      </c>
      <c r="W197" s="14">
        <f t="shared" si="113"/>
        <v>16924.619125588073</v>
      </c>
      <c r="X197" s="188">
        <f t="shared" si="113"/>
        <v>16924.62097263585</v>
      </c>
      <c r="Y197" s="159">
        <f t="shared" si="113"/>
        <v>16924.619125588073</v>
      </c>
      <c r="Z197" s="159">
        <f t="shared" si="113"/>
        <v>16932.015240635854</v>
      </c>
      <c r="AA197" s="159">
        <f t="shared" si="113"/>
        <v>16932.015240635854</v>
      </c>
      <c r="AB197" s="159">
        <f t="shared" si="113"/>
        <v>16932.015240635854</v>
      </c>
      <c r="AC197" s="159">
        <f t="shared" si="113"/>
        <v>16932.015240635854</v>
      </c>
      <c r="AD197" s="159">
        <f t="shared" si="113"/>
        <v>17014.44378823819</v>
      </c>
      <c r="AE197" s="159">
        <f t="shared" si="113"/>
        <v>17034.75011609172</v>
      </c>
      <c r="AF197" s="159">
        <f t="shared" si="113"/>
        <v>17034.748384484428</v>
      </c>
      <c r="AG197" s="159">
        <f t="shared" si="113"/>
        <v>17124.751328711347</v>
      </c>
      <c r="AH197" s="188">
        <f t="shared" si="113"/>
        <v>17143.755949641876</v>
      </c>
    </row>
    <row r="198" spans="1:34">
      <c r="A198" t="s">
        <v>392</v>
      </c>
      <c r="C198" s="335">
        <f>SUM('Output - Jobs vs Yr (BAU)'!C40:C43)</f>
        <v>7650.7985000000008</v>
      </c>
      <c r="D198" s="335">
        <f>SUM('Output - Jobs vs Yr (BAU)'!D40:D43)</f>
        <v>7634.7185000000009</v>
      </c>
      <c r="E198" s="335">
        <f>SUM('Output - Jobs vs Yr (BAU)'!E40:E43)</f>
        <v>7516.7182687973527</v>
      </c>
      <c r="F198" s="335">
        <f>SUM('Output - Jobs vs Yr (BAU)'!F40:F43)</f>
        <v>7520.5733372883178</v>
      </c>
      <c r="G198" s="335">
        <f>SUM('Output - Jobs vs Yr (BAU)'!G40:G43)</f>
        <v>7556.1210894409369</v>
      </c>
      <c r="H198" s="287">
        <f>SUM('Output - Jobs vs Yr (BAU)'!H40:H43)</f>
        <v>7577.4459078079344</v>
      </c>
      <c r="I198" s="118">
        <f>SUM('Output - Jobs vs Yr (BAU)'!I40:I43)</f>
        <v>7778.5171499298885</v>
      </c>
      <c r="J198" s="118">
        <f>SUM('Output - Jobs vs Yr (BAU)'!J40:J43)</f>
        <v>7847.1304613231823</v>
      </c>
      <c r="K198" s="118">
        <f>SUM('Output - Jobs vs Yr (BAU)'!K40:K43)</f>
        <v>8199.2761637664262</v>
      </c>
      <c r="L198" s="118">
        <f>SUM('Output - Jobs vs Yr (BAU)'!L40:L43)</f>
        <v>8541.6574055557885</v>
      </c>
      <c r="M198" s="118">
        <f>SUM('Output - Jobs vs Yr (BAU)'!M40:M43)</f>
        <v>8839.2217850923316</v>
      </c>
      <c r="N198" s="178">
        <f>SUM('Output - Jobs vs Yr (BAU)'!N40:N43)</f>
        <v>8907.6942766253014</v>
      </c>
      <c r="O198" s="118">
        <f>SUM('Output - Jobs vs Yr (BAU)'!O40:O43)</f>
        <v>8907.6952487557119</v>
      </c>
      <c r="P198" s="118">
        <f>SUM('Output - Jobs vs Yr (BAU)'!P40:P43)</f>
        <v>8907.6942766253014</v>
      </c>
      <c r="Q198" s="118">
        <f>SUM('Output - Jobs vs Yr (BAU)'!Q40:Q43)</f>
        <v>8907.6952487557119</v>
      </c>
      <c r="R198" s="118">
        <f>SUM('Output - Jobs vs Yr (BAU)'!R40:R43)</f>
        <v>8907.6952487557119</v>
      </c>
      <c r="S198" s="118">
        <f>SUM('Output - Jobs vs Yr (BAU)'!S40:S43)</f>
        <v>8907.6942766253014</v>
      </c>
      <c r="T198" s="118">
        <f>SUM('Output - Jobs vs Yr (BAU)'!T40:T43)</f>
        <v>8907.7239873609724</v>
      </c>
      <c r="U198" s="118">
        <f>SUM('Output - Jobs vs Yr (BAU)'!U40:U43)</f>
        <v>8907.6942766253014</v>
      </c>
      <c r="V198" s="118">
        <f>SUM('Output - Jobs vs Yr (BAU)'!V40:V43)</f>
        <v>8907.6942766253014</v>
      </c>
      <c r="W198" s="118">
        <f>SUM('Output - Jobs vs Yr (BAU)'!W40:W43)</f>
        <v>8907.6942766253014</v>
      </c>
      <c r="X198" s="185">
        <f>SUM('Output - Jobs vs Yr (BAU)'!X40:X43)</f>
        <v>8907.6952487557119</v>
      </c>
      <c r="Y198" s="272">
        <f>SUM('Output - Jobs vs Yr (BAU)'!Y40:Y43)</f>
        <v>8907.6942766253014</v>
      </c>
      <c r="Z198" s="272">
        <f>SUM('Output - Jobs vs Yr (BAU)'!Z40:Z43)</f>
        <v>8911.5869687557115</v>
      </c>
      <c r="AA198" s="272">
        <f>SUM('Output - Jobs vs Yr (BAU)'!AA40:AA43)</f>
        <v>8911.5869687557115</v>
      </c>
      <c r="AB198" s="272">
        <f>SUM('Output - Jobs vs Yr (BAU)'!AB40:AB43)</f>
        <v>8911.5869687557115</v>
      </c>
      <c r="AC198" s="272">
        <f>SUM('Output - Jobs vs Yr (BAU)'!AC40:AC43)</f>
        <v>8911.5869687557115</v>
      </c>
      <c r="AD198" s="272">
        <f>SUM('Output - Jobs vs Yr (BAU)'!AD40:AD43)</f>
        <v>8954.9704148622059</v>
      </c>
      <c r="AE198" s="272">
        <f>SUM('Output - Jobs vs Yr (BAU)'!AE40:AE43)</f>
        <v>8965.6579558377471</v>
      </c>
      <c r="AF198" s="272">
        <f>SUM('Output - Jobs vs Yr (BAU)'!AF40:AF43)</f>
        <v>8965.6570444654881</v>
      </c>
      <c r="AG198" s="272">
        <f>SUM('Output - Jobs vs Yr (BAU)'!AG40:AG43)</f>
        <v>9013.0270151112345</v>
      </c>
      <c r="AH198" s="185">
        <f>SUM('Output - Jobs vs Yr (BAU)'!AH40:AH43)</f>
        <v>9023.0294471799352</v>
      </c>
    </row>
    <row r="199" spans="1:34">
      <c r="A199" t="s">
        <v>391</v>
      </c>
      <c r="C199" s="335">
        <f>SUM('Output - Jobs vs Yr (BAU)'!C58:C61)</f>
        <v>6885.7186500000007</v>
      </c>
      <c r="D199" s="335">
        <f>SUM('Output - Jobs vs Yr (BAU)'!D58:D61)</f>
        <v>6871.24665</v>
      </c>
      <c r="E199" s="335">
        <f>SUM('Output - Jobs vs Yr (BAU)'!E58:E61)</f>
        <v>6765.0464419176178</v>
      </c>
      <c r="F199" s="335">
        <f>SUM('Output - Jobs vs Yr (BAU)'!F58:F61)</f>
        <v>6768.5160035594863</v>
      </c>
      <c r="G199" s="335">
        <f>SUM('Output - Jobs vs Yr (BAU)'!G58:G61)</f>
        <v>6800.5089804968429</v>
      </c>
      <c r="H199" s="287">
        <f>SUM('Output - Jobs vs Yr (BAU)'!H58:H61)</f>
        <v>6819.7013170271402</v>
      </c>
      <c r="I199" s="118">
        <f>SUM('Output - Jobs vs Yr (BAU)'!I58:I61)</f>
        <v>7000.6654349369001</v>
      </c>
      <c r="J199" s="118">
        <f>SUM('Output - Jobs vs Yr (BAU)'!J58:J61)</f>
        <v>7062.4174151908637</v>
      </c>
      <c r="K199" s="118">
        <f>SUM('Output - Jobs vs Yr (BAU)'!K58:K61)</f>
        <v>7379.3485473897827</v>
      </c>
      <c r="L199" s="118">
        <f>SUM('Output - Jobs vs Yr (BAU)'!L58:L61)</f>
        <v>7687.4916650002087</v>
      </c>
      <c r="M199" s="118">
        <f>SUM('Output - Jobs vs Yr (BAU)'!M58:M61)</f>
        <v>7955.2996065830976</v>
      </c>
      <c r="N199" s="178">
        <f>SUM('Output - Jobs vs Yr (BAU)'!N58:N61)</f>
        <v>8016.9248489627716</v>
      </c>
      <c r="O199" s="118">
        <f>SUM('Output - Jobs vs Yr (BAU)'!O58:O61)</f>
        <v>8016.9257238801401</v>
      </c>
      <c r="P199" s="118">
        <f>SUM('Output - Jobs vs Yr (BAU)'!P58:P61)</f>
        <v>8016.9248489627716</v>
      </c>
      <c r="Q199" s="118">
        <f>SUM('Output - Jobs vs Yr (BAU)'!Q58:Q61)</f>
        <v>8016.9257238801401</v>
      </c>
      <c r="R199" s="118">
        <f>SUM('Output - Jobs vs Yr (BAU)'!R58:R61)</f>
        <v>8016.9257238801401</v>
      </c>
      <c r="S199" s="118">
        <f>SUM('Output - Jobs vs Yr (BAU)'!S58:S61)</f>
        <v>8016.9248489627716</v>
      </c>
      <c r="T199" s="118">
        <f>SUM('Output - Jobs vs Yr (BAU)'!T58:T61)</f>
        <v>8016.9515886248755</v>
      </c>
      <c r="U199" s="118">
        <f>SUM('Output - Jobs vs Yr (BAU)'!U58:U61)</f>
        <v>8016.9248489627716</v>
      </c>
      <c r="V199" s="118">
        <f>SUM('Output - Jobs vs Yr (BAU)'!V58:V61)</f>
        <v>8016.9248489627716</v>
      </c>
      <c r="W199" s="118">
        <f>SUM('Output - Jobs vs Yr (BAU)'!W58:W61)</f>
        <v>8016.9248489627716</v>
      </c>
      <c r="X199" s="185">
        <f>SUM('Output - Jobs vs Yr (BAU)'!X58:X61)</f>
        <v>8016.9257238801401</v>
      </c>
      <c r="Y199" s="272">
        <f>SUM('Output - Jobs vs Yr (BAU)'!Y58:Y61)</f>
        <v>8016.9248489627716</v>
      </c>
      <c r="Z199" s="272">
        <f>SUM('Output - Jobs vs Yr (BAU)'!Z58:Z61)</f>
        <v>8020.4282718801405</v>
      </c>
      <c r="AA199" s="272">
        <f>SUM('Output - Jobs vs Yr (BAU)'!AA58:AA61)</f>
        <v>8020.4282718801405</v>
      </c>
      <c r="AB199" s="272">
        <f>SUM('Output - Jobs vs Yr (BAU)'!AB58:AB61)</f>
        <v>8020.4282718801405</v>
      </c>
      <c r="AC199" s="272">
        <f>SUM('Output - Jobs vs Yr (BAU)'!AC58:AC61)</f>
        <v>8020.4282718801405</v>
      </c>
      <c r="AD199" s="272">
        <f>SUM('Output - Jobs vs Yr (BAU)'!AD58:AD61)</f>
        <v>8059.4733733759849</v>
      </c>
      <c r="AE199" s="272">
        <f>SUM('Output - Jobs vs Yr (BAU)'!AE58:AE61)</f>
        <v>8069.092160253972</v>
      </c>
      <c r="AF199" s="272">
        <f>SUM('Output - Jobs vs Yr (BAU)'!AF58:AF61)</f>
        <v>8069.0913400189393</v>
      </c>
      <c r="AG199" s="272">
        <f>SUM('Output - Jobs vs Yr (BAU)'!AG58:AG61)</f>
        <v>8111.7243136001107</v>
      </c>
      <c r="AH199" s="185">
        <f>SUM('Output - Jobs vs Yr (BAU)'!AH58:AH61)</f>
        <v>8120.7265024619419</v>
      </c>
    </row>
    <row r="200" spans="1:34">
      <c r="A200" t="s">
        <v>393</v>
      </c>
      <c r="C200" s="336">
        <f>SUM(C201:C202)</f>
        <v>9249.9220000000005</v>
      </c>
      <c r="D200" s="336">
        <f t="shared" ref="D200:AH200" si="114">SUM(D201:D202)</f>
        <v>10156.982000000002</v>
      </c>
      <c r="E200" s="336">
        <f t="shared" si="114"/>
        <v>9440.5039395447748</v>
      </c>
      <c r="F200" s="336">
        <f t="shared" si="114"/>
        <v>9289.2412459348234</v>
      </c>
      <c r="G200" s="336">
        <f t="shared" si="114"/>
        <v>8846.0420489738062</v>
      </c>
      <c r="H200" s="408">
        <f t="shared" si="114"/>
        <v>9264.2569015238478</v>
      </c>
      <c r="I200" s="14">
        <f t="shared" si="114"/>
        <v>9556.0303077637909</v>
      </c>
      <c r="J200" s="14">
        <f t="shared" si="114"/>
        <v>9476.7559911456628</v>
      </c>
      <c r="K200" s="14">
        <f t="shared" si="114"/>
        <v>9903.1322417491483</v>
      </c>
      <c r="L200" s="14">
        <f t="shared" si="114"/>
        <v>9848.555358271873</v>
      </c>
      <c r="M200" s="14">
        <f t="shared" si="114"/>
        <v>9774.79517811818</v>
      </c>
      <c r="N200" s="188">
        <f t="shared" si="114"/>
        <v>9926.5170125318764</v>
      </c>
      <c r="O200" s="14">
        <f t="shared" si="114"/>
        <v>9993.0457566342884</v>
      </c>
      <c r="P200" s="14">
        <f t="shared" si="114"/>
        <v>10376.435751128494</v>
      </c>
      <c r="Q200" s="14">
        <f t="shared" si="114"/>
        <v>10483.091447465998</v>
      </c>
      <c r="R200" s="14">
        <f t="shared" si="114"/>
        <v>10828.374167122654</v>
      </c>
      <c r="S200" s="15">
        <f t="shared" si="114"/>
        <v>11033.808554122914</v>
      </c>
      <c r="T200" s="14">
        <f t="shared" si="114"/>
        <v>11147.137723306254</v>
      </c>
      <c r="U200" s="14">
        <f t="shared" si="114"/>
        <v>11666.651577324183</v>
      </c>
      <c r="V200" s="14">
        <f t="shared" si="114"/>
        <v>11817.356008749299</v>
      </c>
      <c r="W200" s="14">
        <f t="shared" si="114"/>
        <v>12134.000943598379</v>
      </c>
      <c r="X200" s="188">
        <f t="shared" si="114"/>
        <v>12385.07637728575</v>
      </c>
      <c r="Y200" s="159">
        <f t="shared" si="114"/>
        <v>12351.096587116954</v>
      </c>
      <c r="Z200" s="159">
        <f t="shared" si="114"/>
        <v>12430.454984833843</v>
      </c>
      <c r="AA200" s="159">
        <f t="shared" si="114"/>
        <v>12585.726106902534</v>
      </c>
      <c r="AB200" s="159">
        <f t="shared" si="114"/>
        <v>12838.609360719029</v>
      </c>
      <c r="AC200" s="159">
        <f t="shared" si="114"/>
        <v>12891.21348959352</v>
      </c>
      <c r="AD200" s="159">
        <f t="shared" si="114"/>
        <v>12995.955538900114</v>
      </c>
      <c r="AE200" s="159">
        <f t="shared" si="114"/>
        <v>13124.036355329707</v>
      </c>
      <c r="AF200" s="159">
        <f t="shared" si="114"/>
        <v>13223.550187545625</v>
      </c>
      <c r="AG200" s="159">
        <f t="shared" si="114"/>
        <v>13573.550371016841</v>
      </c>
      <c r="AH200" s="188">
        <f t="shared" si="114"/>
        <v>13861.481392579688</v>
      </c>
    </row>
    <row r="201" spans="1:34">
      <c r="A201" t="s">
        <v>394</v>
      </c>
      <c r="C201" s="335">
        <f>SUM('Output - Jobs vs Yr (BAU)'!C53:C54)</f>
        <v>4868.38</v>
      </c>
      <c r="D201" s="335">
        <f>SUM('Output - Jobs vs Yr (BAU)'!D53:D54)</f>
        <v>5345.7800000000007</v>
      </c>
      <c r="E201" s="335">
        <f>SUM('Output - Jobs vs Yr (BAU)'!E53:E54)</f>
        <v>4968.6862839709338</v>
      </c>
      <c r="F201" s="335">
        <f>SUM('Output - Jobs vs Yr (BAU)'!F53:F54)</f>
        <v>4889.0743399656967</v>
      </c>
      <c r="G201" s="335">
        <f>SUM('Output - Jobs vs Yr (BAU)'!G53:G54)</f>
        <v>4655.8116047230551</v>
      </c>
      <c r="H201" s="287">
        <f>SUM('Output - Jobs vs Yr (BAU)'!H53:H54)</f>
        <v>4875.9246850125519</v>
      </c>
      <c r="I201" s="118">
        <f>SUM('Output - Jobs vs Yr (BAU)'!I53:I54)</f>
        <v>5029.4896356651534</v>
      </c>
      <c r="J201" s="118">
        <f>SUM('Output - Jobs vs Yr (BAU)'!J53:J54)</f>
        <v>4987.7663111292968</v>
      </c>
      <c r="K201" s="118">
        <f>SUM('Output - Jobs vs Yr (BAU)'!K53:K54)</f>
        <v>5212.174864078499</v>
      </c>
      <c r="L201" s="118">
        <f>SUM('Output - Jobs vs Yr (BAU)'!L53:L54)</f>
        <v>5183.4501885641439</v>
      </c>
      <c r="M201" s="118">
        <f>SUM('Output - Jobs vs Yr (BAU)'!M53:M54)</f>
        <v>5144.629041114832</v>
      </c>
      <c r="N201" s="178">
        <f>SUM('Output - Jobs vs Yr (BAU)'!N53:N54)</f>
        <v>5224.4826381746716</v>
      </c>
      <c r="O201" s="118">
        <f>SUM('Output - Jobs vs Yr (BAU)'!O53:O54)</f>
        <v>5259.4977666496252</v>
      </c>
      <c r="P201" s="118">
        <f>SUM('Output - Jobs vs Yr (BAU)'!P53:P54)</f>
        <v>5461.2819742781548</v>
      </c>
      <c r="Q201" s="118">
        <f>SUM('Output - Jobs vs Yr (BAU)'!Q53:Q54)</f>
        <v>5517.4165512978943</v>
      </c>
      <c r="R201" s="118">
        <f>SUM('Output - Jobs vs Yr (BAU)'!R53:R54)</f>
        <v>5699.1442984856076</v>
      </c>
      <c r="S201" s="118">
        <f>SUM('Output - Jobs vs Yr (BAU)'!S53:S54)</f>
        <v>5807.2676600646919</v>
      </c>
      <c r="T201" s="118">
        <f>SUM('Output - Jobs vs Yr (BAU)'!T53:T54)</f>
        <v>5866.9145912138174</v>
      </c>
      <c r="U201" s="118">
        <f>SUM('Output - Jobs vs Yr (BAU)'!U53:U54)</f>
        <v>6140.3429354337804</v>
      </c>
      <c r="V201" s="118">
        <f>SUM('Output - Jobs vs Yr (BAU)'!V53:V54)</f>
        <v>6219.6610572364725</v>
      </c>
      <c r="W201" s="118">
        <f>SUM('Output - Jobs vs Yr (BAU)'!W53:W54)</f>
        <v>6386.3162861044102</v>
      </c>
      <c r="X201" s="185">
        <f>SUM('Output - Jobs vs Yr (BAU)'!X53:X54)</f>
        <v>6518.4612512030262</v>
      </c>
      <c r="Y201" s="272">
        <f>SUM('Output - Jobs vs Yr (BAU)'!Y53:Y54)</f>
        <v>6500.5771511141866</v>
      </c>
      <c r="Z201" s="272">
        <f>SUM('Output - Jobs vs Yr (BAU)'!Z53:Z54)</f>
        <v>6542.3447288599164</v>
      </c>
      <c r="AA201" s="272">
        <f>SUM('Output - Jobs vs Yr (BAU)'!AA53:AA54)</f>
        <v>6624.0663720539651</v>
      </c>
      <c r="AB201" s="272">
        <f>SUM('Output - Jobs vs Yr (BAU)'!AB53:AB54)</f>
        <v>6757.1628214310676</v>
      </c>
      <c r="AC201" s="272">
        <f>SUM('Output - Jobs vs Yr (BAU)'!AC53:AC54)</f>
        <v>6784.8492050492205</v>
      </c>
      <c r="AD201" s="272">
        <f>SUM('Output - Jobs vs Yr (BAU)'!AD53:AD54)</f>
        <v>6839.976599421112</v>
      </c>
      <c r="AE201" s="272">
        <f>SUM('Output - Jobs vs Yr (BAU)'!AE53:AE54)</f>
        <v>6907.3875554366878</v>
      </c>
      <c r="AF201" s="272">
        <f>SUM('Output - Jobs vs Yr (BAU)'!AF53:AF54)</f>
        <v>6959.7632566029606</v>
      </c>
      <c r="AG201" s="272">
        <f>SUM('Output - Jobs vs Yr (BAU)'!AG53:AG54)</f>
        <v>7143.973879482548</v>
      </c>
      <c r="AH201" s="185">
        <f>SUM('Output - Jobs vs Yr (BAU)'!AH53:AH54)</f>
        <v>7295.5165224103621</v>
      </c>
    </row>
    <row r="202" spans="1:34">
      <c r="A202" t="s">
        <v>395</v>
      </c>
      <c r="C202" s="335">
        <f>SUM('Output - Jobs vs Yr (BAU)'!C71:C72)</f>
        <v>4381.5420000000004</v>
      </c>
      <c r="D202" s="335">
        <f>SUM('Output - Jobs vs Yr (BAU)'!D71:D72)</f>
        <v>4811.2020000000011</v>
      </c>
      <c r="E202" s="335">
        <f>SUM('Output - Jobs vs Yr (BAU)'!E71:E72)</f>
        <v>4471.817655573841</v>
      </c>
      <c r="F202" s="335">
        <f>SUM('Output - Jobs vs Yr (BAU)'!F71:F72)</f>
        <v>4400.1669059691267</v>
      </c>
      <c r="G202" s="335">
        <f>SUM('Output - Jobs vs Yr (BAU)'!G71:G72)</f>
        <v>4190.2304442507502</v>
      </c>
      <c r="H202" s="287">
        <f>SUM('Output - Jobs vs Yr (BAU)'!H71:H72)</f>
        <v>4388.3322165112968</v>
      </c>
      <c r="I202" s="118">
        <f>SUM('Output - Jobs vs Yr (BAU)'!I71:I72)</f>
        <v>4526.5406720986384</v>
      </c>
      <c r="J202" s="118">
        <f>SUM('Output - Jobs vs Yr (BAU)'!J71:J72)</f>
        <v>4488.9896800163669</v>
      </c>
      <c r="K202" s="118">
        <f>SUM('Output - Jobs vs Yr (BAU)'!K71:K72)</f>
        <v>4690.9573776706493</v>
      </c>
      <c r="L202" s="118">
        <f>SUM('Output - Jobs vs Yr (BAU)'!L71:L72)</f>
        <v>4665.1051697077291</v>
      </c>
      <c r="M202" s="118">
        <f>SUM('Output - Jobs vs Yr (BAU)'!M71:M72)</f>
        <v>4630.1661370033489</v>
      </c>
      <c r="N202" s="178">
        <f>SUM('Output - Jobs vs Yr (BAU)'!N71:N72)</f>
        <v>4702.0343743572048</v>
      </c>
      <c r="O202" s="118">
        <f>SUM('Output - Jobs vs Yr (BAU)'!O71:O72)</f>
        <v>4733.5479899846632</v>
      </c>
      <c r="P202" s="118">
        <f>SUM('Output - Jobs vs Yr (BAU)'!P71:P72)</f>
        <v>4915.1537768503395</v>
      </c>
      <c r="Q202" s="118">
        <f>SUM('Output - Jobs vs Yr (BAU)'!Q71:Q72)</f>
        <v>4965.6748961681051</v>
      </c>
      <c r="R202" s="118">
        <f>SUM('Output - Jobs vs Yr (BAU)'!R71:R72)</f>
        <v>5129.2298686370468</v>
      </c>
      <c r="S202" s="118">
        <f>SUM('Output - Jobs vs Yr (BAU)'!S71:S72)</f>
        <v>5226.540894058222</v>
      </c>
      <c r="T202" s="118">
        <f>SUM('Output - Jobs vs Yr (BAU)'!T71:T72)</f>
        <v>5280.2231320924366</v>
      </c>
      <c r="U202" s="118">
        <f>SUM('Output - Jobs vs Yr (BAU)'!U71:U72)</f>
        <v>5526.3086418904022</v>
      </c>
      <c r="V202" s="118">
        <f>SUM('Output - Jobs vs Yr (BAU)'!V71:V72)</f>
        <v>5597.6949515128254</v>
      </c>
      <c r="W202" s="118">
        <f>SUM('Output - Jobs vs Yr (BAU)'!W71:W72)</f>
        <v>5747.6846574939691</v>
      </c>
      <c r="X202" s="185">
        <f>SUM('Output - Jobs vs Yr (BAU)'!X71:X72)</f>
        <v>5866.6151260827237</v>
      </c>
      <c r="Y202" s="272">
        <f>SUM('Output - Jobs vs Yr (BAU)'!Y71:Y72)</f>
        <v>5850.5194360027681</v>
      </c>
      <c r="Z202" s="272">
        <f>SUM('Output - Jobs vs Yr (BAU)'!Z71:Z72)</f>
        <v>5888.1102559739256</v>
      </c>
      <c r="AA202" s="272">
        <f>SUM('Output - Jobs vs Yr (BAU)'!AA71:AA72)</f>
        <v>5961.6597348485684</v>
      </c>
      <c r="AB202" s="272">
        <f>SUM('Output - Jobs vs Yr (BAU)'!AB71:AB72)</f>
        <v>6081.4465392879611</v>
      </c>
      <c r="AC202" s="272">
        <f>SUM('Output - Jobs vs Yr (BAU)'!AC71:AC72)</f>
        <v>6106.3642845442992</v>
      </c>
      <c r="AD202" s="272">
        <f>SUM('Output - Jobs vs Yr (BAU)'!AD71:AD72)</f>
        <v>6155.9789394790014</v>
      </c>
      <c r="AE202" s="272">
        <f>SUM('Output - Jobs vs Yr (BAU)'!AE71:AE72)</f>
        <v>6216.6487998930197</v>
      </c>
      <c r="AF202" s="272">
        <f>SUM('Output - Jobs vs Yr (BAU)'!AF71:AF72)</f>
        <v>6263.7869309426642</v>
      </c>
      <c r="AG202" s="272">
        <f>SUM('Output - Jobs vs Yr (BAU)'!AG71:AG72)</f>
        <v>6429.5764915342934</v>
      </c>
      <c r="AH202" s="185">
        <f>SUM('Output - Jobs vs Yr (BAU)'!AH71:AH72)</f>
        <v>6565.9648701693259</v>
      </c>
    </row>
    <row r="203" spans="1:34">
      <c r="A203" s="1" t="s">
        <v>424</v>
      </c>
      <c r="C203" s="336">
        <f>SUM(C191,C194,C197,C200)</f>
        <v>24468.278280000002</v>
      </c>
      <c r="D203" s="336">
        <f t="shared" ref="D203:AH203" si="115">SUM(D191,D194,D197,D200)</f>
        <v>25395.345280000001</v>
      </c>
      <c r="E203" s="336">
        <f t="shared" si="115"/>
        <v>24463.333977045502</v>
      </c>
      <c r="F203" s="336">
        <f t="shared" si="115"/>
        <v>24365.190780829354</v>
      </c>
      <c r="G203" s="336">
        <f t="shared" si="115"/>
        <v>24069.554137704381</v>
      </c>
      <c r="H203" s="408">
        <f t="shared" si="115"/>
        <v>24542.312620116121</v>
      </c>
      <c r="I203" s="14">
        <f t="shared" si="115"/>
        <v>25234.053427060939</v>
      </c>
      <c r="J203" s="14">
        <f t="shared" si="115"/>
        <v>25787.581507544615</v>
      </c>
      <c r="K203" s="14">
        <f t="shared" si="115"/>
        <v>26739.775203735277</v>
      </c>
      <c r="L203" s="14">
        <f t="shared" si="115"/>
        <v>27374.743341049529</v>
      </c>
      <c r="M203" s="133">
        <f t="shared" si="115"/>
        <v>28015.681033299919</v>
      </c>
      <c r="N203" s="194">
        <f t="shared" si="115"/>
        <v>28688.743242990244</v>
      </c>
      <c r="O203" s="14">
        <f t="shared" si="115"/>
        <v>29357.941759519148</v>
      </c>
      <c r="P203" s="14">
        <f t="shared" si="115"/>
        <v>29788.018516742835</v>
      </c>
      <c r="Q203" s="14">
        <f t="shared" si="115"/>
        <v>29988.307841675331</v>
      </c>
      <c r="R203" s="14">
        <f t="shared" si="115"/>
        <v>30349.309644276509</v>
      </c>
      <c r="S203" s="14">
        <f t="shared" si="115"/>
        <v>30578.458925061153</v>
      </c>
      <c r="T203" s="14">
        <f t="shared" si="115"/>
        <v>30694.447282576963</v>
      </c>
      <c r="U203" s="14">
        <f t="shared" si="115"/>
        <v>31192.025087697737</v>
      </c>
      <c r="V203" s="14">
        <f t="shared" si="115"/>
        <v>31354.545581908129</v>
      </c>
      <c r="W203" s="14">
        <f t="shared" si="115"/>
        <v>31680.427895931192</v>
      </c>
      <c r="X203" s="188">
        <f t="shared" si="115"/>
        <v>31909.564607259381</v>
      </c>
      <c r="Y203" s="159">
        <f t="shared" si="115"/>
        <v>31890.151690956074</v>
      </c>
      <c r="Z203" s="159">
        <f t="shared" si="115"/>
        <v>31969.213417914125</v>
      </c>
      <c r="AA203" s="159">
        <f t="shared" si="115"/>
        <v>32129.230392269863</v>
      </c>
      <c r="AB203" s="159">
        <f t="shared" si="115"/>
        <v>32399.935002058766</v>
      </c>
      <c r="AC203" s="159">
        <f t="shared" si="115"/>
        <v>32464.207140711642</v>
      </c>
      <c r="AD203" s="159">
        <f t="shared" si="115"/>
        <v>32666.120213666854</v>
      </c>
      <c r="AE203" s="159">
        <f t="shared" si="115"/>
        <v>32826.974319053072</v>
      </c>
      <c r="AF203" s="159">
        <f t="shared" si="115"/>
        <v>32922.430359259422</v>
      </c>
      <c r="AG203" s="159">
        <f t="shared" si="115"/>
        <v>33376.185052048175</v>
      </c>
      <c r="AH203" s="188">
        <f t="shared" si="115"/>
        <v>33694.751600877964</v>
      </c>
    </row>
    <row r="204" spans="1:34">
      <c r="A204" s="1" t="s">
        <v>447</v>
      </c>
      <c r="C204" s="336"/>
      <c r="D204" s="336">
        <f>D194+D197</f>
        <v>15238.36328</v>
      </c>
      <c r="E204" s="336">
        <f t="shared" ref="E204:AH204" si="116">E194+E197</f>
        <v>15022.830037500727</v>
      </c>
      <c r="F204" s="336">
        <f t="shared" si="116"/>
        <v>15075.949534894533</v>
      </c>
      <c r="G204" s="336">
        <f t="shared" si="116"/>
        <v>15223.512088730575</v>
      </c>
      <c r="H204" s="408">
        <f t="shared" si="116"/>
        <v>15278.055718592275</v>
      </c>
      <c r="I204" s="14">
        <f t="shared" si="116"/>
        <v>15678.023119297148</v>
      </c>
      <c r="J204" s="14">
        <f t="shared" si="116"/>
        <v>16310.825516398954</v>
      </c>
      <c r="K204" s="14">
        <f t="shared" si="116"/>
        <v>16836.64296198613</v>
      </c>
      <c r="L204" s="14">
        <f t="shared" si="116"/>
        <v>17526.187982777657</v>
      </c>
      <c r="M204" s="14">
        <f t="shared" si="116"/>
        <v>18240.885855181739</v>
      </c>
      <c r="N204" s="188">
        <f t="shared" si="116"/>
        <v>18762.226230458367</v>
      </c>
      <c r="O204" s="14">
        <f t="shared" si="116"/>
        <v>19364.89600288486</v>
      </c>
      <c r="P204" s="14">
        <f t="shared" si="116"/>
        <v>19411.582765614341</v>
      </c>
      <c r="Q204" s="14">
        <f t="shared" si="116"/>
        <v>19505.216394209332</v>
      </c>
      <c r="R204" s="14">
        <f t="shared" si="116"/>
        <v>19520.935477153856</v>
      </c>
      <c r="S204" s="14">
        <f t="shared" si="116"/>
        <v>19544.650370938241</v>
      </c>
      <c r="T204" s="14">
        <f t="shared" si="116"/>
        <v>19547.30955927071</v>
      </c>
      <c r="U204" s="14">
        <f t="shared" si="116"/>
        <v>19525.373510373553</v>
      </c>
      <c r="V204" s="14">
        <f t="shared" si="116"/>
        <v>19537.18957315883</v>
      </c>
      <c r="W204" s="14">
        <f t="shared" si="116"/>
        <v>19546.426952332815</v>
      </c>
      <c r="X204" s="188">
        <f t="shared" si="116"/>
        <v>19524.488229973631</v>
      </c>
      <c r="Y204" s="159">
        <f t="shared" si="116"/>
        <v>19539.05510383912</v>
      </c>
      <c r="Z204" s="159">
        <f t="shared" si="116"/>
        <v>19538.758433080282</v>
      </c>
      <c r="AA204" s="159">
        <f t="shared" si="116"/>
        <v>19543.504285367329</v>
      </c>
      <c r="AB204" s="159">
        <f t="shared" si="116"/>
        <v>19561.325641339739</v>
      </c>
      <c r="AC204" s="159">
        <f t="shared" si="116"/>
        <v>19572.993651118122</v>
      </c>
      <c r="AD204" s="159">
        <f t="shared" si="116"/>
        <v>19670.16467476674</v>
      </c>
      <c r="AE204" s="159">
        <f t="shared" si="116"/>
        <v>19702.937963723365</v>
      </c>
      <c r="AF204" s="159">
        <f t="shared" si="116"/>
        <v>19698.880171713801</v>
      </c>
      <c r="AG204" s="159">
        <f t="shared" si="116"/>
        <v>19802.634681031333</v>
      </c>
      <c r="AH204" s="188">
        <f t="shared" si="116"/>
        <v>19833.270208298276</v>
      </c>
    </row>
    <row r="205" spans="1:34">
      <c r="A205" s="1"/>
      <c r="C205" s="336"/>
      <c r="D205" s="336"/>
      <c r="E205" s="336"/>
      <c r="F205" s="336"/>
      <c r="G205" s="336"/>
      <c r="H205" s="408"/>
      <c r="I205" s="14"/>
      <c r="J205" s="14"/>
      <c r="K205" s="14"/>
      <c r="L205" s="14"/>
      <c r="M205" s="14"/>
      <c r="N205" s="188"/>
      <c r="O205" s="14"/>
      <c r="P205" s="14"/>
      <c r="Q205" s="14"/>
      <c r="R205" s="14"/>
      <c r="S205" s="14"/>
      <c r="T205" s="14"/>
      <c r="U205" s="14"/>
      <c r="V205" s="14"/>
      <c r="W205" s="14"/>
      <c r="X205" s="188"/>
    </row>
    <row r="206" spans="1:34">
      <c r="A206" s="1" t="s">
        <v>452</v>
      </c>
      <c r="C206" s="336"/>
      <c r="D206" s="336">
        <f>D194</f>
        <v>732.39813000000004</v>
      </c>
      <c r="E206" s="336">
        <f>D206+E194</f>
        <v>1473.4634567857561</v>
      </c>
      <c r="F206" s="336">
        <f>E206+F194</f>
        <v>2260.3236508324853</v>
      </c>
      <c r="G206" s="336">
        <f>F206+G194</f>
        <v>3127.2056696252807</v>
      </c>
      <c r="H206" s="408">
        <f t="shared" ref="H206:X206" si="117">G206+H194</f>
        <v>4008.1141633824805</v>
      </c>
      <c r="I206" s="14">
        <f t="shared" si="117"/>
        <v>4906.9546978128401</v>
      </c>
      <c r="J206" s="14">
        <f t="shared" si="117"/>
        <v>6308.2323376977474</v>
      </c>
      <c r="K206" s="14">
        <f t="shared" si="117"/>
        <v>7566.2505885276696</v>
      </c>
      <c r="L206" s="14">
        <f t="shared" si="117"/>
        <v>8863.289500749328</v>
      </c>
      <c r="M206" s="14">
        <f t="shared" si="117"/>
        <v>10309.653964255638</v>
      </c>
      <c r="N206" s="188">
        <f t="shared" si="117"/>
        <v>12147.261069125932</v>
      </c>
      <c r="O206" s="14">
        <f t="shared" si="117"/>
        <v>14587.536099374944</v>
      </c>
      <c r="P206" s="14">
        <f t="shared" si="117"/>
        <v>17074.49973940121</v>
      </c>
      <c r="Q206" s="14">
        <f t="shared" si="117"/>
        <v>19655.095160974692</v>
      </c>
      <c r="R206" s="14">
        <f t="shared" si="117"/>
        <v>22251.409665492698</v>
      </c>
      <c r="S206" s="14">
        <f t="shared" si="117"/>
        <v>24871.440910842866</v>
      </c>
      <c r="T206" s="14">
        <f t="shared" si="117"/>
        <v>27494.074894127727</v>
      </c>
      <c r="U206" s="14">
        <f t="shared" si="117"/>
        <v>30094.82927891321</v>
      </c>
      <c r="V206" s="14">
        <f t="shared" si="117"/>
        <v>32707.399726483971</v>
      </c>
      <c r="W206" s="14">
        <f t="shared" si="117"/>
        <v>35329.207553228713</v>
      </c>
      <c r="X206" s="188">
        <f t="shared" si="117"/>
        <v>37929.074810566497</v>
      </c>
      <c r="Y206" s="159">
        <f t="shared" ref="Y206:AH206" si="118">X206+Y194</f>
        <v>40543.510788817541</v>
      </c>
      <c r="Z206" s="159">
        <f t="shared" si="118"/>
        <v>43150.253981261973</v>
      </c>
      <c r="AA206" s="159">
        <f t="shared" si="118"/>
        <v>45761.743025993448</v>
      </c>
      <c r="AB206" s="159">
        <f t="shared" si="118"/>
        <v>48391.053426697334</v>
      </c>
      <c r="AC206" s="159">
        <f t="shared" si="118"/>
        <v>51032.031837179602</v>
      </c>
      <c r="AD206" s="159">
        <f t="shared" si="118"/>
        <v>53687.752723708152</v>
      </c>
      <c r="AE206" s="159">
        <f t="shared" si="118"/>
        <v>56355.940571339801</v>
      </c>
      <c r="AF206" s="159">
        <f t="shared" si="118"/>
        <v>59020.072358569174</v>
      </c>
      <c r="AG206" s="159">
        <f t="shared" si="118"/>
        <v>61697.95571088916</v>
      </c>
      <c r="AH206" s="188">
        <f t="shared" si="118"/>
        <v>64387.469969545557</v>
      </c>
    </row>
    <row r="207" spans="1:34">
      <c r="A207" s="1" t="s">
        <v>455</v>
      </c>
      <c r="C207" s="336"/>
      <c r="D207" s="336">
        <f>D200</f>
        <v>10156.982000000002</v>
      </c>
      <c r="E207" s="336">
        <f>D207+E200</f>
        <v>19597.485939544778</v>
      </c>
      <c r="F207" s="336">
        <f>E207+F200</f>
        <v>28886.727185479602</v>
      </c>
      <c r="G207" s="336">
        <f t="shared" ref="G207:X207" si="119">F207+G200</f>
        <v>37732.769234453408</v>
      </c>
      <c r="H207" s="408">
        <f t="shared" si="119"/>
        <v>46997.026135977256</v>
      </c>
      <c r="I207" s="14">
        <f t="shared" si="119"/>
        <v>56553.05644374105</v>
      </c>
      <c r="J207" s="14">
        <f t="shared" si="119"/>
        <v>66029.812434886713</v>
      </c>
      <c r="K207" s="14">
        <f t="shared" si="119"/>
        <v>75932.94467663586</v>
      </c>
      <c r="L207" s="14">
        <f t="shared" si="119"/>
        <v>85781.500034907731</v>
      </c>
      <c r="M207" s="14">
        <f t="shared" si="119"/>
        <v>95556.295213025907</v>
      </c>
      <c r="N207" s="188">
        <f t="shared" si="119"/>
        <v>105482.81222555778</v>
      </c>
      <c r="O207" s="14">
        <f t="shared" si="119"/>
        <v>115475.85798219207</v>
      </c>
      <c r="P207" s="14">
        <f t="shared" si="119"/>
        <v>125852.29373332056</v>
      </c>
      <c r="Q207" s="14">
        <f t="shared" si="119"/>
        <v>136335.38518078657</v>
      </c>
      <c r="R207" s="14">
        <f t="shared" si="119"/>
        <v>147163.75934790922</v>
      </c>
      <c r="S207" s="14">
        <f t="shared" si="119"/>
        <v>158197.56790203214</v>
      </c>
      <c r="T207" s="14">
        <f t="shared" si="119"/>
        <v>169344.70562533839</v>
      </c>
      <c r="U207" s="14">
        <f t="shared" si="119"/>
        <v>181011.35720266256</v>
      </c>
      <c r="V207" s="14">
        <f t="shared" si="119"/>
        <v>192828.71321141187</v>
      </c>
      <c r="W207" s="14">
        <f t="shared" si="119"/>
        <v>204962.71415501024</v>
      </c>
      <c r="X207" s="188">
        <f t="shared" si="119"/>
        <v>217347.790532296</v>
      </c>
      <c r="Y207" s="159">
        <f t="shared" ref="Y207:AH207" si="120">X207+Y200</f>
        <v>229698.88711941295</v>
      </c>
      <c r="Z207" s="159">
        <f t="shared" si="120"/>
        <v>242129.34210424678</v>
      </c>
      <c r="AA207" s="159">
        <f t="shared" si="120"/>
        <v>254715.06821114931</v>
      </c>
      <c r="AB207" s="159">
        <f t="shared" si="120"/>
        <v>267553.67757186835</v>
      </c>
      <c r="AC207" s="159">
        <f t="shared" si="120"/>
        <v>280444.89106146188</v>
      </c>
      <c r="AD207" s="159">
        <f t="shared" si="120"/>
        <v>293440.84660036198</v>
      </c>
      <c r="AE207" s="159">
        <f t="shared" si="120"/>
        <v>306564.88295569166</v>
      </c>
      <c r="AF207" s="159">
        <f t="shared" si="120"/>
        <v>319788.43314323726</v>
      </c>
      <c r="AG207" s="159">
        <f t="shared" si="120"/>
        <v>333361.9835142541</v>
      </c>
      <c r="AH207" s="188">
        <f t="shared" si="120"/>
        <v>347223.46490683377</v>
      </c>
    </row>
    <row r="208" spans="1:34">
      <c r="A208" s="1"/>
      <c r="C208" s="336"/>
      <c r="D208" s="336"/>
      <c r="E208" s="336"/>
      <c r="F208" s="336"/>
      <c r="G208" s="336"/>
      <c r="H208" s="408"/>
      <c r="I208" s="14"/>
      <c r="J208" s="14"/>
      <c r="K208" s="14"/>
      <c r="L208" s="14"/>
      <c r="M208" s="14"/>
      <c r="N208" s="188"/>
      <c r="O208" s="14"/>
      <c r="P208" s="14"/>
      <c r="Q208" s="14"/>
      <c r="R208" s="14"/>
      <c r="S208" s="14"/>
      <c r="T208" s="14"/>
      <c r="U208" s="14"/>
      <c r="V208" s="14"/>
      <c r="W208" s="14"/>
      <c r="X208" s="188"/>
    </row>
    <row r="209" spans="1:34">
      <c r="A209" s="1" t="s">
        <v>411</v>
      </c>
      <c r="C209" s="336"/>
      <c r="D209" s="336"/>
      <c r="E209" s="336"/>
      <c r="F209" s="336"/>
      <c r="G209" s="336"/>
      <c r="H209" s="408"/>
      <c r="I209" s="14"/>
      <c r="J209" s="14"/>
      <c r="K209" s="14"/>
      <c r="L209" s="14"/>
      <c r="M209" s="14"/>
      <c r="N209" s="188"/>
      <c r="O209" s="14"/>
      <c r="P209" s="14"/>
      <c r="Q209" s="14"/>
      <c r="R209" s="14"/>
      <c r="S209" s="14"/>
      <c r="T209" s="14"/>
      <c r="U209" s="14"/>
      <c r="V209" s="14"/>
      <c r="W209" s="14"/>
      <c r="X209" s="188"/>
    </row>
    <row r="210" spans="1:34" s="1" customFormat="1">
      <c r="A210" s="1" t="s">
        <v>408</v>
      </c>
      <c r="B210" s="13"/>
      <c r="C210" s="346">
        <f>SUM(C211:C212)</f>
        <v>0</v>
      </c>
      <c r="D210" s="346">
        <f t="shared" ref="D210:AH210" si="121">SUM(D211:D212)</f>
        <v>0</v>
      </c>
      <c r="E210" s="346">
        <f t="shared" si="121"/>
        <v>0</v>
      </c>
      <c r="F210" s="346">
        <f t="shared" si="121"/>
        <v>0</v>
      </c>
      <c r="G210" s="346">
        <f t="shared" si="121"/>
        <v>0</v>
      </c>
      <c r="H210" s="411">
        <f t="shared" si="121"/>
        <v>0</v>
      </c>
      <c r="I210" s="15">
        <f t="shared" si="121"/>
        <v>0</v>
      </c>
      <c r="J210" s="15">
        <f t="shared" si="121"/>
        <v>0</v>
      </c>
      <c r="K210" s="15">
        <f t="shared" si="121"/>
        <v>0</v>
      </c>
      <c r="L210" s="15">
        <f t="shared" si="121"/>
        <v>0</v>
      </c>
      <c r="M210" s="15">
        <f t="shared" si="121"/>
        <v>0</v>
      </c>
      <c r="N210" s="191">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1">
        <f t="shared" si="121"/>
        <v>0</v>
      </c>
      <c r="Y210" s="131">
        <f t="shared" si="121"/>
        <v>0</v>
      </c>
      <c r="Z210" s="131">
        <f t="shared" si="121"/>
        <v>0</v>
      </c>
      <c r="AA210" s="131">
        <f t="shared" si="121"/>
        <v>0</v>
      </c>
      <c r="AB210" s="131">
        <f t="shared" si="121"/>
        <v>0</v>
      </c>
      <c r="AC210" s="131">
        <f t="shared" si="121"/>
        <v>0</v>
      </c>
      <c r="AD210" s="131">
        <f t="shared" si="121"/>
        <v>0</v>
      </c>
      <c r="AE210" s="131">
        <f t="shared" si="121"/>
        <v>0</v>
      </c>
      <c r="AF210" s="131">
        <f t="shared" si="121"/>
        <v>0</v>
      </c>
      <c r="AG210" s="131">
        <f t="shared" si="121"/>
        <v>0</v>
      </c>
      <c r="AH210" s="191">
        <f t="shared" si="121"/>
        <v>0</v>
      </c>
    </row>
    <row r="211" spans="1:34">
      <c r="A211" t="s">
        <v>409</v>
      </c>
      <c r="C211" s="336">
        <f>C100</f>
        <v>0</v>
      </c>
      <c r="D211" s="336">
        <f t="shared" ref="D211:AH211" si="122">D100</f>
        <v>0</v>
      </c>
      <c r="E211" s="336">
        <f t="shared" si="122"/>
        <v>0</v>
      </c>
      <c r="F211" s="336">
        <f t="shared" si="122"/>
        <v>0</v>
      </c>
      <c r="G211" s="336">
        <f t="shared" si="122"/>
        <v>0</v>
      </c>
      <c r="H211" s="408">
        <f t="shared" si="122"/>
        <v>0</v>
      </c>
      <c r="I211" s="14">
        <f t="shared" si="122"/>
        <v>0</v>
      </c>
      <c r="J211" s="14">
        <f t="shared" si="122"/>
        <v>0</v>
      </c>
      <c r="K211" s="14">
        <f t="shared" si="122"/>
        <v>0</v>
      </c>
      <c r="L211" s="14">
        <f t="shared" si="122"/>
        <v>0</v>
      </c>
      <c r="M211" s="14">
        <f t="shared" si="122"/>
        <v>0</v>
      </c>
      <c r="N211" s="188">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8">
        <f t="shared" si="122"/>
        <v>0</v>
      </c>
      <c r="Y211" s="159">
        <f t="shared" si="122"/>
        <v>0</v>
      </c>
      <c r="Z211" s="159">
        <f t="shared" si="122"/>
        <v>0</v>
      </c>
      <c r="AA211" s="159">
        <f t="shared" si="122"/>
        <v>0</v>
      </c>
      <c r="AB211" s="159">
        <f t="shared" si="122"/>
        <v>0</v>
      </c>
      <c r="AC211" s="159">
        <f t="shared" si="122"/>
        <v>0</v>
      </c>
      <c r="AD211" s="159">
        <f t="shared" si="122"/>
        <v>0</v>
      </c>
      <c r="AE211" s="159">
        <f t="shared" si="122"/>
        <v>0</v>
      </c>
      <c r="AF211" s="159">
        <f t="shared" si="122"/>
        <v>0</v>
      </c>
      <c r="AG211" s="159">
        <f t="shared" si="122"/>
        <v>0</v>
      </c>
      <c r="AH211" s="188">
        <f t="shared" si="122"/>
        <v>0</v>
      </c>
    </row>
    <row r="212" spans="1:34">
      <c r="A212" t="s">
        <v>410</v>
      </c>
      <c r="C212" s="336">
        <f>C127</f>
        <v>0</v>
      </c>
      <c r="D212" s="336">
        <f t="shared" ref="D212:AH212" si="123">D127</f>
        <v>0</v>
      </c>
      <c r="E212" s="336">
        <f t="shared" si="123"/>
        <v>0</v>
      </c>
      <c r="F212" s="336">
        <f t="shared" si="123"/>
        <v>0</v>
      </c>
      <c r="G212" s="336">
        <f t="shared" si="123"/>
        <v>0</v>
      </c>
      <c r="H212" s="408">
        <f t="shared" si="123"/>
        <v>0</v>
      </c>
      <c r="I212" s="14">
        <f t="shared" si="123"/>
        <v>0</v>
      </c>
      <c r="J212" s="14">
        <f t="shared" si="123"/>
        <v>0</v>
      </c>
      <c r="K212" s="14">
        <f t="shared" si="123"/>
        <v>0</v>
      </c>
      <c r="L212" s="14">
        <f t="shared" si="123"/>
        <v>0</v>
      </c>
      <c r="M212" s="14">
        <f t="shared" si="123"/>
        <v>0</v>
      </c>
      <c r="N212" s="188">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8">
        <f t="shared" si="123"/>
        <v>0</v>
      </c>
      <c r="Y212" s="159">
        <f t="shared" si="123"/>
        <v>0</v>
      </c>
      <c r="Z212" s="159">
        <f t="shared" si="123"/>
        <v>0</v>
      </c>
      <c r="AA212" s="159">
        <f t="shared" si="123"/>
        <v>0</v>
      </c>
      <c r="AB212" s="159">
        <f t="shared" si="123"/>
        <v>0</v>
      </c>
      <c r="AC212" s="159">
        <f t="shared" si="123"/>
        <v>0</v>
      </c>
      <c r="AD212" s="159">
        <f t="shared" si="123"/>
        <v>0</v>
      </c>
      <c r="AE212" s="159">
        <f t="shared" si="123"/>
        <v>0</v>
      </c>
      <c r="AF212" s="159">
        <f t="shared" si="123"/>
        <v>0</v>
      </c>
      <c r="AG212" s="159">
        <f t="shared" si="123"/>
        <v>0</v>
      </c>
      <c r="AH212" s="188">
        <f t="shared" si="123"/>
        <v>0</v>
      </c>
    </row>
    <row r="213" spans="1:34" s="1" customFormat="1">
      <c r="A213" s="1" t="s">
        <v>396</v>
      </c>
      <c r="B213" s="13"/>
      <c r="C213" s="346">
        <f>SUM(C214:C215)</f>
        <v>681.83886000000007</v>
      </c>
      <c r="D213" s="346">
        <f t="shared" ref="D213:AH213" si="124">SUM(D214:D215)</f>
        <v>810.05804683322356</v>
      </c>
      <c r="E213" s="346">
        <f t="shared" si="124"/>
        <v>895.22309242697975</v>
      </c>
      <c r="F213" s="346">
        <f t="shared" si="124"/>
        <v>1025.2786426976045</v>
      </c>
      <c r="G213" s="346">
        <f t="shared" si="124"/>
        <v>1140.4993116042137</v>
      </c>
      <c r="H213" s="411">
        <f t="shared" si="124"/>
        <v>880.90822375719983</v>
      </c>
      <c r="I213" s="15">
        <f t="shared" si="124"/>
        <v>1036.6106439102509</v>
      </c>
      <c r="J213" s="15">
        <f t="shared" si="124"/>
        <v>1403.998148043192</v>
      </c>
      <c r="K213" s="15">
        <f t="shared" si="124"/>
        <v>1432.6644087440218</v>
      </c>
      <c r="L213" s="15">
        <f t="shared" si="124"/>
        <v>1676.6278860293382</v>
      </c>
      <c r="M213" s="15">
        <f t="shared" si="124"/>
        <v>1959.6943110492521</v>
      </c>
      <c r="N213" s="191">
        <f t="shared" si="124"/>
        <v>2291.5806912564485</v>
      </c>
      <c r="O213" s="15">
        <f t="shared" si="124"/>
        <v>2453.5370892484698</v>
      </c>
      <c r="P213" s="15">
        <f t="shared" si="124"/>
        <v>2531.2841878460758</v>
      </c>
      <c r="Q213" s="15">
        <f t="shared" si="124"/>
        <v>2634.244156222665</v>
      </c>
      <c r="R213" s="15">
        <f t="shared" si="124"/>
        <v>2762.6915685146205</v>
      </c>
      <c r="S213" s="15">
        <f t="shared" si="124"/>
        <v>2880.8676620823726</v>
      </c>
      <c r="T213" s="15">
        <f t="shared" si="124"/>
        <v>2991.1945792513252</v>
      </c>
      <c r="U213" s="15">
        <f t="shared" si="124"/>
        <v>3153.6108381292952</v>
      </c>
      <c r="V213" s="15">
        <f t="shared" si="124"/>
        <v>3280.562507408813</v>
      </c>
      <c r="W213" s="15">
        <f t="shared" si="124"/>
        <v>3433.9686631687437</v>
      </c>
      <c r="X213" s="191">
        <f t="shared" si="124"/>
        <v>3583.1728958459298</v>
      </c>
      <c r="Y213" s="131">
        <f t="shared" si="124"/>
        <v>3579.6149897067635</v>
      </c>
      <c r="Z213" s="131">
        <f t="shared" si="124"/>
        <v>3590.2599935947419</v>
      </c>
      <c r="AA213" s="131">
        <f t="shared" si="124"/>
        <v>3610.9460299636885</v>
      </c>
      <c r="AB213" s="131">
        <f t="shared" si="124"/>
        <v>3645.6836541119137</v>
      </c>
      <c r="AC213" s="131">
        <f t="shared" si="124"/>
        <v>3653.4435181721556</v>
      </c>
      <c r="AD213" s="131">
        <f t="shared" si="124"/>
        <v>3676.9171887475632</v>
      </c>
      <c r="AE213" s="131">
        <f t="shared" si="124"/>
        <v>3696.8892973444808</v>
      </c>
      <c r="AF213" s="131">
        <f t="shared" si="124"/>
        <v>3709.7985341549138</v>
      </c>
      <c r="AG213" s="131">
        <f t="shared" si="124"/>
        <v>3766.5085155485658</v>
      </c>
      <c r="AH213" s="191">
        <f t="shared" si="124"/>
        <v>3807.4501018313827</v>
      </c>
    </row>
    <row r="214" spans="1:34">
      <c r="A214" t="s">
        <v>397</v>
      </c>
      <c r="C214" s="336">
        <f>C115</f>
        <v>358.86270000000002</v>
      </c>
      <c r="D214" s="336">
        <f t="shared" ref="D214:AH214" si="125">D115</f>
        <v>426.34649016772272</v>
      </c>
      <c r="E214" s="336">
        <f t="shared" si="125"/>
        <v>471.17019436723371</v>
      </c>
      <c r="F214" s="336">
        <f t="shared" si="125"/>
        <v>539.62048503529286</v>
      </c>
      <c r="G214" s="336">
        <f t="shared" si="125"/>
        <v>600.2629419709076</v>
      </c>
      <c r="H214" s="408">
        <f t="shared" si="125"/>
        <v>463.63604934589466</v>
      </c>
      <c r="I214" s="14">
        <f t="shared" si="125"/>
        <v>545.58469756609543</v>
      </c>
      <c r="J214" s="14">
        <f t="shared" si="125"/>
        <v>738.94654584311911</v>
      </c>
      <c r="K214" s="14">
        <f t="shared" si="125"/>
        <v>754.03405972106805</v>
      </c>
      <c r="L214" s="14">
        <f t="shared" si="125"/>
        <v>882.43589548004479</v>
      </c>
      <c r="M214" s="14">
        <f t="shared" si="125"/>
        <v>1031.4182299522492</v>
      </c>
      <c r="N214" s="183">
        <f t="shared" si="125"/>
        <v>1206.0952778731225</v>
      </c>
      <c r="O214" s="14">
        <f t="shared" si="125"/>
        <v>1291.3354963111531</v>
      </c>
      <c r="P214" s="14">
        <f t="shared" si="125"/>
        <v>1332.2550314569742</v>
      </c>
      <c r="Q214" s="14">
        <f t="shared" si="125"/>
        <v>1386.4444964593538</v>
      </c>
      <c r="R214" s="14">
        <f t="shared" si="125"/>
        <v>1454.0484075987029</v>
      </c>
      <c r="S214" s="14">
        <f t="shared" si="125"/>
        <v>1516.2463607204891</v>
      </c>
      <c r="T214" s="14">
        <f t="shared" si="125"/>
        <v>1574.3131677622318</v>
      </c>
      <c r="U214" s="14">
        <f t="shared" si="125"/>
        <v>1659.7954218368789</v>
      </c>
      <c r="V214" s="14">
        <f t="shared" si="125"/>
        <v>1726.6120996961188</v>
      </c>
      <c r="W214" s="14">
        <f t="shared" si="125"/>
        <v>1807.3521935381887</v>
      </c>
      <c r="X214" s="188">
        <f t="shared" si="125"/>
        <v>1885.8807485907146</v>
      </c>
      <c r="Y214" s="159">
        <f t="shared" si="125"/>
        <v>1884.0081661370671</v>
      </c>
      <c r="Z214" s="159">
        <f t="shared" si="125"/>
        <v>1889.6108005855149</v>
      </c>
      <c r="AA214" s="159">
        <f t="shared" si="125"/>
        <v>1900.4981897478049</v>
      </c>
      <c r="AB214" s="159">
        <f t="shared" si="125"/>
        <v>1918.7811525121379</v>
      </c>
      <c r="AC214" s="159">
        <f t="shared" si="125"/>
        <v>1922.8652920912959</v>
      </c>
      <c r="AD214" s="159">
        <f t="shared" si="125"/>
        <v>1935.2198573672954</v>
      </c>
      <c r="AE214" s="159">
        <f t="shared" si="125"/>
        <v>1945.7314950154137</v>
      </c>
      <c r="AF214" s="159">
        <f t="shared" si="125"/>
        <v>1952.5258311770926</v>
      </c>
      <c r="AG214" s="159">
        <f t="shared" si="125"/>
        <v>1982.3731941908097</v>
      </c>
      <c r="AH214" s="188">
        <f t="shared" si="125"/>
        <v>2003.9214006636382</v>
      </c>
    </row>
    <row r="215" spans="1:34">
      <c r="A215" t="s">
        <v>398</v>
      </c>
      <c r="C215" s="336">
        <f>C142</f>
        <v>322.97615999999999</v>
      </c>
      <c r="D215" s="336">
        <f t="shared" ref="D215:AH215" si="126">D142</f>
        <v>383.71155666550084</v>
      </c>
      <c r="E215" s="336">
        <f t="shared" si="126"/>
        <v>424.05289805974598</v>
      </c>
      <c r="F215" s="336">
        <f t="shared" si="126"/>
        <v>485.65815766231157</v>
      </c>
      <c r="G215" s="336">
        <f t="shared" si="126"/>
        <v>540.23636963330625</v>
      </c>
      <c r="H215" s="408">
        <f t="shared" si="126"/>
        <v>417.27217441130517</v>
      </c>
      <c r="I215" s="14">
        <f t="shared" si="126"/>
        <v>491.02594634415544</v>
      </c>
      <c r="J215" s="14">
        <f t="shared" si="126"/>
        <v>665.05160220007292</v>
      </c>
      <c r="K215" s="14">
        <f t="shared" si="126"/>
        <v>678.63034902295362</v>
      </c>
      <c r="L215" s="14">
        <f t="shared" si="126"/>
        <v>794.19199054929356</v>
      </c>
      <c r="M215" s="14">
        <f t="shared" si="126"/>
        <v>928.2760810970027</v>
      </c>
      <c r="N215" s="183">
        <f t="shared" si="126"/>
        <v>1085.4854133833257</v>
      </c>
      <c r="O215" s="14">
        <f t="shared" si="126"/>
        <v>1162.2015929373169</v>
      </c>
      <c r="P215" s="14">
        <f t="shared" si="126"/>
        <v>1199.0291563891014</v>
      </c>
      <c r="Q215" s="14">
        <f t="shared" si="126"/>
        <v>1247.7996597633112</v>
      </c>
      <c r="R215" s="14">
        <f t="shared" si="126"/>
        <v>1308.6431609159176</v>
      </c>
      <c r="S215" s="14">
        <f t="shared" si="126"/>
        <v>1364.6213013618838</v>
      </c>
      <c r="T215" s="14">
        <f t="shared" si="126"/>
        <v>1416.8814114890931</v>
      </c>
      <c r="U215" s="14">
        <f t="shared" si="126"/>
        <v>1493.8154162924163</v>
      </c>
      <c r="V215" s="14">
        <f t="shared" si="126"/>
        <v>1553.950407712694</v>
      </c>
      <c r="W215" s="14">
        <f t="shared" si="126"/>
        <v>1626.6164696305548</v>
      </c>
      <c r="X215" s="188">
        <f t="shared" si="126"/>
        <v>1697.292147255215</v>
      </c>
      <c r="Y215" s="159">
        <f t="shared" si="126"/>
        <v>1695.6068235696964</v>
      </c>
      <c r="Z215" s="159">
        <f t="shared" si="126"/>
        <v>1700.649193009227</v>
      </c>
      <c r="AA215" s="159">
        <f t="shared" si="126"/>
        <v>1710.4478402158836</v>
      </c>
      <c r="AB215" s="159">
        <f t="shared" si="126"/>
        <v>1726.9025015997761</v>
      </c>
      <c r="AC215" s="159">
        <f t="shared" si="126"/>
        <v>1730.5782260808598</v>
      </c>
      <c r="AD215" s="159">
        <f t="shared" si="126"/>
        <v>1741.6973313802675</v>
      </c>
      <c r="AE215" s="159">
        <f t="shared" si="126"/>
        <v>1751.157802329067</v>
      </c>
      <c r="AF215" s="159">
        <f t="shared" si="126"/>
        <v>1757.2727029778209</v>
      </c>
      <c r="AG215" s="159">
        <f t="shared" si="126"/>
        <v>1784.1353213577559</v>
      </c>
      <c r="AH215" s="188">
        <f t="shared" si="126"/>
        <v>1803.5287011677444</v>
      </c>
    </row>
    <row r="216" spans="1:34">
      <c r="A216" t="s">
        <v>399</v>
      </c>
      <c r="C216" s="336">
        <f>SUM(C217:C218)</f>
        <v>14536.517150000001</v>
      </c>
      <c r="D216" s="336">
        <f t="shared" ref="D216:AH216" si="127">SUM(D217:D218)</f>
        <v>15130.995058935812</v>
      </c>
      <c r="E216" s="336">
        <f t="shared" si="127"/>
        <v>14547.705277059205</v>
      </c>
      <c r="F216" s="336">
        <f t="shared" si="127"/>
        <v>14475.295478539887</v>
      </c>
      <c r="G216" s="336">
        <f t="shared" si="127"/>
        <v>14262.609141285942</v>
      </c>
      <c r="H216" s="408">
        <f t="shared" si="127"/>
        <v>14397.147224835075</v>
      </c>
      <c r="I216" s="14">
        <f t="shared" si="127"/>
        <v>14862.080278479527</v>
      </c>
      <c r="J216" s="14">
        <f t="shared" si="127"/>
        <v>15113.901857479181</v>
      </c>
      <c r="K216" s="14">
        <f t="shared" si="127"/>
        <v>15777.190487351596</v>
      </c>
      <c r="L216" s="14">
        <f t="shared" si="127"/>
        <v>16168.942262679891</v>
      </c>
      <c r="M216" s="14">
        <f t="shared" si="127"/>
        <v>16542.160262986668</v>
      </c>
      <c r="N216" s="191">
        <f t="shared" si="127"/>
        <v>16924.619125588073</v>
      </c>
      <c r="O216" s="14">
        <f t="shared" si="127"/>
        <v>17012.913335167053</v>
      </c>
      <c r="P216" s="14">
        <f t="shared" si="127"/>
        <v>17112.49263681356</v>
      </c>
      <c r="Q216" s="14">
        <f t="shared" si="127"/>
        <v>17035.26138702895</v>
      </c>
      <c r="R216" s="14">
        <f t="shared" si="127"/>
        <v>17088.143958461569</v>
      </c>
      <c r="S216" s="15">
        <f t="shared" si="127"/>
        <v>17041.338744853685</v>
      </c>
      <c r="T216" s="14">
        <f t="shared" si="127"/>
        <v>16919.597127768313</v>
      </c>
      <c r="U216" s="14">
        <f t="shared" si="127"/>
        <v>17055.492236880993</v>
      </c>
      <c r="V216" s="14">
        <f t="shared" si="127"/>
        <v>16961.330066327613</v>
      </c>
      <c r="W216" s="14">
        <f t="shared" si="127"/>
        <v>16970.971253203221</v>
      </c>
      <c r="X216" s="188">
        <f t="shared" si="127"/>
        <v>16924.620978839521</v>
      </c>
      <c r="Y216" s="159">
        <f t="shared" si="127"/>
        <v>16828.845403783562</v>
      </c>
      <c r="Z216" s="159">
        <f t="shared" si="127"/>
        <v>16799.685626123253</v>
      </c>
      <c r="AA216" s="159">
        <f t="shared" si="127"/>
        <v>16816.819044484255</v>
      </c>
      <c r="AB216" s="159">
        <f t="shared" si="127"/>
        <v>16898.170503034402</v>
      </c>
      <c r="AC216" s="159">
        <f t="shared" si="127"/>
        <v>16853.539343565193</v>
      </c>
      <c r="AD216" s="159">
        <f t="shared" si="127"/>
        <v>16880.70780606856</v>
      </c>
      <c r="AE216" s="159">
        <f t="shared" si="127"/>
        <v>16890.842153297155</v>
      </c>
      <c r="AF216" s="159">
        <f t="shared" si="127"/>
        <v>16867.981308348011</v>
      </c>
      <c r="AG216" s="159">
        <f t="shared" si="127"/>
        <v>17042.740991243965</v>
      </c>
      <c r="AH216" s="188">
        <f t="shared" si="127"/>
        <v>17143.997356366322</v>
      </c>
    </row>
    <row r="217" spans="1:34">
      <c r="A217" t="s">
        <v>400</v>
      </c>
      <c r="C217" s="336">
        <f>C114</f>
        <v>7650.7985000000008</v>
      </c>
      <c r="D217" s="336">
        <f t="shared" ref="D217:AH217" si="128">D114</f>
        <v>7963.6816099662165</v>
      </c>
      <c r="E217" s="336">
        <f t="shared" si="128"/>
        <v>7656.6869879258966</v>
      </c>
      <c r="F217" s="336">
        <f t="shared" si="128"/>
        <v>7618.5765676525716</v>
      </c>
      <c r="G217" s="336">
        <f t="shared" si="128"/>
        <v>7506.6363901504965</v>
      </c>
      <c r="H217" s="408">
        <f t="shared" si="128"/>
        <v>7577.4459078079344</v>
      </c>
      <c r="I217" s="14">
        <f t="shared" si="128"/>
        <v>7822.1475149892249</v>
      </c>
      <c r="J217" s="14">
        <f t="shared" si="128"/>
        <v>7954.6851881469374</v>
      </c>
      <c r="K217" s="14">
        <f t="shared" si="128"/>
        <v>8303.7844670271552</v>
      </c>
      <c r="L217" s="14">
        <f t="shared" si="128"/>
        <v>8509.9696119367854</v>
      </c>
      <c r="M217" s="14">
        <f t="shared" si="128"/>
        <v>8706.4001384140356</v>
      </c>
      <c r="N217" s="188">
        <f t="shared" si="128"/>
        <v>8907.6942766253014</v>
      </c>
      <c r="O217" s="14">
        <f t="shared" si="128"/>
        <v>8954.1649132458169</v>
      </c>
      <c r="P217" s="14">
        <f t="shared" si="128"/>
        <v>9006.5750720071374</v>
      </c>
      <c r="Q217" s="14">
        <f t="shared" si="128"/>
        <v>8965.9270458047104</v>
      </c>
      <c r="R217" s="14">
        <f t="shared" si="128"/>
        <v>8993.7599781376684</v>
      </c>
      <c r="S217" s="14">
        <f t="shared" si="128"/>
        <v>8969.1256551861497</v>
      </c>
      <c r="T217" s="14">
        <f t="shared" si="128"/>
        <v>8905.0511198780587</v>
      </c>
      <c r="U217" s="14">
        <f t="shared" si="128"/>
        <v>8976.574861516312</v>
      </c>
      <c r="V217" s="14">
        <f t="shared" si="128"/>
        <v>8927.0158243829537</v>
      </c>
      <c r="W217" s="14">
        <f t="shared" si="128"/>
        <v>8932.0901332648518</v>
      </c>
      <c r="X217" s="188">
        <f t="shared" si="128"/>
        <v>8907.6952520207997</v>
      </c>
      <c r="Y217" s="159">
        <f t="shared" si="128"/>
        <v>8857.287054622926</v>
      </c>
      <c r="Z217" s="159">
        <f t="shared" si="128"/>
        <v>8841.9398032227637</v>
      </c>
      <c r="AA217" s="159">
        <f t="shared" si="128"/>
        <v>8850.9573918338174</v>
      </c>
      <c r="AB217" s="159">
        <f t="shared" si="128"/>
        <v>8893.7739489654759</v>
      </c>
      <c r="AC217" s="159">
        <f t="shared" si="128"/>
        <v>8870.283865034311</v>
      </c>
      <c r="AD217" s="159">
        <f t="shared" si="128"/>
        <v>8884.5830558255584</v>
      </c>
      <c r="AE217" s="159">
        <f t="shared" si="128"/>
        <v>8889.9169227879756</v>
      </c>
      <c r="AF217" s="159">
        <f t="shared" si="128"/>
        <v>8877.8848991305331</v>
      </c>
      <c r="AG217" s="159">
        <f t="shared" si="128"/>
        <v>8969.8636796020874</v>
      </c>
      <c r="AH217" s="188">
        <f t="shared" si="128"/>
        <v>9023.1565033506959</v>
      </c>
    </row>
    <row r="218" spans="1:34">
      <c r="A218" t="s">
        <v>401</v>
      </c>
      <c r="C218" s="336">
        <f>C141</f>
        <v>6885.7186500000007</v>
      </c>
      <c r="D218" s="336">
        <f t="shared" ref="D218:AH218" si="129">D141</f>
        <v>7167.3134489695949</v>
      </c>
      <c r="E218" s="336">
        <f t="shared" si="129"/>
        <v>6891.0182891333079</v>
      </c>
      <c r="F218" s="336">
        <f t="shared" si="129"/>
        <v>6856.7189108873145</v>
      </c>
      <c r="G218" s="336">
        <f t="shared" si="129"/>
        <v>6755.9727511354467</v>
      </c>
      <c r="H218" s="408">
        <f t="shared" si="129"/>
        <v>6819.7013170271402</v>
      </c>
      <c r="I218" s="14">
        <f t="shared" si="129"/>
        <v>7039.932763490302</v>
      </c>
      <c r="J218" s="14">
        <f t="shared" si="129"/>
        <v>7159.2166693322442</v>
      </c>
      <c r="K218" s="14">
        <f t="shared" si="129"/>
        <v>7473.4060203244408</v>
      </c>
      <c r="L218" s="14">
        <f t="shared" si="129"/>
        <v>7658.9726507431069</v>
      </c>
      <c r="M218" s="14">
        <f t="shared" si="129"/>
        <v>7835.7601245726319</v>
      </c>
      <c r="N218" s="188">
        <f t="shared" si="129"/>
        <v>8016.9248489627716</v>
      </c>
      <c r="O218" s="14">
        <f t="shared" si="129"/>
        <v>8058.7484219212356</v>
      </c>
      <c r="P218" s="14">
        <f t="shared" si="129"/>
        <v>8105.9175648064229</v>
      </c>
      <c r="Q218" s="14">
        <f t="shared" si="129"/>
        <v>8069.3343412242393</v>
      </c>
      <c r="R218" s="14">
        <f t="shared" si="129"/>
        <v>8094.3839803239016</v>
      </c>
      <c r="S218" s="14">
        <f t="shared" si="129"/>
        <v>8072.2130896675344</v>
      </c>
      <c r="T218" s="14">
        <f t="shared" si="129"/>
        <v>8014.5460078902533</v>
      </c>
      <c r="U218" s="14">
        <f t="shared" si="129"/>
        <v>8078.917375364681</v>
      </c>
      <c r="V218" s="14">
        <f t="shared" si="129"/>
        <v>8034.3142419446585</v>
      </c>
      <c r="W218" s="14">
        <f t="shared" si="129"/>
        <v>8038.8811199383672</v>
      </c>
      <c r="X218" s="188">
        <f t="shared" si="129"/>
        <v>8016.9257268187202</v>
      </c>
      <c r="Y218" s="159">
        <f t="shared" si="129"/>
        <v>7971.558349160634</v>
      </c>
      <c r="Z218" s="159">
        <f t="shared" si="129"/>
        <v>7957.7458229004878</v>
      </c>
      <c r="AA218" s="159">
        <f t="shared" si="129"/>
        <v>7965.8616526504356</v>
      </c>
      <c r="AB218" s="159">
        <f t="shared" si="129"/>
        <v>8004.3965540689278</v>
      </c>
      <c r="AC218" s="159">
        <f t="shared" si="129"/>
        <v>7983.2554785308812</v>
      </c>
      <c r="AD218" s="159">
        <f t="shared" si="129"/>
        <v>7996.1247502430033</v>
      </c>
      <c r="AE218" s="159">
        <f t="shared" si="129"/>
        <v>8000.9252305091777</v>
      </c>
      <c r="AF218" s="159">
        <f t="shared" si="129"/>
        <v>7990.09640921748</v>
      </c>
      <c r="AG218" s="159">
        <f t="shared" si="129"/>
        <v>8072.8773116418788</v>
      </c>
      <c r="AH218" s="188">
        <f t="shared" si="129"/>
        <v>8120.8408530156257</v>
      </c>
    </row>
    <row r="219" spans="1:34" s="1" customFormat="1">
      <c r="A219" s="1" t="s">
        <v>393</v>
      </c>
      <c r="B219" s="13"/>
      <c r="C219" s="346">
        <f>SUM(C220:C221)</f>
        <v>9249.9219999999987</v>
      </c>
      <c r="D219" s="346">
        <f t="shared" ref="D219:AH219" si="130">SUM(D220:D221)</f>
        <v>9625.6986082130734</v>
      </c>
      <c r="E219" s="346">
        <f t="shared" si="130"/>
        <v>9157.5562305664134</v>
      </c>
      <c r="F219" s="346">
        <f t="shared" si="130"/>
        <v>9026.2324297239829</v>
      </c>
      <c r="G219" s="346">
        <f t="shared" si="130"/>
        <v>8770.6079043128302</v>
      </c>
      <c r="H219" s="411">
        <f t="shared" si="130"/>
        <v>9263.9852015238484</v>
      </c>
      <c r="I219" s="15">
        <f t="shared" si="130"/>
        <v>9417.6232611692558</v>
      </c>
      <c r="J219" s="15">
        <f t="shared" si="130"/>
        <v>9312.3820257761981</v>
      </c>
      <c r="K219" s="15">
        <f t="shared" si="130"/>
        <v>9652.8877302114197</v>
      </c>
      <c r="L219" s="15">
        <f t="shared" si="130"/>
        <v>9694.0366973780856</v>
      </c>
      <c r="M219" s="15">
        <f t="shared" si="130"/>
        <v>9700.8698523179792</v>
      </c>
      <c r="N219" s="191">
        <f t="shared" si="130"/>
        <v>9685.0382416964603</v>
      </c>
      <c r="O219" s="15">
        <f t="shared" si="130"/>
        <v>9912.504271652404</v>
      </c>
      <c r="P219" s="15">
        <f t="shared" si="130"/>
        <v>10200.838689277345</v>
      </c>
      <c r="Q219" s="15">
        <f t="shared" si="130"/>
        <v>10362.381072094933</v>
      </c>
      <c r="R219" s="15">
        <f t="shared" si="130"/>
        <v>10606.375915005796</v>
      </c>
      <c r="S219" s="15">
        <f t="shared" si="130"/>
        <v>10798.201601973877</v>
      </c>
      <c r="T219" s="15">
        <f t="shared" si="130"/>
        <v>10949.737243838661</v>
      </c>
      <c r="U219" s="15">
        <f t="shared" si="130"/>
        <v>11265.260965161167</v>
      </c>
      <c r="V219" s="15">
        <f t="shared" si="130"/>
        <v>11428.56289383892</v>
      </c>
      <c r="W219" s="15">
        <f t="shared" si="130"/>
        <v>11661.188941717359</v>
      </c>
      <c r="X219" s="191">
        <f t="shared" si="130"/>
        <v>11857.977356426145</v>
      </c>
      <c r="Y219" s="131">
        <f t="shared" si="130"/>
        <v>11908.280259459429</v>
      </c>
      <c r="Z219" s="131">
        <f t="shared" si="130"/>
        <v>12006.012876147393</v>
      </c>
      <c r="AA219" s="131">
        <f t="shared" si="130"/>
        <v>12139.191733774755</v>
      </c>
      <c r="AB219" s="131">
        <f t="shared" si="130"/>
        <v>12319.118844816667</v>
      </c>
      <c r="AC219" s="131">
        <f t="shared" si="130"/>
        <v>12408.456835405737</v>
      </c>
      <c r="AD219" s="131">
        <f t="shared" si="130"/>
        <v>12551.779548290622</v>
      </c>
      <c r="AE219" s="131">
        <f t="shared" si="130"/>
        <v>12683.630257101435</v>
      </c>
      <c r="AF219" s="131">
        <f t="shared" si="130"/>
        <v>12791.875267218644</v>
      </c>
      <c r="AG219" s="131">
        <f t="shared" si="130"/>
        <v>13052.74687999683</v>
      </c>
      <c r="AH219" s="191">
        <f t="shared" si="130"/>
        <v>13260.705359207175</v>
      </c>
    </row>
    <row r="220" spans="1:34">
      <c r="A220" t="s">
        <v>402</v>
      </c>
      <c r="C220" s="336">
        <f>SUM(C116:C117)</f>
        <v>4868.38</v>
      </c>
      <c r="D220" s="336">
        <f t="shared" ref="D220:AH220" si="131">SUM(D116:D117)</f>
        <v>5066.1571622174069</v>
      </c>
      <c r="E220" s="336">
        <f t="shared" si="131"/>
        <v>4819.766437140217</v>
      </c>
      <c r="F220" s="336">
        <f t="shared" si="131"/>
        <v>4750.6486472231481</v>
      </c>
      <c r="G220" s="336">
        <f t="shared" si="131"/>
        <v>4616.1094233225422</v>
      </c>
      <c r="H220" s="408">
        <f t="shared" si="131"/>
        <v>4875.7816850125519</v>
      </c>
      <c r="I220" s="14">
        <f t="shared" si="131"/>
        <v>4956.643821668029</v>
      </c>
      <c r="J220" s="14">
        <f t="shared" si="131"/>
        <v>4901.253697776946</v>
      </c>
      <c r="K220" s="14">
        <f t="shared" si="131"/>
        <v>5080.467226427063</v>
      </c>
      <c r="L220" s="14">
        <f t="shared" si="131"/>
        <v>5102.1245775674133</v>
      </c>
      <c r="M220" s="14">
        <f t="shared" si="131"/>
        <v>5105.7209749041995</v>
      </c>
      <c r="N220" s="188">
        <f t="shared" si="131"/>
        <v>5097.388548261295</v>
      </c>
      <c r="O220" s="14">
        <f t="shared" si="131"/>
        <v>5217.1075113960014</v>
      </c>
      <c r="P220" s="14">
        <f t="shared" si="131"/>
        <v>5368.8624680407083</v>
      </c>
      <c r="Q220" s="14">
        <f t="shared" si="131"/>
        <v>5453.8847747868076</v>
      </c>
      <c r="R220" s="14">
        <f t="shared" si="131"/>
        <v>5582.303113160945</v>
      </c>
      <c r="S220" s="14">
        <f t="shared" si="131"/>
        <v>5683.2640010388823</v>
      </c>
      <c r="T220" s="14">
        <f t="shared" si="131"/>
        <v>5763.0196020203475</v>
      </c>
      <c r="U220" s="14">
        <f t="shared" si="131"/>
        <v>5929.0847185058774</v>
      </c>
      <c r="V220" s="14">
        <f t="shared" si="131"/>
        <v>6015.0331020204849</v>
      </c>
      <c r="W220" s="14">
        <f t="shared" si="131"/>
        <v>6137.4678640617676</v>
      </c>
      <c r="X220" s="188">
        <f t="shared" si="131"/>
        <v>6241.0407139084973</v>
      </c>
      <c r="Y220" s="159">
        <f t="shared" si="131"/>
        <v>6267.5159260312785</v>
      </c>
      <c r="Z220" s="159">
        <f t="shared" si="131"/>
        <v>6318.9541453407337</v>
      </c>
      <c r="AA220" s="159">
        <f t="shared" si="131"/>
        <v>6389.048280934081</v>
      </c>
      <c r="AB220" s="159">
        <f t="shared" si="131"/>
        <v>6483.7467604298245</v>
      </c>
      <c r="AC220" s="159">
        <f t="shared" si="131"/>
        <v>6530.7667554767031</v>
      </c>
      <c r="AD220" s="159">
        <f t="shared" si="131"/>
        <v>6606.1997622582221</v>
      </c>
      <c r="AE220" s="159">
        <f t="shared" si="131"/>
        <v>6675.5948721586501</v>
      </c>
      <c r="AF220" s="159">
        <f t="shared" si="131"/>
        <v>6732.5659301150754</v>
      </c>
      <c r="AG220" s="159">
        <f t="shared" si="131"/>
        <v>6869.8667789457004</v>
      </c>
      <c r="AH220" s="188">
        <f t="shared" si="131"/>
        <v>6979.3186101090396</v>
      </c>
    </row>
    <row r="221" spans="1:34">
      <c r="A221" t="s">
        <v>403</v>
      </c>
      <c r="C221" s="336">
        <f>SUM(C143:C144)</f>
        <v>4381.5419999999995</v>
      </c>
      <c r="D221" s="336">
        <f t="shared" ref="D221:AH221" si="132">SUM(D143:D144)</f>
        <v>4559.5414459956664</v>
      </c>
      <c r="E221" s="336">
        <f t="shared" si="132"/>
        <v>4337.7897934261955</v>
      </c>
      <c r="F221" s="336">
        <f t="shared" si="132"/>
        <v>4275.5837825008339</v>
      </c>
      <c r="G221" s="336">
        <f t="shared" si="132"/>
        <v>4154.498480990288</v>
      </c>
      <c r="H221" s="408">
        <f t="shared" si="132"/>
        <v>4388.2035165112966</v>
      </c>
      <c r="I221" s="14">
        <f t="shared" si="132"/>
        <v>4460.9794395012268</v>
      </c>
      <c r="J221" s="14">
        <f t="shared" si="132"/>
        <v>4411.1283279992513</v>
      </c>
      <c r="K221" s="14">
        <f t="shared" si="132"/>
        <v>4572.4205037843567</v>
      </c>
      <c r="L221" s="14">
        <f t="shared" si="132"/>
        <v>4591.9121198106723</v>
      </c>
      <c r="M221" s="14">
        <f t="shared" si="132"/>
        <v>4595.1488774137797</v>
      </c>
      <c r="N221" s="188">
        <f t="shared" si="132"/>
        <v>4587.6496934351653</v>
      </c>
      <c r="O221" s="14">
        <f t="shared" si="132"/>
        <v>4695.3967602564016</v>
      </c>
      <c r="P221" s="14">
        <f t="shared" si="132"/>
        <v>4831.9762212366377</v>
      </c>
      <c r="Q221" s="14">
        <f t="shared" si="132"/>
        <v>4908.4962973081265</v>
      </c>
      <c r="R221" s="14">
        <f t="shared" si="132"/>
        <v>5024.0728018448508</v>
      </c>
      <c r="S221" s="14">
        <f t="shared" si="132"/>
        <v>5114.9376009349944</v>
      </c>
      <c r="T221" s="14">
        <f t="shared" si="132"/>
        <v>5186.7176418183135</v>
      </c>
      <c r="U221" s="14">
        <f t="shared" si="132"/>
        <v>5336.1762466552891</v>
      </c>
      <c r="V221" s="14">
        <f t="shared" si="132"/>
        <v>5413.529791818436</v>
      </c>
      <c r="W221" s="14">
        <f t="shared" si="132"/>
        <v>5523.7210776555912</v>
      </c>
      <c r="X221" s="188">
        <f t="shared" si="132"/>
        <v>5616.9366425176486</v>
      </c>
      <c r="Y221" s="159">
        <f t="shared" si="132"/>
        <v>5640.7643334281511</v>
      </c>
      <c r="Z221" s="159">
        <f t="shared" si="132"/>
        <v>5687.0587308066606</v>
      </c>
      <c r="AA221" s="159">
        <f t="shared" si="132"/>
        <v>5750.1434528406735</v>
      </c>
      <c r="AB221" s="159">
        <f t="shared" si="132"/>
        <v>5835.3720843868423</v>
      </c>
      <c r="AC221" s="159">
        <f t="shared" si="132"/>
        <v>5877.6900799290333</v>
      </c>
      <c r="AD221" s="159">
        <f t="shared" si="132"/>
        <v>5945.5797860324001</v>
      </c>
      <c r="AE221" s="159">
        <f t="shared" si="132"/>
        <v>6008.0353849427847</v>
      </c>
      <c r="AF221" s="159">
        <f t="shared" si="132"/>
        <v>6059.3093371035684</v>
      </c>
      <c r="AG221" s="159">
        <f t="shared" si="132"/>
        <v>6182.8801010511306</v>
      </c>
      <c r="AH221" s="188">
        <f t="shared" si="132"/>
        <v>6281.3867490981356</v>
      </c>
    </row>
    <row r="222" spans="1:34">
      <c r="A222" s="1" t="s">
        <v>425</v>
      </c>
      <c r="C222" s="336">
        <f>SUM(C210,C213,C216,C219)</f>
        <v>24468.278010000002</v>
      </c>
      <c r="D222" s="336">
        <f t="shared" ref="D222:AH222" si="133">SUM(D210,D213,D216,D219)</f>
        <v>25566.751713982107</v>
      </c>
      <c r="E222" s="336">
        <f t="shared" si="133"/>
        <v>24600.484600052598</v>
      </c>
      <c r="F222" s="336">
        <f t="shared" si="133"/>
        <v>24526.806550961475</v>
      </c>
      <c r="G222" s="336">
        <f t="shared" si="133"/>
        <v>24173.716357202986</v>
      </c>
      <c r="H222" s="408">
        <f t="shared" si="133"/>
        <v>24542.040650116123</v>
      </c>
      <c r="I222" s="14">
        <f t="shared" si="133"/>
        <v>25316.314183559036</v>
      </c>
      <c r="J222" s="14">
        <f t="shared" si="133"/>
        <v>25830.282031298571</v>
      </c>
      <c r="K222" s="14">
        <f t="shared" si="133"/>
        <v>26862.742626307037</v>
      </c>
      <c r="L222" s="14">
        <f t="shared" si="133"/>
        <v>27539.606846087314</v>
      </c>
      <c r="M222" s="14">
        <f t="shared" si="133"/>
        <v>28202.724426353896</v>
      </c>
      <c r="N222" s="188">
        <f t="shared" si="133"/>
        <v>28901.238058540981</v>
      </c>
      <c r="O222" s="14">
        <f t="shared" si="133"/>
        <v>29378.954696067929</v>
      </c>
      <c r="P222" s="14">
        <f t="shared" si="133"/>
        <v>29844.61551393698</v>
      </c>
      <c r="Q222" s="14">
        <f t="shared" si="133"/>
        <v>30031.88661534655</v>
      </c>
      <c r="R222" s="14">
        <f t="shared" si="133"/>
        <v>30457.211441981985</v>
      </c>
      <c r="S222" s="14">
        <f t="shared" si="133"/>
        <v>30720.408008909933</v>
      </c>
      <c r="T222" s="14">
        <f t="shared" si="133"/>
        <v>30860.528950858301</v>
      </c>
      <c r="U222" s="14">
        <f t="shared" si="133"/>
        <v>31474.364040171455</v>
      </c>
      <c r="V222" s="14">
        <f t="shared" si="133"/>
        <v>31670.455467575346</v>
      </c>
      <c r="W222" s="14">
        <f t="shared" si="133"/>
        <v>32066.128858089323</v>
      </c>
      <c r="X222" s="188">
        <f t="shared" si="133"/>
        <v>32365.771231111594</v>
      </c>
      <c r="Y222" s="159">
        <f t="shared" si="133"/>
        <v>32316.740652949753</v>
      </c>
      <c r="Z222" s="159">
        <f t="shared" si="133"/>
        <v>32395.95849586539</v>
      </c>
      <c r="AA222" s="159">
        <f t="shared" si="133"/>
        <v>32566.956808222698</v>
      </c>
      <c r="AB222" s="159">
        <f t="shared" si="133"/>
        <v>32862.973001962979</v>
      </c>
      <c r="AC222" s="159">
        <f t="shared" si="133"/>
        <v>32915.439697143083</v>
      </c>
      <c r="AD222" s="159">
        <f t="shared" si="133"/>
        <v>33109.40454310675</v>
      </c>
      <c r="AE222" s="159">
        <f t="shared" si="133"/>
        <v>33271.361707743068</v>
      </c>
      <c r="AF222" s="159">
        <f t="shared" si="133"/>
        <v>33369.655109721571</v>
      </c>
      <c r="AG222" s="159">
        <f t="shared" si="133"/>
        <v>33861.99638678936</v>
      </c>
      <c r="AH222" s="188">
        <f t="shared" si="133"/>
        <v>34212.15281740488</v>
      </c>
    </row>
    <row r="223" spans="1:34" s="1" customFormat="1">
      <c r="A223" s="1" t="s">
        <v>443</v>
      </c>
      <c r="B223" s="13"/>
      <c r="C223" s="333" t="s">
        <v>0</v>
      </c>
      <c r="D223" s="346">
        <f>D210+D213</f>
        <v>810.05804683322356</v>
      </c>
      <c r="E223" s="346">
        <f t="shared" ref="E223:AH223" si="134">E210+E213</f>
        <v>895.22309242697975</v>
      </c>
      <c r="F223" s="346">
        <f t="shared" si="134"/>
        <v>1025.2786426976045</v>
      </c>
      <c r="G223" s="346">
        <f t="shared" si="134"/>
        <v>1140.4993116042137</v>
      </c>
      <c r="H223" s="411">
        <f>H210+H213</f>
        <v>880.90822375719983</v>
      </c>
      <c r="I223" s="15">
        <f t="shared" si="134"/>
        <v>1036.6106439102509</v>
      </c>
      <c r="J223" s="15">
        <f t="shared" si="134"/>
        <v>1403.998148043192</v>
      </c>
      <c r="K223" s="15">
        <f t="shared" si="134"/>
        <v>1432.6644087440218</v>
      </c>
      <c r="L223" s="15">
        <f t="shared" si="134"/>
        <v>1676.6278860293382</v>
      </c>
      <c r="M223" s="15">
        <f t="shared" si="134"/>
        <v>1959.6943110492521</v>
      </c>
      <c r="N223" s="191">
        <f t="shared" si="134"/>
        <v>2291.5806912564485</v>
      </c>
      <c r="O223" s="15">
        <f t="shared" si="134"/>
        <v>2453.5370892484698</v>
      </c>
      <c r="P223" s="15">
        <f t="shared" si="134"/>
        <v>2531.2841878460758</v>
      </c>
      <c r="Q223" s="15">
        <f t="shared" si="134"/>
        <v>2634.244156222665</v>
      </c>
      <c r="R223" s="15">
        <f t="shared" si="134"/>
        <v>2762.6915685146205</v>
      </c>
      <c r="S223" s="15">
        <f t="shared" si="134"/>
        <v>2880.8676620823726</v>
      </c>
      <c r="T223" s="15">
        <f t="shared" si="134"/>
        <v>2991.1945792513252</v>
      </c>
      <c r="U223" s="15">
        <f t="shared" si="134"/>
        <v>3153.6108381292952</v>
      </c>
      <c r="V223" s="15">
        <f t="shared" si="134"/>
        <v>3280.562507408813</v>
      </c>
      <c r="W223" s="15">
        <f t="shared" si="134"/>
        <v>3433.9686631687437</v>
      </c>
      <c r="X223" s="191">
        <f t="shared" si="134"/>
        <v>3583.1728958459298</v>
      </c>
      <c r="Y223" s="131">
        <f t="shared" si="134"/>
        <v>3579.6149897067635</v>
      </c>
      <c r="Z223" s="131">
        <f t="shared" si="134"/>
        <v>3590.2599935947419</v>
      </c>
      <c r="AA223" s="131">
        <f t="shared" si="134"/>
        <v>3610.9460299636885</v>
      </c>
      <c r="AB223" s="131">
        <f t="shared" si="134"/>
        <v>3645.6836541119137</v>
      </c>
      <c r="AC223" s="131">
        <f t="shared" si="134"/>
        <v>3653.4435181721556</v>
      </c>
      <c r="AD223" s="131">
        <f t="shared" si="134"/>
        <v>3676.9171887475632</v>
      </c>
      <c r="AE223" s="131">
        <f t="shared" si="134"/>
        <v>3696.8892973444808</v>
      </c>
      <c r="AF223" s="131">
        <f t="shared" si="134"/>
        <v>3709.7985341549138</v>
      </c>
      <c r="AG223" s="131">
        <f t="shared" si="134"/>
        <v>3766.5085155485658</v>
      </c>
      <c r="AH223" s="191">
        <f t="shared" si="134"/>
        <v>3807.4501018313827</v>
      </c>
    </row>
    <row r="224" spans="1:34">
      <c r="A224" t="s">
        <v>446</v>
      </c>
      <c r="D224" s="336">
        <f>D210+D213+D216</f>
        <v>15941.053105769035</v>
      </c>
      <c r="E224" s="336">
        <f t="shared" ref="E224:AH224" si="135">E210+E213+E216</f>
        <v>15442.928369486184</v>
      </c>
      <c r="F224" s="336">
        <f t="shared" si="135"/>
        <v>15500.574121237492</v>
      </c>
      <c r="G224" s="336">
        <f t="shared" si="135"/>
        <v>15403.108452890156</v>
      </c>
      <c r="H224" s="408">
        <f t="shared" si="135"/>
        <v>15278.055448592275</v>
      </c>
      <c r="I224" s="14">
        <f t="shared" si="135"/>
        <v>15898.690922389778</v>
      </c>
      <c r="J224" s="14">
        <f t="shared" si="135"/>
        <v>16517.900005522373</v>
      </c>
      <c r="K224" s="14">
        <f t="shared" si="135"/>
        <v>17209.854896095618</v>
      </c>
      <c r="L224" s="14">
        <f t="shared" si="135"/>
        <v>17845.57014870923</v>
      </c>
      <c r="M224" s="14">
        <f t="shared" si="135"/>
        <v>18501.854574035919</v>
      </c>
      <c r="N224" s="188">
        <f t="shared" si="135"/>
        <v>19216.199816844521</v>
      </c>
      <c r="O224" s="14">
        <f t="shared" si="135"/>
        <v>19466.450424415525</v>
      </c>
      <c r="P224" s="14">
        <f t="shared" si="135"/>
        <v>19643.776824659635</v>
      </c>
      <c r="Q224" s="14">
        <f t="shared" si="135"/>
        <v>19669.505543251616</v>
      </c>
      <c r="R224" s="14">
        <f t="shared" si="135"/>
        <v>19850.835526976189</v>
      </c>
      <c r="S224" s="14">
        <f t="shared" si="135"/>
        <v>19922.206406936057</v>
      </c>
      <c r="T224" s="14">
        <f t="shared" si="135"/>
        <v>19910.791707019638</v>
      </c>
      <c r="U224" s="14">
        <f t="shared" si="135"/>
        <v>20209.103075010287</v>
      </c>
      <c r="V224" s="14">
        <f t="shared" si="135"/>
        <v>20241.892573736426</v>
      </c>
      <c r="W224" s="14">
        <f t="shared" si="135"/>
        <v>20404.939916371965</v>
      </c>
      <c r="X224" s="188">
        <f t="shared" si="135"/>
        <v>20507.793874685449</v>
      </c>
      <c r="Y224" s="159">
        <f t="shared" si="135"/>
        <v>20408.460393490324</v>
      </c>
      <c r="Z224" s="159">
        <f t="shared" si="135"/>
        <v>20389.945619717997</v>
      </c>
      <c r="AA224" s="159">
        <f t="shared" si="135"/>
        <v>20427.765074447943</v>
      </c>
      <c r="AB224" s="159">
        <f t="shared" si="135"/>
        <v>20543.854157146314</v>
      </c>
      <c r="AC224" s="159">
        <f t="shared" si="135"/>
        <v>20506.98286173735</v>
      </c>
      <c r="AD224" s="159">
        <f t="shared" si="135"/>
        <v>20557.624994816124</v>
      </c>
      <c r="AE224" s="159">
        <f t="shared" si="135"/>
        <v>20587.731450641637</v>
      </c>
      <c r="AF224" s="159">
        <f t="shared" si="135"/>
        <v>20577.779842502925</v>
      </c>
      <c r="AG224" s="159">
        <f t="shared" si="135"/>
        <v>20809.24950679253</v>
      </c>
      <c r="AH224" s="188">
        <f t="shared" si="135"/>
        <v>20951.447458197705</v>
      </c>
    </row>
    <row r="225" spans="1:34">
      <c r="D225" s="336"/>
      <c r="E225" s="336"/>
      <c r="F225" s="336"/>
      <c r="G225" s="336"/>
      <c r="H225" s="408"/>
      <c r="I225" s="14"/>
      <c r="J225" s="14"/>
      <c r="K225" s="14"/>
      <c r="L225" s="14"/>
      <c r="M225" s="14"/>
      <c r="N225" s="188"/>
      <c r="O225" s="14"/>
      <c r="P225" s="14"/>
      <c r="Q225" s="14"/>
      <c r="R225" s="14"/>
      <c r="S225" s="14"/>
      <c r="T225" s="14"/>
      <c r="U225" s="14"/>
      <c r="V225" s="14"/>
      <c r="W225" s="14"/>
      <c r="X225" s="188"/>
    </row>
    <row r="226" spans="1:34">
      <c r="A226" s="1" t="s">
        <v>453</v>
      </c>
      <c r="D226" s="336">
        <f>D210+D213</f>
        <v>810.05804683322356</v>
      </c>
      <c r="E226" s="336">
        <f>D226+E210+E213</f>
        <v>1705.2811392602034</v>
      </c>
      <c r="F226" s="336">
        <f>E226+F210+F213</f>
        <v>2730.5597819578079</v>
      </c>
      <c r="G226" s="336">
        <f>F226+G210+G213</f>
        <v>3871.0590935620216</v>
      </c>
      <c r="H226" s="408">
        <f t="shared" ref="H226:X226" si="136">G226+H210+H213</f>
        <v>4751.9673173192214</v>
      </c>
      <c r="I226" s="14">
        <f t="shared" si="136"/>
        <v>5788.5779612294718</v>
      </c>
      <c r="J226" s="14">
        <f t="shared" si="136"/>
        <v>7192.5761092726643</v>
      </c>
      <c r="K226" s="14">
        <f t="shared" si="136"/>
        <v>8625.2405180166861</v>
      </c>
      <c r="L226" s="14">
        <f t="shared" si="136"/>
        <v>10301.868404046025</v>
      </c>
      <c r="M226" s="14">
        <f t="shared" si="136"/>
        <v>12261.562715095277</v>
      </c>
      <c r="N226" s="188">
        <f t="shared" si="136"/>
        <v>14553.143406351726</v>
      </c>
      <c r="O226" s="14">
        <f t="shared" si="136"/>
        <v>17006.680495600194</v>
      </c>
      <c r="P226" s="14">
        <f t="shared" si="136"/>
        <v>19537.964683446269</v>
      </c>
      <c r="Q226" s="14">
        <f t="shared" si="136"/>
        <v>22172.208839668936</v>
      </c>
      <c r="R226" s="14">
        <f t="shared" si="136"/>
        <v>24934.900408183556</v>
      </c>
      <c r="S226" s="14">
        <f t="shared" si="136"/>
        <v>27815.768070265927</v>
      </c>
      <c r="T226" s="14">
        <f t="shared" si="136"/>
        <v>30806.962649517252</v>
      </c>
      <c r="U226" s="14">
        <f t="shared" si="136"/>
        <v>33960.57348764655</v>
      </c>
      <c r="V226" s="14">
        <f t="shared" si="136"/>
        <v>37241.13599505536</v>
      </c>
      <c r="W226" s="14">
        <f t="shared" si="136"/>
        <v>40675.104658224103</v>
      </c>
      <c r="X226" s="188">
        <f t="shared" si="136"/>
        <v>44258.277554070031</v>
      </c>
      <c r="Y226" s="159">
        <f t="shared" ref="Y226:AH226" si="137">X226+Y210+Y213</f>
        <v>47837.892543776798</v>
      </c>
      <c r="Z226" s="159">
        <f t="shared" si="137"/>
        <v>51428.152537371541</v>
      </c>
      <c r="AA226" s="159">
        <f t="shared" si="137"/>
        <v>55039.098567335226</v>
      </c>
      <c r="AB226" s="159">
        <f t="shared" si="137"/>
        <v>58684.782221447138</v>
      </c>
      <c r="AC226" s="159">
        <f t="shared" si="137"/>
        <v>62338.225739619294</v>
      </c>
      <c r="AD226" s="159">
        <f t="shared" si="137"/>
        <v>66015.142928366855</v>
      </c>
      <c r="AE226" s="159">
        <f t="shared" si="137"/>
        <v>69712.032225711329</v>
      </c>
      <c r="AF226" s="159">
        <f t="shared" si="137"/>
        <v>73421.83075986625</v>
      </c>
      <c r="AG226" s="159">
        <f t="shared" si="137"/>
        <v>77188.339275414823</v>
      </c>
      <c r="AH226" s="188">
        <f t="shared" si="137"/>
        <v>80995.789377246212</v>
      </c>
    </row>
    <row r="227" spans="1:34">
      <c r="A227" s="1" t="s">
        <v>454</v>
      </c>
      <c r="D227" s="336">
        <f>D219</f>
        <v>9625.6986082130734</v>
      </c>
      <c r="E227" s="336">
        <f>D227+E219</f>
        <v>18783.254838779489</v>
      </c>
      <c r="F227" s="336">
        <f>E227+F219</f>
        <v>27809.487268503472</v>
      </c>
      <c r="G227" s="336">
        <f t="shared" ref="G227:X227" si="138">F227+G219</f>
        <v>36580.095172816305</v>
      </c>
      <c r="H227" s="408">
        <f t="shared" si="138"/>
        <v>45844.080374340156</v>
      </c>
      <c r="I227" s="14">
        <f t="shared" si="138"/>
        <v>55261.70363550941</v>
      </c>
      <c r="J227" s="14">
        <f t="shared" si="138"/>
        <v>64574.085661285608</v>
      </c>
      <c r="K227" s="14">
        <f t="shared" si="138"/>
        <v>74226.973391497027</v>
      </c>
      <c r="L227" s="14">
        <f t="shared" si="138"/>
        <v>83921.010088875119</v>
      </c>
      <c r="M227" s="14">
        <f t="shared" si="138"/>
        <v>93621.879941193096</v>
      </c>
      <c r="N227" s="188">
        <f t="shared" si="138"/>
        <v>103306.91818288955</v>
      </c>
      <c r="O227" s="14">
        <f t="shared" si="138"/>
        <v>113219.42245454196</v>
      </c>
      <c r="P227" s="14">
        <f t="shared" si="138"/>
        <v>123420.2611438193</v>
      </c>
      <c r="Q227" s="14">
        <f t="shared" si="138"/>
        <v>133782.64221591424</v>
      </c>
      <c r="R227" s="14">
        <f t="shared" si="138"/>
        <v>144389.01813092004</v>
      </c>
      <c r="S227" s="14">
        <f t="shared" si="138"/>
        <v>155187.21973289392</v>
      </c>
      <c r="T227" s="14">
        <f t="shared" si="138"/>
        <v>166136.95697673259</v>
      </c>
      <c r="U227" s="14">
        <f t="shared" si="138"/>
        <v>177402.21794189376</v>
      </c>
      <c r="V227" s="14">
        <f t="shared" si="138"/>
        <v>188830.78083573267</v>
      </c>
      <c r="W227" s="14">
        <f t="shared" si="138"/>
        <v>200491.96977745002</v>
      </c>
      <c r="X227" s="188">
        <f t="shared" si="138"/>
        <v>212349.94713387618</v>
      </c>
      <c r="Y227" s="159">
        <f t="shared" ref="Y227:AH227" si="139">X227+Y219</f>
        <v>224258.2273933356</v>
      </c>
      <c r="Z227" s="159">
        <f t="shared" si="139"/>
        <v>236264.24026948301</v>
      </c>
      <c r="AA227" s="159">
        <f t="shared" si="139"/>
        <v>248403.43200325777</v>
      </c>
      <c r="AB227" s="159">
        <f t="shared" si="139"/>
        <v>260722.55084807443</v>
      </c>
      <c r="AC227" s="159">
        <f t="shared" si="139"/>
        <v>273131.00768348016</v>
      </c>
      <c r="AD227" s="159">
        <f t="shared" si="139"/>
        <v>285682.78723177081</v>
      </c>
      <c r="AE227" s="159">
        <f t="shared" si="139"/>
        <v>298366.41748887225</v>
      </c>
      <c r="AF227" s="159">
        <f t="shared" si="139"/>
        <v>311158.29275609087</v>
      </c>
      <c r="AG227" s="159">
        <f t="shared" si="139"/>
        <v>324211.03963608772</v>
      </c>
      <c r="AH227" s="188">
        <f t="shared" si="139"/>
        <v>337471.7449952949</v>
      </c>
    </row>
    <row r="228" spans="1:34">
      <c r="A228" s="1" t="s">
        <v>456</v>
      </c>
      <c r="D228" s="336">
        <f t="shared" ref="D228:AH228" si="140">D227-D207</f>
        <v>-531.28339178692841</v>
      </c>
      <c r="E228" s="336">
        <f t="shared" si="140"/>
        <v>-814.23110076528974</v>
      </c>
      <c r="F228" s="336">
        <f t="shared" si="140"/>
        <v>-1077.2399169761302</v>
      </c>
      <c r="G228" s="336">
        <f t="shared" si="140"/>
        <v>-1152.6740616371026</v>
      </c>
      <c r="H228" s="408">
        <f>H227-H207</f>
        <v>-1152.9457616371001</v>
      </c>
      <c r="I228" s="14">
        <f t="shared" si="140"/>
        <v>-1291.3528082316407</v>
      </c>
      <c r="J228" s="14">
        <f t="shared" si="140"/>
        <v>-1455.7267736011054</v>
      </c>
      <c r="K228" s="14">
        <f t="shared" si="140"/>
        <v>-1705.9712851388322</v>
      </c>
      <c r="L228" s="14">
        <f t="shared" si="140"/>
        <v>-1860.4899460326124</v>
      </c>
      <c r="M228" s="14">
        <f t="shared" si="140"/>
        <v>-1934.4152718328114</v>
      </c>
      <c r="N228" s="188">
        <f t="shared" si="140"/>
        <v>-2175.8940426682238</v>
      </c>
      <c r="O228" s="14">
        <f t="shared" si="140"/>
        <v>-2256.4355276501155</v>
      </c>
      <c r="P228" s="14">
        <f t="shared" si="140"/>
        <v>-2432.0325895012647</v>
      </c>
      <c r="Q228" s="14">
        <f t="shared" si="140"/>
        <v>-2552.7429648723337</v>
      </c>
      <c r="R228" s="14">
        <f t="shared" si="140"/>
        <v>-2774.7412169891759</v>
      </c>
      <c r="S228" s="14">
        <f t="shared" si="140"/>
        <v>-3010.3481691382185</v>
      </c>
      <c r="T228" s="14">
        <f t="shared" si="140"/>
        <v>-3207.7486486058042</v>
      </c>
      <c r="U228" s="14">
        <f t="shared" si="140"/>
        <v>-3609.1392607688031</v>
      </c>
      <c r="V228" s="14">
        <f t="shared" si="140"/>
        <v>-3997.9323756792</v>
      </c>
      <c r="W228" s="14">
        <f t="shared" si="140"/>
        <v>-4470.7443775602151</v>
      </c>
      <c r="X228" s="188">
        <f t="shared" si="140"/>
        <v>-4997.84339841982</v>
      </c>
      <c r="Y228" s="159">
        <f t="shared" si="140"/>
        <v>-5440.6597260773415</v>
      </c>
      <c r="Z228" s="159">
        <f t="shared" si="140"/>
        <v>-5865.1018347637728</v>
      </c>
      <c r="AA228" s="159">
        <f t="shared" si="140"/>
        <v>-6311.6362078915408</v>
      </c>
      <c r="AB228" s="159">
        <f t="shared" si="140"/>
        <v>-6831.1267237939173</v>
      </c>
      <c r="AC228" s="159">
        <f t="shared" si="140"/>
        <v>-7313.8833779817214</v>
      </c>
      <c r="AD228" s="159">
        <f t="shared" si="140"/>
        <v>-7758.0593685911736</v>
      </c>
      <c r="AE228" s="159">
        <f t="shared" si="140"/>
        <v>-8198.4654668194125</v>
      </c>
      <c r="AF228" s="159">
        <f t="shared" si="140"/>
        <v>-8630.1403871463845</v>
      </c>
      <c r="AG228" s="159">
        <f t="shared" si="140"/>
        <v>-9150.9438781663775</v>
      </c>
      <c r="AH228" s="188">
        <f t="shared" si="140"/>
        <v>-9751.7199115388794</v>
      </c>
    </row>
    <row r="229" spans="1:34">
      <c r="I229" s="130"/>
      <c r="J229" s="130"/>
      <c r="K229" s="130"/>
      <c r="L229" s="130"/>
      <c r="M229" s="130"/>
      <c r="O229" s="130"/>
      <c r="P229" s="130"/>
      <c r="Q229" s="130"/>
      <c r="R229" s="130"/>
      <c r="S229" s="130"/>
      <c r="T229" s="130"/>
      <c r="U229" s="130"/>
      <c r="V229" s="130"/>
      <c r="W229" s="130"/>
    </row>
    <row r="230" spans="1:34">
      <c r="A230" s="1" t="s">
        <v>412</v>
      </c>
    </row>
    <row r="231" spans="1:34">
      <c r="A231" t="s">
        <v>413</v>
      </c>
      <c r="C231" s="336">
        <f t="shared" ref="C231:AH231" si="141">C210-C191</f>
        <v>0</v>
      </c>
      <c r="D231" s="336">
        <f t="shared" si="141"/>
        <v>0</v>
      </c>
      <c r="E231" s="336">
        <f t="shared" si="141"/>
        <v>0</v>
      </c>
      <c r="F231" s="336">
        <f t="shared" si="141"/>
        <v>0</v>
      </c>
      <c r="G231" s="336">
        <f t="shared" si="141"/>
        <v>0</v>
      </c>
      <c r="H231" s="408">
        <f t="shared" si="141"/>
        <v>0</v>
      </c>
      <c r="I231" s="14">
        <f t="shared" si="141"/>
        <v>0</v>
      </c>
      <c r="J231" s="14">
        <f t="shared" si="141"/>
        <v>0</v>
      </c>
      <c r="K231" s="14">
        <f t="shared" si="141"/>
        <v>0</v>
      </c>
      <c r="L231" s="14">
        <f t="shared" si="141"/>
        <v>0</v>
      </c>
      <c r="M231" s="14">
        <f t="shared" si="141"/>
        <v>0</v>
      </c>
      <c r="N231" s="188">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8">
        <f t="shared" si="141"/>
        <v>0</v>
      </c>
      <c r="Y231" s="159">
        <f t="shared" si="141"/>
        <v>0</v>
      </c>
      <c r="Z231" s="159">
        <f t="shared" si="141"/>
        <v>0</v>
      </c>
      <c r="AA231" s="159">
        <f t="shared" si="141"/>
        <v>0</v>
      </c>
      <c r="AB231" s="159">
        <f t="shared" si="141"/>
        <v>0</v>
      </c>
      <c r="AC231" s="159">
        <f t="shared" si="141"/>
        <v>0</v>
      </c>
      <c r="AD231" s="159">
        <f t="shared" si="141"/>
        <v>0</v>
      </c>
      <c r="AE231" s="159">
        <f t="shared" si="141"/>
        <v>0</v>
      </c>
      <c r="AF231" s="159">
        <f t="shared" si="141"/>
        <v>0</v>
      </c>
      <c r="AG231" s="159">
        <f t="shared" si="141"/>
        <v>0</v>
      </c>
      <c r="AH231" s="188">
        <f t="shared" si="141"/>
        <v>0</v>
      </c>
    </row>
    <row r="232" spans="1:34">
      <c r="A232" t="s">
        <v>414</v>
      </c>
      <c r="C232" s="336">
        <f t="shared" ref="C232:AH232" si="143">C211-C192</f>
        <v>0</v>
      </c>
      <c r="D232" s="336">
        <f t="shared" si="143"/>
        <v>0</v>
      </c>
      <c r="E232" s="336">
        <f t="shared" si="143"/>
        <v>0</v>
      </c>
      <c r="F232" s="336">
        <f t="shared" si="143"/>
        <v>0</v>
      </c>
      <c r="G232" s="336">
        <f t="shared" si="143"/>
        <v>0</v>
      </c>
      <c r="H232" s="408">
        <f t="shared" si="143"/>
        <v>0</v>
      </c>
      <c r="I232" s="14">
        <f t="shared" si="143"/>
        <v>0</v>
      </c>
      <c r="J232" s="14">
        <f t="shared" si="143"/>
        <v>0</v>
      </c>
      <c r="K232" s="14">
        <f t="shared" si="143"/>
        <v>0</v>
      </c>
      <c r="L232" s="14">
        <f t="shared" si="143"/>
        <v>0</v>
      </c>
      <c r="M232" s="14">
        <f t="shared" si="143"/>
        <v>0</v>
      </c>
      <c r="N232" s="188">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8">
        <f t="shared" si="143"/>
        <v>0</v>
      </c>
      <c r="Y232" s="159">
        <f t="shared" si="143"/>
        <v>0</v>
      </c>
      <c r="Z232" s="159">
        <f t="shared" si="143"/>
        <v>0</v>
      </c>
      <c r="AA232" s="159">
        <f t="shared" si="143"/>
        <v>0</v>
      </c>
      <c r="AB232" s="159">
        <f t="shared" si="143"/>
        <v>0</v>
      </c>
      <c r="AC232" s="159">
        <f t="shared" si="143"/>
        <v>0</v>
      </c>
      <c r="AD232" s="159">
        <f t="shared" si="143"/>
        <v>0</v>
      </c>
      <c r="AE232" s="159">
        <f t="shared" si="143"/>
        <v>0</v>
      </c>
      <c r="AF232" s="159">
        <f t="shared" si="143"/>
        <v>0</v>
      </c>
      <c r="AG232" s="159">
        <f t="shared" si="143"/>
        <v>0</v>
      </c>
      <c r="AH232" s="188">
        <f t="shared" si="143"/>
        <v>0</v>
      </c>
    </row>
    <row r="233" spans="1:34">
      <c r="A233" t="s">
        <v>415</v>
      </c>
      <c r="C233" s="336">
        <f t="shared" ref="C233:AH233" si="144">C212-C193</f>
        <v>0</v>
      </c>
      <c r="D233" s="336">
        <f t="shared" si="144"/>
        <v>0</v>
      </c>
      <c r="E233" s="336">
        <f t="shared" si="144"/>
        <v>0</v>
      </c>
      <c r="F233" s="336">
        <f t="shared" si="144"/>
        <v>0</v>
      </c>
      <c r="G233" s="336">
        <f t="shared" si="144"/>
        <v>0</v>
      </c>
      <c r="H233" s="408">
        <f t="shared" si="144"/>
        <v>0</v>
      </c>
      <c r="I233" s="14">
        <f t="shared" si="144"/>
        <v>0</v>
      </c>
      <c r="J233" s="14">
        <f t="shared" si="144"/>
        <v>0</v>
      </c>
      <c r="K233" s="14">
        <f t="shared" si="144"/>
        <v>0</v>
      </c>
      <c r="L233" s="14">
        <f t="shared" si="144"/>
        <v>0</v>
      </c>
      <c r="M233" s="14">
        <f t="shared" si="144"/>
        <v>0</v>
      </c>
      <c r="N233" s="188">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8">
        <f t="shared" si="144"/>
        <v>0</v>
      </c>
      <c r="Y233" s="159">
        <f t="shared" si="144"/>
        <v>0</v>
      </c>
      <c r="Z233" s="159">
        <f t="shared" si="144"/>
        <v>0</v>
      </c>
      <c r="AA233" s="159">
        <f t="shared" si="144"/>
        <v>0</v>
      </c>
      <c r="AB233" s="159">
        <f t="shared" si="144"/>
        <v>0</v>
      </c>
      <c r="AC233" s="159">
        <f t="shared" si="144"/>
        <v>0</v>
      </c>
      <c r="AD233" s="159">
        <f t="shared" si="144"/>
        <v>0</v>
      </c>
      <c r="AE233" s="159">
        <f t="shared" si="144"/>
        <v>0</v>
      </c>
      <c r="AF233" s="159">
        <f t="shared" si="144"/>
        <v>0</v>
      </c>
      <c r="AG233" s="159">
        <f t="shared" si="144"/>
        <v>0</v>
      </c>
      <c r="AH233" s="188">
        <f t="shared" si="144"/>
        <v>0</v>
      </c>
    </row>
    <row r="234" spans="1:34">
      <c r="A234" t="s">
        <v>416</v>
      </c>
      <c r="C234" s="336">
        <f t="shared" ref="C234:AH234" si="145">C213-C194</f>
        <v>-2.7000000000043656E-4</v>
      </c>
      <c r="D234" s="336">
        <f t="shared" si="145"/>
        <v>77.659916833223519</v>
      </c>
      <c r="E234" s="336">
        <f t="shared" si="145"/>
        <v>154.1577656412237</v>
      </c>
      <c r="F234" s="336">
        <f t="shared" si="145"/>
        <v>238.41844865087501</v>
      </c>
      <c r="G234" s="336">
        <f t="shared" si="145"/>
        <v>273.61729281141822</v>
      </c>
      <c r="H234" s="408">
        <f>H213-H194</f>
        <v>-2.7000000000043656E-4</v>
      </c>
      <c r="I234" s="14">
        <f t="shared" si="145"/>
        <v>137.77010947989129</v>
      </c>
      <c r="J234" s="14">
        <f t="shared" si="145"/>
        <v>2.7205081582851562</v>
      </c>
      <c r="K234" s="14">
        <f t="shared" si="145"/>
        <v>174.64615791410006</v>
      </c>
      <c r="L234" s="14">
        <f t="shared" si="145"/>
        <v>379.58897380767962</v>
      </c>
      <c r="M234" s="14">
        <f t="shared" si="145"/>
        <v>513.32984754294148</v>
      </c>
      <c r="N234" s="188">
        <f t="shared" si="145"/>
        <v>453.97358638615424</v>
      </c>
      <c r="O234" s="14">
        <f t="shared" si="145"/>
        <v>13.262058999458532</v>
      </c>
      <c r="P234" s="14">
        <f t="shared" si="145"/>
        <v>44.32054781980878</v>
      </c>
      <c r="Q234" s="14">
        <f t="shared" si="145"/>
        <v>53.648734649184007</v>
      </c>
      <c r="R234" s="14">
        <f t="shared" si="145"/>
        <v>166.3770639966142</v>
      </c>
      <c r="S234" s="14">
        <f t="shared" si="145"/>
        <v>260.83641673220336</v>
      </c>
      <c r="T234" s="14">
        <f t="shared" si="145"/>
        <v>368.56059596646401</v>
      </c>
      <c r="U234" s="14">
        <f t="shared" si="145"/>
        <v>552.85645334381388</v>
      </c>
      <c r="V234" s="14">
        <f t="shared" si="145"/>
        <v>667.99205983805405</v>
      </c>
      <c r="W234" s="14">
        <f t="shared" si="145"/>
        <v>812.1608364240019</v>
      </c>
      <c r="X234" s="188">
        <f t="shared" si="145"/>
        <v>983.30563850814815</v>
      </c>
      <c r="Y234" s="159">
        <f t="shared" si="145"/>
        <v>965.17901145571795</v>
      </c>
      <c r="Z234" s="159">
        <f t="shared" si="145"/>
        <v>983.51680115031286</v>
      </c>
      <c r="AA234" s="159">
        <f t="shared" si="145"/>
        <v>999.45698523221199</v>
      </c>
      <c r="AB234" s="159">
        <f t="shared" si="145"/>
        <v>1016.3732534080282</v>
      </c>
      <c r="AC234" s="159">
        <f t="shared" si="145"/>
        <v>1012.465107689889</v>
      </c>
      <c r="AD234" s="159">
        <f t="shared" si="145"/>
        <v>1021.1963022190139</v>
      </c>
      <c r="AE234" s="159">
        <f t="shared" si="145"/>
        <v>1028.7014497128357</v>
      </c>
      <c r="AF234" s="159">
        <f t="shared" si="145"/>
        <v>1045.6667469255417</v>
      </c>
      <c r="AG234" s="159">
        <f t="shared" si="145"/>
        <v>1088.6251632285775</v>
      </c>
      <c r="AH234" s="188">
        <f t="shared" si="145"/>
        <v>1117.9358431749843</v>
      </c>
    </row>
    <row r="235" spans="1:34">
      <c r="A235" t="s">
        <v>417</v>
      </c>
      <c r="C235" s="336">
        <f t="shared" ref="C235:AH235" si="146">C214-C195</f>
        <v>0</v>
      </c>
      <c r="D235" s="336">
        <f t="shared" si="146"/>
        <v>40.873790167722746</v>
      </c>
      <c r="E235" s="336">
        <f t="shared" si="146"/>
        <v>81.135811848414733</v>
      </c>
      <c r="F235" s="336">
        <f t="shared" si="146"/>
        <v>125.48354080017208</v>
      </c>
      <c r="G235" s="336">
        <f t="shared" si="146"/>
        <v>144.00924786943625</v>
      </c>
      <c r="H235" s="408">
        <f t="shared" si="146"/>
        <v>0</v>
      </c>
      <c r="I235" s="14">
        <f t="shared" si="146"/>
        <v>72.510732076432419</v>
      </c>
      <c r="J235" s="14">
        <f t="shared" si="146"/>
        <v>1.4319985352733511</v>
      </c>
      <c r="K235" s="14">
        <f t="shared" si="146"/>
        <v>91.919190863214567</v>
      </c>
      <c r="L235" s="14">
        <f t="shared" si="146"/>
        <v>199.78383641601397</v>
      </c>
      <c r="M235" s="14">
        <f t="shared" si="146"/>
        <v>270.17377547524359</v>
      </c>
      <c r="N235" s="188">
        <f t="shared" si="146"/>
        <v>238.9336437308624</v>
      </c>
      <c r="O235" s="14">
        <f t="shared" si="146"/>
        <v>6.9802172327263179</v>
      </c>
      <c r="P235" s="14">
        <f t="shared" si="146"/>
        <v>23.326799864202258</v>
      </c>
      <c r="Q235" s="14">
        <f t="shared" si="146"/>
        <v>28.236379841732514</v>
      </c>
      <c r="R235" s="14">
        <f t="shared" si="146"/>
        <v>87.567089431331169</v>
      </c>
      <c r="S235" s="14">
        <f t="shared" si="146"/>
        <v>137.28254737829502</v>
      </c>
      <c r="T235" s="14">
        <f t="shared" si="146"/>
        <v>193.97949234914722</v>
      </c>
      <c r="U235" s="14">
        <f t="shared" si="146"/>
        <v>290.97732458136261</v>
      </c>
      <c r="V235" s="14">
        <f t="shared" si="146"/>
        <v>351.57502202729825</v>
      </c>
      <c r="W235" s="14">
        <f t="shared" si="146"/>
        <v>427.45333735674558</v>
      </c>
      <c r="X235" s="188">
        <f t="shared" si="146"/>
        <v>517.5295605181982</v>
      </c>
      <c r="Y235" s="159">
        <f t="shared" si="146"/>
        <v>507.98923021546443</v>
      </c>
      <c r="Z235" s="159">
        <f t="shared" si="146"/>
        <v>517.64069929897323</v>
      </c>
      <c r="AA235" s="159">
        <f t="shared" si="146"/>
        <v>526.0302714680804</v>
      </c>
      <c r="AB235" s="159">
        <f t="shared" si="146"/>
        <v>534.93357319430334</v>
      </c>
      <c r="AC235" s="159">
        <f t="shared" si="146"/>
        <v>532.87665499536638</v>
      </c>
      <c r="AD235" s="159">
        <f t="shared" si="146"/>
        <v>537.47202235226951</v>
      </c>
      <c r="AE235" s="159">
        <f t="shared" si="146"/>
        <v>541.42210152507391</v>
      </c>
      <c r="AF235" s="159">
        <f t="shared" si="146"/>
        <v>550.3512063195285</v>
      </c>
      <c r="AG235" s="159">
        <f t="shared" si="146"/>
        <v>572.96090349607925</v>
      </c>
      <c r="AH235" s="188">
        <f t="shared" si="146"/>
        <v>588.38758031816542</v>
      </c>
    </row>
    <row r="236" spans="1:34">
      <c r="A236" t="s">
        <v>418</v>
      </c>
      <c r="C236" s="336">
        <f t="shared" ref="C236:AH236" si="147">C215-C196</f>
        <v>-2.7000000000043656E-4</v>
      </c>
      <c r="D236" s="336">
        <f t="shared" si="147"/>
        <v>36.786126665500831</v>
      </c>
      <c r="E236" s="336">
        <f t="shared" si="147"/>
        <v>73.021953792808915</v>
      </c>
      <c r="F236" s="336">
        <f t="shared" si="147"/>
        <v>112.93490785070287</v>
      </c>
      <c r="G236" s="336">
        <f t="shared" si="147"/>
        <v>129.60804494198209</v>
      </c>
      <c r="H236" s="408">
        <f>H215-H196</f>
        <v>-2.7000000000043656E-4</v>
      </c>
      <c r="I236" s="14">
        <f t="shared" si="147"/>
        <v>65.259377403458757</v>
      </c>
      <c r="J236" s="14">
        <f t="shared" si="147"/>
        <v>1.2885096230116915</v>
      </c>
      <c r="K236" s="14">
        <f t="shared" si="147"/>
        <v>82.726967050885492</v>
      </c>
      <c r="L236" s="14">
        <f t="shared" si="147"/>
        <v>179.80513739166577</v>
      </c>
      <c r="M236" s="14">
        <f t="shared" si="147"/>
        <v>243.15607206769766</v>
      </c>
      <c r="N236" s="188">
        <f t="shared" si="147"/>
        <v>215.03994265529172</v>
      </c>
      <c r="O236" s="14">
        <f t="shared" si="147"/>
        <v>6.2818417667326685</v>
      </c>
      <c r="P236" s="14">
        <f t="shared" si="147"/>
        <v>20.993747955606295</v>
      </c>
      <c r="Q236" s="14">
        <f t="shared" si="147"/>
        <v>25.41235480745172</v>
      </c>
      <c r="R236" s="14">
        <f t="shared" si="147"/>
        <v>78.809974565282801</v>
      </c>
      <c r="S236" s="14">
        <f t="shared" si="147"/>
        <v>123.55386935390879</v>
      </c>
      <c r="T236" s="14">
        <f t="shared" si="147"/>
        <v>174.58110361731656</v>
      </c>
      <c r="U236" s="14">
        <f t="shared" si="147"/>
        <v>261.8791287624515</v>
      </c>
      <c r="V236" s="14">
        <f t="shared" si="147"/>
        <v>316.41703781075535</v>
      </c>
      <c r="W236" s="14">
        <f t="shared" si="147"/>
        <v>384.70749906725587</v>
      </c>
      <c r="X236" s="188">
        <f t="shared" si="147"/>
        <v>465.77607798994995</v>
      </c>
      <c r="Y236" s="159">
        <f t="shared" si="147"/>
        <v>457.18978124025375</v>
      </c>
      <c r="Z236" s="159">
        <f t="shared" si="147"/>
        <v>465.8761018513394</v>
      </c>
      <c r="AA236" s="159">
        <f t="shared" si="147"/>
        <v>473.42671376413136</v>
      </c>
      <c r="AB236" s="159">
        <f t="shared" si="147"/>
        <v>481.43968021372484</v>
      </c>
      <c r="AC236" s="159">
        <f t="shared" si="147"/>
        <v>479.58845269452308</v>
      </c>
      <c r="AD236" s="159">
        <f t="shared" si="147"/>
        <v>483.72427986674415</v>
      </c>
      <c r="AE236" s="159">
        <f t="shared" si="147"/>
        <v>487.27934818776134</v>
      </c>
      <c r="AF236" s="159">
        <f t="shared" si="147"/>
        <v>495.31554060601297</v>
      </c>
      <c r="AG236" s="159">
        <f t="shared" si="147"/>
        <v>515.66425973249829</v>
      </c>
      <c r="AH236" s="188">
        <f t="shared" si="147"/>
        <v>529.54826285681884</v>
      </c>
    </row>
    <row r="237" spans="1:34">
      <c r="A237" t="s">
        <v>419</v>
      </c>
      <c r="C237" s="336">
        <f t="shared" ref="C237:AH237" si="148">C216-C197</f>
        <v>0</v>
      </c>
      <c r="D237" s="336">
        <f t="shared" si="148"/>
        <v>625.02990893581227</v>
      </c>
      <c r="E237" s="336">
        <f t="shared" si="148"/>
        <v>265.94056634423396</v>
      </c>
      <c r="F237" s="336">
        <f t="shared" si="148"/>
        <v>186.20613769208285</v>
      </c>
      <c r="G237" s="336">
        <f t="shared" si="148"/>
        <v>-94.020928651836584</v>
      </c>
      <c r="H237" s="408">
        <f t="shared" si="148"/>
        <v>0</v>
      </c>
      <c r="I237" s="14">
        <f t="shared" si="148"/>
        <v>82.897693612738294</v>
      </c>
      <c r="J237" s="14">
        <f t="shared" si="148"/>
        <v>204.35398096513381</v>
      </c>
      <c r="K237" s="14">
        <f t="shared" si="148"/>
        <v>198.56577619538803</v>
      </c>
      <c r="L237" s="14">
        <f t="shared" si="148"/>
        <v>-60.206807876105813</v>
      </c>
      <c r="M237" s="14">
        <f t="shared" si="148"/>
        <v>-252.3611286887608</v>
      </c>
      <c r="N237" s="188">
        <f t="shared" si="148"/>
        <v>0</v>
      </c>
      <c r="O237" s="14">
        <f t="shared" si="148"/>
        <v>88.292362531203253</v>
      </c>
      <c r="P237" s="14">
        <f t="shared" si="148"/>
        <v>187.87351122548716</v>
      </c>
      <c r="Q237" s="14">
        <f t="shared" si="148"/>
        <v>110.64041439309949</v>
      </c>
      <c r="R237" s="14">
        <f t="shared" si="148"/>
        <v>163.52298582571893</v>
      </c>
      <c r="S237" s="14">
        <f t="shared" si="148"/>
        <v>116.71961926561198</v>
      </c>
      <c r="T237" s="14">
        <f t="shared" si="148"/>
        <v>-5.0784482175367884</v>
      </c>
      <c r="U237" s="14">
        <f t="shared" si="148"/>
        <v>130.87311129291993</v>
      </c>
      <c r="V237" s="14">
        <f t="shared" si="148"/>
        <v>36.710940739540092</v>
      </c>
      <c r="W237" s="14">
        <f t="shared" si="148"/>
        <v>46.352127615147765</v>
      </c>
      <c r="X237" s="188">
        <f t="shared" si="148"/>
        <v>6.2036706367507577E-6</v>
      </c>
      <c r="Y237" s="159">
        <f t="shared" si="148"/>
        <v>-95.773721804511297</v>
      </c>
      <c r="Z237" s="159">
        <f t="shared" si="148"/>
        <v>-132.32961451260053</v>
      </c>
      <c r="AA237" s="159">
        <f t="shared" si="148"/>
        <v>-115.196196151599</v>
      </c>
      <c r="AB237" s="159">
        <f t="shared" si="148"/>
        <v>-33.844737601451925</v>
      </c>
      <c r="AC237" s="159">
        <f t="shared" si="148"/>
        <v>-78.475897070660722</v>
      </c>
      <c r="AD237" s="159">
        <f t="shared" si="148"/>
        <v>-133.73598216963001</v>
      </c>
      <c r="AE237" s="159">
        <f t="shared" si="148"/>
        <v>-143.90796279456481</v>
      </c>
      <c r="AF237" s="159">
        <f t="shared" si="148"/>
        <v>-166.76707613641702</v>
      </c>
      <c r="AG237" s="159">
        <f t="shared" si="148"/>
        <v>-82.01033746738176</v>
      </c>
      <c r="AH237" s="188">
        <f t="shared" si="148"/>
        <v>0.24140672444627853</v>
      </c>
    </row>
    <row r="238" spans="1:34">
      <c r="A238" t="s">
        <v>420</v>
      </c>
      <c r="C238" s="336">
        <f t="shared" ref="C238:AH238" si="149">C217-C198</f>
        <v>0</v>
      </c>
      <c r="D238" s="336">
        <f t="shared" si="149"/>
        <v>328.9631099662156</v>
      </c>
      <c r="E238" s="336">
        <f t="shared" si="149"/>
        <v>139.96871912854385</v>
      </c>
      <c r="F238" s="336">
        <f t="shared" si="149"/>
        <v>98.003230364253795</v>
      </c>
      <c r="G238" s="336">
        <f t="shared" si="149"/>
        <v>-49.484699290440403</v>
      </c>
      <c r="H238" s="408">
        <f t="shared" si="149"/>
        <v>0</v>
      </c>
      <c r="I238" s="14">
        <f t="shared" si="149"/>
        <v>43.630365059336327</v>
      </c>
      <c r="J238" s="14">
        <f t="shared" si="149"/>
        <v>107.55472682375512</v>
      </c>
      <c r="K238" s="14">
        <f t="shared" si="149"/>
        <v>104.50830326072901</v>
      </c>
      <c r="L238" s="14">
        <f t="shared" si="149"/>
        <v>-31.68779361900306</v>
      </c>
      <c r="M238" s="14">
        <f t="shared" si="149"/>
        <v>-132.82164667829602</v>
      </c>
      <c r="N238" s="188">
        <f t="shared" si="149"/>
        <v>0</v>
      </c>
      <c r="O238" s="14">
        <f t="shared" si="149"/>
        <v>46.46966449010506</v>
      </c>
      <c r="P238" s="14">
        <f t="shared" si="149"/>
        <v>98.880795381835924</v>
      </c>
      <c r="Q238" s="14">
        <f t="shared" si="149"/>
        <v>58.231797048998487</v>
      </c>
      <c r="R238" s="14">
        <f t="shared" si="149"/>
        <v>86.064729381956568</v>
      </c>
      <c r="S238" s="14">
        <f t="shared" si="149"/>
        <v>61.431378560848316</v>
      </c>
      <c r="T238" s="14">
        <f t="shared" si="149"/>
        <v>-2.6728674829137162</v>
      </c>
      <c r="U238" s="14">
        <f t="shared" si="149"/>
        <v>68.880584891010585</v>
      </c>
      <c r="V238" s="14">
        <f t="shared" si="149"/>
        <v>19.321547757652297</v>
      </c>
      <c r="W238" s="14">
        <f t="shared" si="149"/>
        <v>24.395856639550402</v>
      </c>
      <c r="X238" s="188">
        <f t="shared" si="149"/>
        <v>3.2650877983542159E-6</v>
      </c>
      <c r="Y238" s="159">
        <f t="shared" si="149"/>
        <v>-50.40722200237542</v>
      </c>
      <c r="Z238" s="159">
        <f t="shared" si="149"/>
        <v>-69.647165532947838</v>
      </c>
      <c r="AA238" s="159">
        <f t="shared" si="149"/>
        <v>-60.629576921894113</v>
      </c>
      <c r="AB238" s="159">
        <f t="shared" si="149"/>
        <v>-17.813019790235558</v>
      </c>
      <c r="AC238" s="159">
        <f t="shared" si="149"/>
        <v>-41.303103721400475</v>
      </c>
      <c r="AD238" s="159">
        <f t="shared" si="149"/>
        <v>-70.387359036647467</v>
      </c>
      <c r="AE238" s="159">
        <f t="shared" si="149"/>
        <v>-75.741033049771431</v>
      </c>
      <c r="AF238" s="159">
        <f t="shared" si="149"/>
        <v>-87.772145334954985</v>
      </c>
      <c r="AG238" s="159">
        <f t="shared" si="149"/>
        <v>-43.163335509147146</v>
      </c>
      <c r="AH238" s="188">
        <f t="shared" si="149"/>
        <v>0.12705617076062481</v>
      </c>
    </row>
    <row r="239" spans="1:34">
      <c r="A239" t="s">
        <v>421</v>
      </c>
      <c r="C239" s="336">
        <f t="shared" ref="C239:AH239" si="150">C218-C199</f>
        <v>0</v>
      </c>
      <c r="D239" s="336">
        <f t="shared" si="150"/>
        <v>296.06679896959486</v>
      </c>
      <c r="E239" s="336">
        <f t="shared" si="150"/>
        <v>125.9718472156901</v>
      </c>
      <c r="F239" s="336">
        <f t="shared" si="150"/>
        <v>88.202907327828143</v>
      </c>
      <c r="G239" s="336">
        <f t="shared" si="150"/>
        <v>-44.536229361396181</v>
      </c>
      <c r="H239" s="408">
        <f t="shared" si="150"/>
        <v>0</v>
      </c>
      <c r="I239" s="14">
        <f t="shared" si="150"/>
        <v>39.267328553401967</v>
      </c>
      <c r="J239" s="14">
        <f t="shared" si="150"/>
        <v>96.799254141380516</v>
      </c>
      <c r="K239" s="14">
        <f t="shared" si="150"/>
        <v>94.057472934658108</v>
      </c>
      <c r="L239" s="14">
        <f t="shared" si="150"/>
        <v>-28.519014257101844</v>
      </c>
      <c r="M239" s="14">
        <f t="shared" si="150"/>
        <v>-119.53948201046569</v>
      </c>
      <c r="N239" s="188">
        <f t="shared" si="150"/>
        <v>0</v>
      </c>
      <c r="O239" s="14">
        <f t="shared" si="150"/>
        <v>41.822698041095464</v>
      </c>
      <c r="P239" s="14">
        <f t="shared" si="150"/>
        <v>88.99271584365124</v>
      </c>
      <c r="Q239" s="14">
        <f t="shared" si="150"/>
        <v>52.408617344099184</v>
      </c>
      <c r="R239" s="14">
        <f t="shared" si="150"/>
        <v>77.458256443761456</v>
      </c>
      <c r="S239" s="14">
        <f t="shared" si="150"/>
        <v>55.288240704762757</v>
      </c>
      <c r="T239" s="14">
        <f t="shared" si="150"/>
        <v>-2.4055807346221627</v>
      </c>
      <c r="U239" s="14">
        <f t="shared" si="150"/>
        <v>61.992526401909345</v>
      </c>
      <c r="V239" s="14">
        <f t="shared" si="150"/>
        <v>17.389392981886886</v>
      </c>
      <c r="W239" s="14">
        <f t="shared" si="150"/>
        <v>21.956270975595544</v>
      </c>
      <c r="X239" s="188">
        <f t="shared" si="150"/>
        <v>2.9385801099124365E-6</v>
      </c>
      <c r="Y239" s="159">
        <f t="shared" si="150"/>
        <v>-45.366499802137696</v>
      </c>
      <c r="Z239" s="159">
        <f t="shared" si="150"/>
        <v>-62.68244897965269</v>
      </c>
      <c r="AA239" s="159">
        <f t="shared" si="150"/>
        <v>-54.566619229704884</v>
      </c>
      <c r="AB239" s="159">
        <f t="shared" si="150"/>
        <v>-16.031717811212729</v>
      </c>
      <c r="AC239" s="159">
        <f t="shared" si="150"/>
        <v>-37.172793349259337</v>
      </c>
      <c r="AD239" s="159">
        <f t="shared" si="150"/>
        <v>-63.348623132981629</v>
      </c>
      <c r="AE239" s="159">
        <f t="shared" si="150"/>
        <v>-68.166929744794288</v>
      </c>
      <c r="AF239" s="159">
        <f t="shared" si="150"/>
        <v>-78.994930801459304</v>
      </c>
      <c r="AG239" s="159">
        <f t="shared" si="150"/>
        <v>-38.847001958231886</v>
      </c>
      <c r="AH239" s="188">
        <f t="shared" si="150"/>
        <v>0.11435055368383473</v>
      </c>
    </row>
    <row r="240" spans="1:34">
      <c r="A240" t="s">
        <v>393</v>
      </c>
      <c r="C240" s="336">
        <f>C219-C200</f>
        <v>0</v>
      </c>
      <c r="D240" s="336">
        <f t="shared" ref="D240:AH240" si="151">D219-D200+D249+D252</f>
        <v>-531.28339178692841</v>
      </c>
      <c r="E240" s="336">
        <f t="shared" si="151"/>
        <v>-282.94770897836133</v>
      </c>
      <c r="F240" s="336">
        <f t="shared" si="151"/>
        <v>-263.00881621084045</v>
      </c>
      <c r="G240" s="336">
        <f t="shared" si="151"/>
        <v>-75.434144660976017</v>
      </c>
      <c r="H240" s="408">
        <f t="shared" si="151"/>
        <v>-0.2716999999993277</v>
      </c>
      <c r="I240" s="14">
        <f t="shared" si="151"/>
        <v>-138.40704659453513</v>
      </c>
      <c r="J240" s="14">
        <f t="shared" si="151"/>
        <v>-164.37396536946471</v>
      </c>
      <c r="K240" s="14">
        <f t="shared" si="151"/>
        <v>-250.24451153772861</v>
      </c>
      <c r="L240" s="14">
        <f t="shared" si="151"/>
        <v>-154.51866089378746</v>
      </c>
      <c r="M240" s="14">
        <f t="shared" si="151"/>
        <v>-73.925325800200881</v>
      </c>
      <c r="N240" s="188">
        <f t="shared" si="151"/>
        <v>-241.47877083541607</v>
      </c>
      <c r="O240" s="14">
        <f t="shared" si="151"/>
        <v>-80.541484981884423</v>
      </c>
      <c r="P240" s="14">
        <f t="shared" si="151"/>
        <v>-175.59706185114919</v>
      </c>
      <c r="Q240" s="14">
        <f t="shared" si="151"/>
        <v>-120.71037537106531</v>
      </c>
      <c r="R240" s="14">
        <f t="shared" si="151"/>
        <v>-221.99825211685857</v>
      </c>
      <c r="S240" s="14">
        <f t="shared" si="151"/>
        <v>-235.60695214903717</v>
      </c>
      <c r="T240" s="14">
        <f t="shared" si="151"/>
        <v>-197.40047946759296</v>
      </c>
      <c r="U240" s="14">
        <f t="shared" si="151"/>
        <v>-401.39061216301525</v>
      </c>
      <c r="V240" s="14">
        <f t="shared" si="151"/>
        <v>-388.79311491037879</v>
      </c>
      <c r="W240" s="14">
        <f t="shared" si="151"/>
        <v>-472.81200188102048</v>
      </c>
      <c r="X240" s="188">
        <f t="shared" si="151"/>
        <v>-527.09902085960493</v>
      </c>
      <c r="Y240" s="159">
        <f t="shared" si="151"/>
        <v>-442.81632765752511</v>
      </c>
      <c r="Z240" s="159">
        <f t="shared" si="151"/>
        <v>-424.4421086864495</v>
      </c>
      <c r="AA240" s="159">
        <f t="shared" si="151"/>
        <v>-446.53437312777896</v>
      </c>
      <c r="AB240" s="159">
        <f t="shared" si="151"/>
        <v>-519.49051590236195</v>
      </c>
      <c r="AC240" s="159">
        <f t="shared" si="151"/>
        <v>-482.75665418778226</v>
      </c>
      <c r="AD240" s="159">
        <f t="shared" si="151"/>
        <v>-444.17599060949215</v>
      </c>
      <c r="AE240" s="159">
        <f t="shared" si="151"/>
        <v>-440.40609822827173</v>
      </c>
      <c r="AF240" s="159">
        <f t="shared" si="151"/>
        <v>-431.67492032698101</v>
      </c>
      <c r="AG240" s="159">
        <f t="shared" si="151"/>
        <v>-520.80349102001128</v>
      </c>
      <c r="AH240" s="188">
        <f t="shared" si="151"/>
        <v>-600.77603337251276</v>
      </c>
    </row>
    <row r="241" spans="1:34">
      <c r="A241" t="s">
        <v>422</v>
      </c>
      <c r="C241" s="336">
        <f>C220-C201</f>
        <v>0</v>
      </c>
      <c r="D241" s="336">
        <f t="shared" ref="D241:AH241" si="152">D220-D201+D250+D253</f>
        <v>-279.62283778259371</v>
      </c>
      <c r="E241" s="336">
        <f t="shared" si="152"/>
        <v>-148.91984683071678</v>
      </c>
      <c r="F241" s="336">
        <f t="shared" si="152"/>
        <v>-138.42569274254856</v>
      </c>
      <c r="G241" s="336">
        <f t="shared" si="152"/>
        <v>-39.702181400512927</v>
      </c>
      <c r="H241" s="408">
        <f t="shared" si="152"/>
        <v>-0.1430000000000291</v>
      </c>
      <c r="I241" s="14">
        <f t="shared" si="152"/>
        <v>-72.845813997124424</v>
      </c>
      <c r="J241" s="14">
        <f t="shared" si="152"/>
        <v>-86.512613352350854</v>
      </c>
      <c r="K241" s="14">
        <f t="shared" si="152"/>
        <v>-131.70763765143602</v>
      </c>
      <c r="L241" s="14">
        <f t="shared" si="152"/>
        <v>-81.325610996730575</v>
      </c>
      <c r="M241" s="14">
        <f t="shared" si="152"/>
        <v>-38.908066210632569</v>
      </c>
      <c r="N241" s="188">
        <f t="shared" si="152"/>
        <v>-127.09408991337659</v>
      </c>
      <c r="O241" s="14">
        <f t="shared" si="152"/>
        <v>-42.390255253623764</v>
      </c>
      <c r="P241" s="14">
        <f t="shared" si="152"/>
        <v>-92.419506237446512</v>
      </c>
      <c r="Q241" s="14">
        <f t="shared" si="152"/>
        <v>-63.531776511086719</v>
      </c>
      <c r="R241" s="14">
        <f t="shared" si="152"/>
        <v>-116.84118532466255</v>
      </c>
      <c r="S241" s="14">
        <f t="shared" si="152"/>
        <v>-124.00365902580961</v>
      </c>
      <c r="T241" s="14">
        <f t="shared" si="152"/>
        <v>-103.89498919346988</v>
      </c>
      <c r="U241" s="14">
        <f t="shared" si="152"/>
        <v>-211.25821692790305</v>
      </c>
      <c r="V241" s="14">
        <f t="shared" si="152"/>
        <v>-204.62795521598764</v>
      </c>
      <c r="W241" s="14">
        <f t="shared" si="152"/>
        <v>-248.8484220426426</v>
      </c>
      <c r="X241" s="188">
        <f t="shared" si="152"/>
        <v>-277.42053729452891</v>
      </c>
      <c r="Y241" s="159">
        <f t="shared" si="152"/>
        <v>-233.06122508290809</v>
      </c>
      <c r="Z241" s="159">
        <f t="shared" si="152"/>
        <v>-223.39058351918266</v>
      </c>
      <c r="AA241" s="159">
        <f t="shared" si="152"/>
        <v>-235.01809111988405</v>
      </c>
      <c r="AB241" s="159">
        <f t="shared" si="152"/>
        <v>-273.41606100124318</v>
      </c>
      <c r="AC241" s="159">
        <f t="shared" si="152"/>
        <v>-254.08244957251736</v>
      </c>
      <c r="AD241" s="159">
        <f t="shared" si="152"/>
        <v>-233.77683716288993</v>
      </c>
      <c r="AE241" s="159">
        <f t="shared" si="152"/>
        <v>-231.79268327803766</v>
      </c>
      <c r="AF241" s="159">
        <f t="shared" si="152"/>
        <v>-227.19732648788522</v>
      </c>
      <c r="AG241" s="159">
        <f t="shared" si="152"/>
        <v>-274.10710053684761</v>
      </c>
      <c r="AH241" s="188">
        <f t="shared" si="152"/>
        <v>-316.1979123013225</v>
      </c>
    </row>
    <row r="242" spans="1:34">
      <c r="A242" t="s">
        <v>423</v>
      </c>
      <c r="C242" s="336">
        <f>C221-C202</f>
        <v>0</v>
      </c>
      <c r="D242" s="336">
        <f t="shared" ref="D242:AH242" si="153">D221-D202+D251+D254</f>
        <v>-251.6605540043347</v>
      </c>
      <c r="E242" s="336">
        <f t="shared" si="153"/>
        <v>-134.02786214764546</v>
      </c>
      <c r="F242" s="336">
        <f t="shared" si="153"/>
        <v>-124.5831234682928</v>
      </c>
      <c r="G242" s="336">
        <f t="shared" si="153"/>
        <v>-35.73196326046218</v>
      </c>
      <c r="H242" s="408">
        <f t="shared" si="153"/>
        <v>-0.12870000000020809</v>
      </c>
      <c r="I242" s="14">
        <f t="shared" si="153"/>
        <v>-65.561232597411617</v>
      </c>
      <c r="J242" s="14">
        <f t="shared" si="153"/>
        <v>-77.861352017115678</v>
      </c>
      <c r="K242" s="14">
        <f t="shared" si="153"/>
        <v>-118.5368738862926</v>
      </c>
      <c r="L242" s="14">
        <f t="shared" si="153"/>
        <v>-73.193049897056881</v>
      </c>
      <c r="M242" s="14">
        <f t="shared" si="153"/>
        <v>-35.017259589569221</v>
      </c>
      <c r="N242" s="188">
        <f t="shared" si="153"/>
        <v>-114.38468092203948</v>
      </c>
      <c r="O242" s="14">
        <f t="shared" si="153"/>
        <v>-38.151229728261569</v>
      </c>
      <c r="P242" s="14">
        <f t="shared" si="153"/>
        <v>-83.17755561370177</v>
      </c>
      <c r="Q242" s="14">
        <f t="shared" si="153"/>
        <v>-57.178598859978592</v>
      </c>
      <c r="R242" s="14">
        <f t="shared" si="153"/>
        <v>-105.15706679219602</v>
      </c>
      <c r="S242" s="14">
        <f t="shared" si="153"/>
        <v>-111.60329312322756</v>
      </c>
      <c r="T242" s="14">
        <f t="shared" si="153"/>
        <v>-93.505490274123076</v>
      </c>
      <c r="U242" s="14">
        <f t="shared" si="153"/>
        <v>-190.13239523511311</v>
      </c>
      <c r="V242" s="14">
        <f t="shared" si="153"/>
        <v>-184.16515969438933</v>
      </c>
      <c r="W242" s="14">
        <f t="shared" si="153"/>
        <v>-223.96357983837788</v>
      </c>
      <c r="X242" s="188">
        <f t="shared" si="153"/>
        <v>-249.67848356507511</v>
      </c>
      <c r="Y242" s="159">
        <f t="shared" si="153"/>
        <v>-209.75510257461701</v>
      </c>
      <c r="Z242" s="159">
        <f t="shared" si="153"/>
        <v>-201.05152516726503</v>
      </c>
      <c r="AA242" s="159">
        <f t="shared" si="153"/>
        <v>-211.51628200789492</v>
      </c>
      <c r="AB242" s="159">
        <f t="shared" si="153"/>
        <v>-246.07445490111877</v>
      </c>
      <c r="AC242" s="159">
        <f t="shared" si="153"/>
        <v>-228.67420461526581</v>
      </c>
      <c r="AD242" s="159">
        <f t="shared" si="153"/>
        <v>-210.3991534466013</v>
      </c>
      <c r="AE242" s="159">
        <f t="shared" si="153"/>
        <v>-208.61341495023498</v>
      </c>
      <c r="AF242" s="159">
        <f t="shared" si="153"/>
        <v>-204.47759383909579</v>
      </c>
      <c r="AG242" s="159">
        <f t="shared" si="153"/>
        <v>-246.69639048316276</v>
      </c>
      <c r="AH242" s="188">
        <f t="shared" si="153"/>
        <v>-284.57812107119025</v>
      </c>
    </row>
    <row r="243" spans="1:34" s="1" customFormat="1">
      <c r="A243" s="1" t="s">
        <v>404</v>
      </c>
      <c r="B243" s="13"/>
      <c r="C243" s="346">
        <f>C222-C203</f>
        <v>-2.7000000045518391E-4</v>
      </c>
      <c r="D243" s="346">
        <f t="shared" ref="D243:AH243" si="154">D222-D203+D249+D252</f>
        <v>171.40643398210523</v>
      </c>
      <c r="E243" s="346">
        <f t="shared" si="154"/>
        <v>137.15062300709542</v>
      </c>
      <c r="F243" s="346">
        <f t="shared" si="154"/>
        <v>161.61577013212082</v>
      </c>
      <c r="G243" s="346">
        <f t="shared" si="154"/>
        <v>104.16221949860483</v>
      </c>
      <c r="H243" s="411">
        <f t="shared" si="154"/>
        <v>-0.2719699999979639</v>
      </c>
      <c r="I243" s="15">
        <f t="shared" si="154"/>
        <v>82.26075649809718</v>
      </c>
      <c r="J243" s="15">
        <f t="shared" si="154"/>
        <v>42.700523753956077</v>
      </c>
      <c r="K243" s="15">
        <f t="shared" si="154"/>
        <v>122.96742257176084</v>
      </c>
      <c r="L243" s="15">
        <f t="shared" si="154"/>
        <v>164.86350503778522</v>
      </c>
      <c r="M243" s="15">
        <f t="shared" si="154"/>
        <v>187.04339305397662</v>
      </c>
      <c r="N243" s="191">
        <f t="shared" si="154"/>
        <v>212.49481555073726</v>
      </c>
      <c r="O243" s="15">
        <f t="shared" si="154"/>
        <v>21.012936548780999</v>
      </c>
      <c r="P243" s="15">
        <f t="shared" si="154"/>
        <v>56.596997194144933</v>
      </c>
      <c r="Q243" s="15">
        <f t="shared" si="154"/>
        <v>43.578773671219096</v>
      </c>
      <c r="R243" s="15">
        <f t="shared" si="154"/>
        <v>107.90179770547547</v>
      </c>
      <c r="S243" s="15">
        <f t="shared" si="154"/>
        <v>141.94908384877999</v>
      </c>
      <c r="T243" s="15">
        <f t="shared" si="154"/>
        <v>166.08166828133835</v>
      </c>
      <c r="U243" s="15">
        <f t="shared" si="154"/>
        <v>282.33895247371765</v>
      </c>
      <c r="V243" s="15">
        <f t="shared" si="154"/>
        <v>315.90988566721717</v>
      </c>
      <c r="W243" s="15">
        <f t="shared" si="154"/>
        <v>385.70096215813101</v>
      </c>
      <c r="X243" s="191">
        <f t="shared" si="154"/>
        <v>456.20662385221294</v>
      </c>
      <c r="Y243" s="131">
        <f t="shared" si="154"/>
        <v>426.58896199367882</v>
      </c>
      <c r="Z243" s="131">
        <f t="shared" si="154"/>
        <v>426.74507795126556</v>
      </c>
      <c r="AA243" s="131">
        <f t="shared" si="154"/>
        <v>437.72641595283494</v>
      </c>
      <c r="AB243" s="131">
        <f t="shared" si="154"/>
        <v>463.03799990421248</v>
      </c>
      <c r="AC243" s="131">
        <f t="shared" si="154"/>
        <v>451.23255643144148</v>
      </c>
      <c r="AD243" s="131">
        <f t="shared" si="154"/>
        <v>443.28432943989537</v>
      </c>
      <c r="AE243" s="131">
        <f t="shared" si="154"/>
        <v>444.38738868999644</v>
      </c>
      <c r="AF243" s="131">
        <f t="shared" si="154"/>
        <v>447.22475046214822</v>
      </c>
      <c r="AG243" s="131">
        <f t="shared" si="154"/>
        <v>485.81133474118542</v>
      </c>
      <c r="AH243" s="191">
        <f t="shared" si="154"/>
        <v>517.40121652691596</v>
      </c>
    </row>
    <row r="244" spans="1:34">
      <c r="A244" t="s">
        <v>444</v>
      </c>
      <c r="C244" s="336"/>
      <c r="D244" s="336">
        <f>D231+D234</f>
        <v>77.659916833223519</v>
      </c>
      <c r="E244" s="336">
        <f t="shared" ref="E244:N244" si="155">E231+E234</f>
        <v>154.1577656412237</v>
      </c>
      <c r="F244" s="336">
        <f t="shared" si="155"/>
        <v>238.41844865087501</v>
      </c>
      <c r="G244" s="336">
        <f t="shared" si="155"/>
        <v>273.61729281141822</v>
      </c>
      <c r="H244" s="408">
        <f t="shared" si="155"/>
        <v>-2.7000000000043656E-4</v>
      </c>
      <c r="I244" s="14">
        <f t="shared" si="155"/>
        <v>137.77010947989129</v>
      </c>
      <c r="J244" s="14">
        <f t="shared" si="155"/>
        <v>2.7205081582851562</v>
      </c>
      <c r="K244" s="14">
        <f t="shared" si="155"/>
        <v>174.64615791410006</v>
      </c>
      <c r="L244" s="14">
        <f t="shared" si="155"/>
        <v>379.58897380767962</v>
      </c>
      <c r="M244" s="14">
        <f t="shared" si="155"/>
        <v>513.32984754294148</v>
      </c>
      <c r="N244" s="188">
        <f t="shared" si="155"/>
        <v>453.97358638615424</v>
      </c>
      <c r="O244" s="14">
        <f>O231+O234</f>
        <v>13.262058999458532</v>
      </c>
      <c r="P244" s="14">
        <f t="shared" ref="P244:AH244" si="156">P231+P234</f>
        <v>44.32054781980878</v>
      </c>
      <c r="Q244" s="14">
        <f t="shared" si="156"/>
        <v>53.648734649184007</v>
      </c>
      <c r="R244" s="14">
        <f t="shared" si="156"/>
        <v>166.3770639966142</v>
      </c>
      <c r="S244" s="14">
        <f t="shared" si="156"/>
        <v>260.83641673220336</v>
      </c>
      <c r="T244" s="14">
        <f t="shared" si="156"/>
        <v>368.56059596646401</v>
      </c>
      <c r="U244" s="14">
        <f t="shared" si="156"/>
        <v>552.85645334381388</v>
      </c>
      <c r="V244" s="14">
        <f t="shared" si="156"/>
        <v>667.99205983805405</v>
      </c>
      <c r="W244" s="14">
        <f t="shared" si="156"/>
        <v>812.1608364240019</v>
      </c>
      <c r="X244" s="188">
        <f t="shared" si="156"/>
        <v>983.30563850814815</v>
      </c>
      <c r="Y244" s="159">
        <f t="shared" si="156"/>
        <v>965.17901145571795</v>
      </c>
      <c r="Z244" s="159">
        <f t="shared" si="156"/>
        <v>983.51680115031286</v>
      </c>
      <c r="AA244" s="159">
        <f t="shared" si="156"/>
        <v>999.45698523221199</v>
      </c>
      <c r="AB244" s="159">
        <f t="shared" si="156"/>
        <v>1016.3732534080282</v>
      </c>
      <c r="AC244" s="159">
        <f t="shared" si="156"/>
        <v>1012.465107689889</v>
      </c>
      <c r="AD244" s="159">
        <f t="shared" si="156"/>
        <v>1021.1963022190139</v>
      </c>
      <c r="AE244" s="159">
        <f t="shared" si="156"/>
        <v>1028.7014497128357</v>
      </c>
      <c r="AF244" s="159">
        <f t="shared" si="156"/>
        <v>1045.6667469255417</v>
      </c>
      <c r="AG244" s="159">
        <f t="shared" si="156"/>
        <v>1088.6251632285775</v>
      </c>
      <c r="AH244" s="188">
        <f t="shared" si="156"/>
        <v>1117.9358431749843</v>
      </c>
    </row>
    <row r="245" spans="1:34">
      <c r="A245" t="s">
        <v>445</v>
      </c>
      <c r="D245" s="336">
        <f>D231+D234+D237</f>
        <v>702.68982576903579</v>
      </c>
      <c r="E245" s="336">
        <f t="shared" ref="E245:N245" si="157">E231+E234+E237</f>
        <v>420.09833198545766</v>
      </c>
      <c r="F245" s="336">
        <f t="shared" si="157"/>
        <v>424.62458634295785</v>
      </c>
      <c r="G245" s="336">
        <f t="shared" si="157"/>
        <v>179.59636415958164</v>
      </c>
      <c r="H245" s="408">
        <f t="shared" si="157"/>
        <v>-2.7000000000043656E-4</v>
      </c>
      <c r="I245" s="14">
        <f t="shared" si="157"/>
        <v>220.66780309262958</v>
      </c>
      <c r="J245" s="14">
        <f t="shared" si="157"/>
        <v>207.07448912341897</v>
      </c>
      <c r="K245" s="14">
        <f t="shared" si="157"/>
        <v>373.21193410948808</v>
      </c>
      <c r="L245" s="14">
        <f t="shared" si="157"/>
        <v>319.38216593157381</v>
      </c>
      <c r="M245" s="14">
        <f t="shared" si="157"/>
        <v>260.96871885418068</v>
      </c>
      <c r="N245" s="188">
        <f t="shared" si="157"/>
        <v>453.97358638615424</v>
      </c>
      <c r="O245" s="14">
        <f>O231+O234+O237</f>
        <v>101.55442153066178</v>
      </c>
      <c r="P245" s="14">
        <f t="shared" ref="P245:AH245" si="158">P231+P234+P237</f>
        <v>232.19405904529594</v>
      </c>
      <c r="Q245" s="14">
        <f t="shared" si="158"/>
        <v>164.2891490422835</v>
      </c>
      <c r="R245" s="14">
        <f t="shared" si="158"/>
        <v>329.90004982233313</v>
      </c>
      <c r="S245" s="14">
        <f t="shared" si="158"/>
        <v>377.55603599781534</v>
      </c>
      <c r="T245" s="14">
        <f t="shared" si="158"/>
        <v>363.48214774892722</v>
      </c>
      <c r="U245" s="14">
        <f t="shared" si="158"/>
        <v>683.72956463673381</v>
      </c>
      <c r="V245" s="14">
        <f t="shared" si="158"/>
        <v>704.70300057759414</v>
      </c>
      <c r="W245" s="14">
        <f t="shared" si="158"/>
        <v>858.51296403914967</v>
      </c>
      <c r="X245" s="188">
        <f t="shared" si="158"/>
        <v>983.30564471181879</v>
      </c>
      <c r="Y245" s="159">
        <f t="shared" si="158"/>
        <v>869.40528965120666</v>
      </c>
      <c r="Z245" s="159">
        <f t="shared" si="158"/>
        <v>851.18718663771233</v>
      </c>
      <c r="AA245" s="159">
        <f t="shared" si="158"/>
        <v>884.26078908061299</v>
      </c>
      <c r="AB245" s="159">
        <f t="shared" si="158"/>
        <v>982.52851580657625</v>
      </c>
      <c r="AC245" s="159">
        <f t="shared" si="158"/>
        <v>933.98921061922829</v>
      </c>
      <c r="AD245" s="159">
        <f t="shared" si="158"/>
        <v>887.46032004938388</v>
      </c>
      <c r="AE245" s="159">
        <f t="shared" si="158"/>
        <v>884.7934869182709</v>
      </c>
      <c r="AF245" s="159">
        <f t="shared" si="158"/>
        <v>878.89967078912468</v>
      </c>
      <c r="AG245" s="159">
        <f t="shared" si="158"/>
        <v>1006.6148257611958</v>
      </c>
      <c r="AH245" s="188">
        <f t="shared" si="158"/>
        <v>1118.1772498994305</v>
      </c>
    </row>
    <row r="246" spans="1:34" s="1" customFormat="1">
      <c r="A246" s="1" t="s">
        <v>448</v>
      </c>
      <c r="B246" s="13"/>
      <c r="C246" s="333"/>
      <c r="D246" s="346">
        <f>D243</f>
        <v>171.40643398210523</v>
      </c>
      <c r="E246" s="346">
        <f>D246+E243</f>
        <v>308.55705698920065</v>
      </c>
      <c r="F246" s="346">
        <f>E246+F243</f>
        <v>470.17282712132146</v>
      </c>
      <c r="G246" s="346">
        <f>F246+G243</f>
        <v>574.33504661992629</v>
      </c>
      <c r="H246" s="411"/>
      <c r="I246" s="15">
        <f t="shared" ref="I246:X246" si="159">H246+I243</f>
        <v>82.26075649809718</v>
      </c>
      <c r="J246" s="15">
        <f t="shared" si="159"/>
        <v>124.96128025205326</v>
      </c>
      <c r="K246" s="15">
        <f t="shared" si="159"/>
        <v>247.92870282381409</v>
      </c>
      <c r="L246" s="15">
        <f t="shared" si="159"/>
        <v>412.79220786159931</v>
      </c>
      <c r="M246" s="15">
        <f t="shared" si="159"/>
        <v>599.83560091557592</v>
      </c>
      <c r="N246" s="191">
        <f t="shared" si="159"/>
        <v>812.33041646631318</v>
      </c>
      <c r="O246" s="15">
        <f t="shared" si="159"/>
        <v>833.34335301509418</v>
      </c>
      <c r="P246" s="15">
        <f t="shared" si="159"/>
        <v>889.94035020923911</v>
      </c>
      <c r="Q246" s="15">
        <f t="shared" si="159"/>
        <v>933.51912388045821</v>
      </c>
      <c r="R246" s="15">
        <f t="shared" si="159"/>
        <v>1041.4209215859337</v>
      </c>
      <c r="S246" s="15">
        <f t="shared" si="159"/>
        <v>1183.3700054347137</v>
      </c>
      <c r="T246" s="15">
        <f t="shared" si="159"/>
        <v>1349.451673716052</v>
      </c>
      <c r="U246" s="15">
        <f t="shared" si="159"/>
        <v>1631.7906261897697</v>
      </c>
      <c r="V246" s="15">
        <f t="shared" si="159"/>
        <v>1947.7005118569869</v>
      </c>
      <c r="W246" s="15">
        <f t="shared" si="159"/>
        <v>2333.4014740151179</v>
      </c>
      <c r="X246" s="191">
        <f t="shared" si="159"/>
        <v>2789.6080978673308</v>
      </c>
      <c r="Y246" s="131">
        <f t="shared" ref="Y246:AH246" si="160">X246+Y243</f>
        <v>3216.1970598610096</v>
      </c>
      <c r="Z246" s="131">
        <f t="shared" si="160"/>
        <v>3642.9421378122752</v>
      </c>
      <c r="AA246" s="131">
        <f t="shared" si="160"/>
        <v>4080.6685537651101</v>
      </c>
      <c r="AB246" s="131">
        <f t="shared" si="160"/>
        <v>4543.7065536693226</v>
      </c>
      <c r="AC246" s="131">
        <f t="shared" si="160"/>
        <v>4994.9391101007641</v>
      </c>
      <c r="AD246" s="131">
        <f t="shared" si="160"/>
        <v>5438.2234395406595</v>
      </c>
      <c r="AE246" s="131">
        <f t="shared" si="160"/>
        <v>5882.6108282306559</v>
      </c>
      <c r="AF246" s="131">
        <f t="shared" si="160"/>
        <v>6329.8355786928041</v>
      </c>
      <c r="AG246" s="131">
        <f t="shared" si="160"/>
        <v>6815.6469134339895</v>
      </c>
      <c r="AH246" s="191">
        <f t="shared" si="160"/>
        <v>7333.0481299609055</v>
      </c>
    </row>
    <row r="247" spans="1:34">
      <c r="A247" t="s">
        <v>457</v>
      </c>
      <c r="D247" s="348" t="b">
        <f t="shared" ref="D247:AH247" si="161">IF(D185-D246&lt;1,TRUE,FALSE)</f>
        <v>1</v>
      </c>
      <c r="E247" s="348" t="b">
        <f t="shared" si="161"/>
        <v>1</v>
      </c>
      <c r="F247" s="348" t="b">
        <f t="shared" si="161"/>
        <v>1</v>
      </c>
      <c r="G247" s="348" t="b">
        <f t="shared" si="161"/>
        <v>1</v>
      </c>
      <c r="H247" s="414"/>
      <c r="I247" s="134" t="b">
        <f t="shared" si="161"/>
        <v>1</v>
      </c>
      <c r="J247" s="134" t="b">
        <f t="shared" si="161"/>
        <v>1</v>
      </c>
      <c r="K247" s="134" t="b">
        <f t="shared" si="161"/>
        <v>1</v>
      </c>
      <c r="L247" s="134" t="b">
        <f t="shared" si="161"/>
        <v>1</v>
      </c>
      <c r="M247" s="134" t="b">
        <f t="shared" si="161"/>
        <v>1</v>
      </c>
      <c r="N247" s="195" t="b">
        <f t="shared" si="161"/>
        <v>1</v>
      </c>
      <c r="O247" s="134" t="b">
        <f t="shared" si="161"/>
        <v>1</v>
      </c>
      <c r="P247" s="134" t="b">
        <f t="shared" si="161"/>
        <v>1</v>
      </c>
      <c r="Q247" s="134" t="b">
        <f t="shared" si="161"/>
        <v>1</v>
      </c>
      <c r="R247" s="134" t="b">
        <f t="shared" si="161"/>
        <v>1</v>
      </c>
      <c r="S247" s="134" t="b">
        <f t="shared" si="161"/>
        <v>1</v>
      </c>
      <c r="T247" s="134" t="b">
        <f t="shared" si="161"/>
        <v>1</v>
      </c>
      <c r="U247" s="134" t="b">
        <f t="shared" si="161"/>
        <v>1</v>
      </c>
      <c r="V247" s="134" t="b">
        <f t="shared" si="161"/>
        <v>1</v>
      </c>
      <c r="W247" s="134" t="b">
        <f t="shared" si="161"/>
        <v>1</v>
      </c>
      <c r="X247" s="195" t="b">
        <f t="shared" si="161"/>
        <v>1</v>
      </c>
      <c r="Y247" s="291" t="b">
        <f t="shared" si="161"/>
        <v>1</v>
      </c>
      <c r="Z247" s="291" t="b">
        <f t="shared" si="161"/>
        <v>1</v>
      </c>
      <c r="AA247" s="291" t="b">
        <f t="shared" si="161"/>
        <v>1</v>
      </c>
      <c r="AB247" s="291" t="b">
        <f t="shared" si="161"/>
        <v>1</v>
      </c>
      <c r="AC247" s="291" t="b">
        <f t="shared" si="161"/>
        <v>1</v>
      </c>
      <c r="AD247" s="291" t="b">
        <f t="shared" si="161"/>
        <v>1</v>
      </c>
      <c r="AE247" s="291" t="b">
        <f t="shared" si="161"/>
        <v>1</v>
      </c>
      <c r="AF247" s="291" t="b">
        <f t="shared" si="161"/>
        <v>1</v>
      </c>
      <c r="AG247" s="291" t="b">
        <f t="shared" si="161"/>
        <v>1</v>
      </c>
      <c r="AH247" s="195" t="b">
        <f t="shared" si="161"/>
        <v>1</v>
      </c>
    </row>
    <row r="248" spans="1:34">
      <c r="A248" t="s">
        <v>438</v>
      </c>
    </row>
    <row r="249" spans="1:34" s="1" customFormat="1">
      <c r="A249" s="1" t="s">
        <v>439</v>
      </c>
      <c r="B249" s="13"/>
      <c r="C249" s="333"/>
      <c r="D249" s="346">
        <f>D$29*(EIA_electricity_aeo2014!F$60) * Inputs!$M$60</f>
        <v>0</v>
      </c>
      <c r="E249" s="346">
        <f>E$29*(EIA_electricity_aeo2014!G$60) * Inputs!$M$60</f>
        <v>0</v>
      </c>
      <c r="F249" s="346">
        <f>F$29*(EIA_electricity_aeo2014!H$60) * Inputs!$M$60</f>
        <v>0</v>
      </c>
      <c r="G249" s="346">
        <f>G$29*(EIA_electricity_aeo2014!I$60) * Inputs!$M$60</f>
        <v>0</v>
      </c>
      <c r="H249" s="411">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1">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1">
        <f>X$29*(EIA_electricity_aeo2014!Z$60) * Inputs!$M$60</f>
        <v>0</v>
      </c>
      <c r="Y249" s="131">
        <f>Y$29*(EIA_electricity_aeo2014!AA$60) * Inputs!$M$60</f>
        <v>0</v>
      </c>
      <c r="Z249" s="131">
        <f>Z$29*(EIA_electricity_aeo2014!AB$60) * Inputs!$M$60</f>
        <v>0</v>
      </c>
      <c r="AA249" s="131">
        <f>AA$29*(EIA_electricity_aeo2014!AC$60) * Inputs!$M$60</f>
        <v>0</v>
      </c>
      <c r="AB249" s="131">
        <f>AB$29*(EIA_electricity_aeo2014!AD$60) * Inputs!$M$60</f>
        <v>0</v>
      </c>
      <c r="AC249" s="131">
        <f>AC$29*(EIA_electricity_aeo2014!AE$60) * Inputs!$M$60</f>
        <v>0</v>
      </c>
      <c r="AD249" s="131">
        <f>AD$29*(EIA_electricity_aeo2014!AF$60) * Inputs!$M$60</f>
        <v>0</v>
      </c>
      <c r="AE249" s="131">
        <f>AE$29*(EIA_electricity_aeo2014!AG$60) * Inputs!$M$60</f>
        <v>0</v>
      </c>
      <c r="AF249" s="131">
        <f>AF$29*(EIA_electricity_aeo2014!AH$60) * Inputs!$M$60</f>
        <v>0</v>
      </c>
      <c r="AG249" s="131">
        <f>AG$29*(EIA_electricity_aeo2014!AI$60) * Inputs!$M$60</f>
        <v>0</v>
      </c>
      <c r="AH249" s="191">
        <f>AH$29*(EIA_electricity_aeo2014!AJ$60) * Inputs!$M$60</f>
        <v>0</v>
      </c>
    </row>
    <row r="250" spans="1:34">
      <c r="A250" t="s">
        <v>441</v>
      </c>
      <c r="D250" s="336">
        <f>D$29*(EIA_electricity_aeo2014!F$60) * Inputs!$C$60</f>
        <v>0</v>
      </c>
      <c r="E250" s="336">
        <f>E$29*(EIA_electricity_aeo2014!G$60) * Inputs!$C$60</f>
        <v>0</v>
      </c>
      <c r="F250" s="336">
        <f>F$29*(EIA_electricity_aeo2014!H$60) * Inputs!$C$60</f>
        <v>0</v>
      </c>
      <c r="G250" s="336">
        <f>G$29*(EIA_electricity_aeo2014!I$60) * Inputs!$C$60</f>
        <v>0</v>
      </c>
      <c r="H250" s="408">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8">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1">
        <f>X$29*(EIA_electricity_aeo2014!Z$60) * Inputs!$M$60</f>
        <v>0</v>
      </c>
      <c r="Y250" s="131">
        <f>Y$29*(EIA_electricity_aeo2014!AA$60) * Inputs!$M$60</f>
        <v>0</v>
      </c>
      <c r="Z250" s="131">
        <f>Z$29*(EIA_electricity_aeo2014!AB$60) * Inputs!$M$60</f>
        <v>0</v>
      </c>
      <c r="AA250" s="131">
        <f>AA$29*(EIA_electricity_aeo2014!AC$60) * Inputs!$M$60</f>
        <v>0</v>
      </c>
      <c r="AB250" s="131">
        <f>AB$29*(EIA_electricity_aeo2014!AD$60) * Inputs!$M$60</f>
        <v>0</v>
      </c>
      <c r="AC250" s="131">
        <f>AC$29*(EIA_electricity_aeo2014!AE$60) * Inputs!$M$60</f>
        <v>0</v>
      </c>
      <c r="AD250" s="131">
        <f>AD$29*(EIA_electricity_aeo2014!AF$60) * Inputs!$M$60</f>
        <v>0</v>
      </c>
      <c r="AE250" s="131">
        <f>AE$29*(EIA_electricity_aeo2014!AG$60) * Inputs!$M$60</f>
        <v>0</v>
      </c>
      <c r="AF250" s="131">
        <f>AF$29*(EIA_electricity_aeo2014!AH$60) * Inputs!$M$60</f>
        <v>0</v>
      </c>
      <c r="AG250" s="131">
        <f>AG$29*(EIA_electricity_aeo2014!AI$60) * Inputs!$M$60</f>
        <v>0</v>
      </c>
      <c r="AH250" s="191">
        <f>AH$29*(EIA_electricity_aeo2014!AJ$60) * Inputs!$M$60</f>
        <v>0</v>
      </c>
    </row>
    <row r="251" spans="1:34">
      <c r="A251" t="s">
        <v>442</v>
      </c>
      <c r="D251" s="336">
        <f>D250*Inputs!$H$60</f>
        <v>0</v>
      </c>
      <c r="E251" s="336">
        <f>E250*Inputs!$H$60</f>
        <v>0</v>
      </c>
      <c r="F251" s="336">
        <f>F250*Inputs!$H$60</f>
        <v>0</v>
      </c>
      <c r="G251" s="336">
        <f>G250*Inputs!$H$60</f>
        <v>0</v>
      </c>
      <c r="H251" s="408">
        <f>H250*Inputs!$H$60</f>
        <v>0</v>
      </c>
      <c r="I251" s="14">
        <f>I250*Inputs!$H$60</f>
        <v>0</v>
      </c>
      <c r="J251" s="14">
        <f>J250*Inputs!$H$60</f>
        <v>0</v>
      </c>
      <c r="K251" s="14">
        <f>K250*Inputs!$H$60</f>
        <v>0</v>
      </c>
      <c r="L251" s="14">
        <f>L250*Inputs!$H$60</f>
        <v>0</v>
      </c>
      <c r="M251" s="14">
        <f>M250*Inputs!$H$60</f>
        <v>0</v>
      </c>
      <c r="N251" s="188">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1">
        <f>X$29*(EIA_electricity_aeo2014!Z$60) * Inputs!$M$60</f>
        <v>0</v>
      </c>
      <c r="Y251" s="131">
        <f>Y$29*(EIA_electricity_aeo2014!AA$60) * Inputs!$M$60</f>
        <v>0</v>
      </c>
      <c r="Z251" s="131">
        <f>Z$29*(EIA_electricity_aeo2014!AB$60) * Inputs!$M$60</f>
        <v>0</v>
      </c>
      <c r="AA251" s="131">
        <f>AA$29*(EIA_electricity_aeo2014!AC$60) * Inputs!$M$60</f>
        <v>0</v>
      </c>
      <c r="AB251" s="131">
        <f>AB$29*(EIA_electricity_aeo2014!AD$60) * Inputs!$M$60</f>
        <v>0</v>
      </c>
      <c r="AC251" s="131">
        <f>AC$29*(EIA_electricity_aeo2014!AE$60) * Inputs!$M$60</f>
        <v>0</v>
      </c>
      <c r="AD251" s="131">
        <f>AD$29*(EIA_electricity_aeo2014!AF$60) * Inputs!$M$60</f>
        <v>0</v>
      </c>
      <c r="AE251" s="131">
        <f>AE$29*(EIA_electricity_aeo2014!AG$60) * Inputs!$M$60</f>
        <v>0</v>
      </c>
      <c r="AF251" s="131">
        <f>AF$29*(EIA_electricity_aeo2014!AH$60) * Inputs!$M$60</f>
        <v>0</v>
      </c>
      <c r="AG251" s="131">
        <f>AG$29*(EIA_electricity_aeo2014!AI$60) * Inputs!$M$60</f>
        <v>0</v>
      </c>
      <c r="AH251" s="191">
        <f>AH$29*(EIA_electricity_aeo2014!AJ$60) * Inputs!$M$60</f>
        <v>0</v>
      </c>
    </row>
    <row r="252" spans="1:34" s="1" customFormat="1">
      <c r="A252" s="1" t="s">
        <v>440</v>
      </c>
      <c r="B252" s="13"/>
      <c r="C252" s="333"/>
      <c r="D252" s="346">
        <f>D$29*(1-EIA_electricity_aeo2014!F$60) * Inputs!$M$61</f>
        <v>0</v>
      </c>
      <c r="E252" s="346">
        <f>E$29*(1-EIA_electricity_aeo2014!G$60) * Inputs!$M$61</f>
        <v>0</v>
      </c>
      <c r="F252" s="346">
        <f>F$29*(1-EIA_electricity_aeo2014!H$60) * Inputs!$M$61</f>
        <v>0</v>
      </c>
      <c r="G252" s="346">
        <f>G$29*(1-EIA_electricity_aeo2014!I$60) * Inputs!$M$61</f>
        <v>0</v>
      </c>
      <c r="H252" s="411">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1">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1">
        <f>X$29*(EIA_electricity_aeo2014!Z$60) * Inputs!$M$60</f>
        <v>0</v>
      </c>
      <c r="Y252" s="131">
        <f>Y$29*(EIA_electricity_aeo2014!AA$60) * Inputs!$M$60</f>
        <v>0</v>
      </c>
      <c r="Z252" s="131">
        <f>Z$29*(EIA_electricity_aeo2014!AB$60) * Inputs!$M$60</f>
        <v>0</v>
      </c>
      <c r="AA252" s="131">
        <f>AA$29*(EIA_electricity_aeo2014!AC$60) * Inputs!$M$60</f>
        <v>0</v>
      </c>
      <c r="AB252" s="131">
        <f>AB$29*(EIA_electricity_aeo2014!AD$60) * Inputs!$M$60</f>
        <v>0</v>
      </c>
      <c r="AC252" s="131">
        <f>AC$29*(EIA_electricity_aeo2014!AE$60) * Inputs!$M$60</f>
        <v>0</v>
      </c>
      <c r="AD252" s="131">
        <f>AD$29*(EIA_electricity_aeo2014!AF$60) * Inputs!$M$60</f>
        <v>0</v>
      </c>
      <c r="AE252" s="131">
        <f>AE$29*(EIA_electricity_aeo2014!AG$60) * Inputs!$M$60</f>
        <v>0</v>
      </c>
      <c r="AF252" s="131">
        <f>AF$29*(EIA_electricity_aeo2014!AH$60) * Inputs!$M$60</f>
        <v>0</v>
      </c>
      <c r="AG252" s="131">
        <f>AG$29*(EIA_electricity_aeo2014!AI$60) * Inputs!$M$60</f>
        <v>0</v>
      </c>
      <c r="AH252" s="191">
        <f>AH$29*(EIA_electricity_aeo2014!AJ$60) * Inputs!$M$60</f>
        <v>0</v>
      </c>
    </row>
    <row r="253" spans="1:34">
      <c r="A253" t="s">
        <v>441</v>
      </c>
      <c r="D253" s="336">
        <f>D$29*(1-EIA_electricity_aeo2014!F$60) * Inputs!$C$61</f>
        <v>0</v>
      </c>
      <c r="E253" s="336">
        <f>E$29*(1-EIA_electricity_aeo2014!G$60) * Inputs!$C$61</f>
        <v>0</v>
      </c>
      <c r="F253" s="336">
        <f>F$29*(1-EIA_electricity_aeo2014!H$60) * Inputs!$C$61</f>
        <v>0</v>
      </c>
      <c r="G253" s="336">
        <f>G$29*(1-EIA_electricity_aeo2014!I$60) * Inputs!$C$61</f>
        <v>0</v>
      </c>
      <c r="H253" s="408">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8">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1">
        <f>X$29*(EIA_electricity_aeo2014!Z$60) * Inputs!$M$60</f>
        <v>0</v>
      </c>
      <c r="Y253" s="131">
        <f>Y$29*(EIA_electricity_aeo2014!AA$60) * Inputs!$M$60</f>
        <v>0</v>
      </c>
      <c r="Z253" s="131">
        <f>Z$29*(EIA_electricity_aeo2014!AB$60) * Inputs!$M$60</f>
        <v>0</v>
      </c>
      <c r="AA253" s="131">
        <f>AA$29*(EIA_electricity_aeo2014!AC$60) * Inputs!$M$60</f>
        <v>0</v>
      </c>
      <c r="AB253" s="131">
        <f>AB$29*(EIA_electricity_aeo2014!AD$60) * Inputs!$M$60</f>
        <v>0</v>
      </c>
      <c r="AC253" s="131">
        <f>AC$29*(EIA_electricity_aeo2014!AE$60) * Inputs!$M$60</f>
        <v>0</v>
      </c>
      <c r="AD253" s="131">
        <f>AD$29*(EIA_electricity_aeo2014!AF$60) * Inputs!$M$60</f>
        <v>0</v>
      </c>
      <c r="AE253" s="131">
        <f>AE$29*(EIA_electricity_aeo2014!AG$60) * Inputs!$M$60</f>
        <v>0</v>
      </c>
      <c r="AF253" s="131">
        <f>AF$29*(EIA_electricity_aeo2014!AH$60) * Inputs!$M$60</f>
        <v>0</v>
      </c>
      <c r="AG253" s="131">
        <f>AG$29*(EIA_electricity_aeo2014!AI$60) * Inputs!$M$60</f>
        <v>0</v>
      </c>
      <c r="AH253" s="191">
        <f>AH$29*(EIA_electricity_aeo2014!AJ$60) * Inputs!$M$60</f>
        <v>0</v>
      </c>
    </row>
    <row r="254" spans="1:34">
      <c r="A254" t="s">
        <v>442</v>
      </c>
      <c r="D254" s="336">
        <f>D253*Inputs!$H$61</f>
        <v>0</v>
      </c>
      <c r="E254" s="336">
        <f>E253*Inputs!$H$61</f>
        <v>0</v>
      </c>
      <c r="F254" s="336">
        <f>F253*Inputs!$H$61</f>
        <v>0</v>
      </c>
      <c r="G254" s="336">
        <f>G253*Inputs!$H$61</f>
        <v>0</v>
      </c>
      <c r="H254" s="408">
        <f>H253*Inputs!$H$61</f>
        <v>0</v>
      </c>
      <c r="I254" s="14">
        <f>I253*Inputs!$H$61</f>
        <v>0</v>
      </c>
      <c r="J254" s="14">
        <f>J253*Inputs!$H$61</f>
        <v>0</v>
      </c>
      <c r="K254" s="14">
        <f>K253*Inputs!$H$61</f>
        <v>0</v>
      </c>
      <c r="L254" s="14">
        <f>L253*Inputs!$H$61</f>
        <v>0</v>
      </c>
      <c r="M254" s="14">
        <f>M253*Inputs!$H$61</f>
        <v>0</v>
      </c>
      <c r="N254" s="188">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1">
        <f>X$29*(EIA_electricity_aeo2014!Z$60) * Inputs!$M$60</f>
        <v>0</v>
      </c>
      <c r="Y254" s="131">
        <f>Y$29*(EIA_electricity_aeo2014!AA$60) * Inputs!$M$60</f>
        <v>0</v>
      </c>
      <c r="Z254" s="131">
        <f>Z$29*(EIA_electricity_aeo2014!AB$60) * Inputs!$M$60</f>
        <v>0</v>
      </c>
      <c r="AA254" s="131">
        <f>AA$29*(EIA_electricity_aeo2014!AC$60) * Inputs!$M$60</f>
        <v>0</v>
      </c>
      <c r="AB254" s="131">
        <f>AB$29*(EIA_electricity_aeo2014!AD$60) * Inputs!$M$60</f>
        <v>0</v>
      </c>
      <c r="AC254" s="131">
        <f>AC$29*(EIA_electricity_aeo2014!AE$60) * Inputs!$M$60</f>
        <v>0</v>
      </c>
      <c r="AD254" s="131">
        <f>AD$29*(EIA_electricity_aeo2014!AF$60) * Inputs!$M$60</f>
        <v>0</v>
      </c>
      <c r="AE254" s="131">
        <f>AE$29*(EIA_electricity_aeo2014!AG$60) * Inputs!$M$60</f>
        <v>0</v>
      </c>
      <c r="AF254" s="131">
        <f>AF$29*(EIA_electricity_aeo2014!AH$60) * Inputs!$M$60</f>
        <v>0</v>
      </c>
      <c r="AG254" s="131">
        <f>AG$29*(EIA_electricity_aeo2014!AI$60) * Inputs!$M$60</f>
        <v>0</v>
      </c>
      <c r="AH254" s="191">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125" zoomScaleNormal="125" zoomScalePageLayoutView="125" workbookViewId="0">
      <pane xSplit="2" ySplit="2" topLeftCell="W3" activePane="bottomRight" state="frozen"/>
      <selection pane="topRight" activeCell="C1" sqref="C1"/>
      <selection pane="bottomLeft" activeCell="A3" sqref="A3"/>
      <selection pane="bottomRight" activeCell="AF18" sqref="AF18"/>
    </sheetView>
  </sheetViews>
  <sheetFormatPr baseColWidth="10" defaultColWidth="8.83203125" defaultRowHeight="14" x14ac:dyDescent="0"/>
  <cols>
    <col min="1" max="1" width="25.6640625" bestFit="1" customWidth="1"/>
    <col min="2" max="2" width="5.6640625" style="2" bestFit="1" customWidth="1"/>
    <col min="3" max="3" width="13.33203125" style="332" bestFit="1" customWidth="1"/>
    <col min="4" max="4" width="12.33203125" style="332" customWidth="1"/>
    <col min="5" max="5" width="14.1640625" style="332" customWidth="1"/>
    <col min="6" max="6" width="11.33203125" style="332" bestFit="1" customWidth="1"/>
    <col min="7" max="7" width="14.33203125" style="332"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7" bestFit="1" customWidth="1"/>
    <col min="15" max="22" width="11.5" style="2" bestFit="1" customWidth="1"/>
    <col min="23" max="23" width="11.33203125" style="2" bestFit="1" customWidth="1"/>
    <col min="24" max="24" width="11.33203125" style="193"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32" t="s">
        <v>0</v>
      </c>
      <c r="D1" s="332" t="s">
        <v>0</v>
      </c>
      <c r="E1" s="399" t="s">
        <v>0</v>
      </c>
    </row>
    <row r="2" spans="1:34" s="1" customFormat="1">
      <c r="B2" s="2" t="s">
        <v>127</v>
      </c>
      <c r="C2" s="333">
        <v>2009</v>
      </c>
      <c r="D2" s="333">
        <v>2010</v>
      </c>
      <c r="E2" s="333">
        <v>2011</v>
      </c>
      <c r="F2" s="333">
        <v>2012</v>
      </c>
      <c r="G2" s="333">
        <v>2013</v>
      </c>
      <c r="H2" s="13">
        <v>2014</v>
      </c>
      <c r="I2" s="13">
        <v>2015</v>
      </c>
      <c r="J2" s="13">
        <v>2016</v>
      </c>
      <c r="K2" s="13">
        <v>2017</v>
      </c>
      <c r="L2" s="13">
        <v>2018</v>
      </c>
      <c r="M2" s="13">
        <v>2019</v>
      </c>
      <c r="N2" s="177">
        <v>2020</v>
      </c>
      <c r="O2" s="13">
        <v>2021</v>
      </c>
      <c r="P2" s="13">
        <v>2022</v>
      </c>
      <c r="Q2" s="13">
        <v>2023</v>
      </c>
      <c r="R2" s="13">
        <v>2024</v>
      </c>
      <c r="S2" s="13">
        <v>2025</v>
      </c>
      <c r="T2" s="13">
        <v>2026</v>
      </c>
      <c r="U2" s="13">
        <v>2027</v>
      </c>
      <c r="V2" s="13">
        <v>2028</v>
      </c>
      <c r="W2" s="13">
        <v>2029</v>
      </c>
      <c r="X2" s="177">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33"/>
      <c r="D3" s="333"/>
      <c r="E3" s="333"/>
      <c r="F3" s="333"/>
      <c r="G3" s="333"/>
      <c r="H3" s="13"/>
      <c r="I3" s="13"/>
      <c r="J3" s="13"/>
      <c r="K3" s="13"/>
      <c r="L3" s="13"/>
      <c r="M3" s="13"/>
      <c r="N3" s="177"/>
      <c r="O3" s="13"/>
      <c r="P3" s="13"/>
      <c r="Q3" s="13"/>
      <c r="R3" s="13"/>
      <c r="S3" s="13"/>
      <c r="T3" s="13"/>
      <c r="U3" s="13"/>
      <c r="V3" s="13"/>
      <c r="W3" s="13"/>
      <c r="X3" s="177"/>
      <c r="Y3" s="13"/>
      <c r="Z3" s="13"/>
      <c r="AA3" s="13"/>
      <c r="AB3" s="13"/>
      <c r="AC3" s="13"/>
      <c r="AD3" s="13"/>
      <c r="AE3" s="13"/>
      <c r="AF3" s="13"/>
      <c r="AG3" s="13"/>
      <c r="AH3" s="13"/>
    </row>
    <row r="4" spans="1:34" s="1" customFormat="1">
      <c r="A4" s="1" t="s">
        <v>111</v>
      </c>
      <c r="B4" s="13"/>
      <c r="C4" s="334">
        <f>EIA_electricity_aeo2014!E58 * 1000</f>
        <v>101102</v>
      </c>
      <c r="D4" s="334">
        <f>EIA_electricity_aeo2014!F58 * 1000</f>
        <v>105088.00000000001</v>
      </c>
      <c r="E4" s="334">
        <f>EIA_electricity_aeo2014!G58 * 1000</f>
        <v>100894.44435546557</v>
      </c>
      <c r="F4" s="334">
        <f>EIA_electricity_aeo2014!H58 * 1000</f>
        <v>100250.87725917753</v>
      </c>
      <c r="G4" s="334">
        <f>EIA_electricity_aeo2014!I58 * 1000</f>
        <v>98638.97969429841</v>
      </c>
      <c r="H4" s="21">
        <f>EIA_electricity_aeo2014!J58 * 1000</f>
        <v>100843.81442635853</v>
      </c>
      <c r="I4" s="21">
        <f>EIA_electricity_aeo2014!K58 * 1000</f>
        <v>103706.86210478992</v>
      </c>
      <c r="J4" s="21">
        <f>EIA_electricity_aeo2014!L58 * 1000</f>
        <v>105066.86353026686</v>
      </c>
      <c r="K4" s="21">
        <f>EIA_electricity_aeo2014!M58 * 1000</f>
        <v>109266.31034840272</v>
      </c>
      <c r="L4" s="21">
        <f>EIA_electricity_aeo2014!N58 * 1000</f>
        <v>111560.83922544663</v>
      </c>
      <c r="M4" s="21">
        <f>EIA_electricity_aeo2014!O58 * 1000</f>
        <v>113710.8767134034</v>
      </c>
      <c r="N4" s="394">
        <f>EIA_electricity_aeo2014!P58 * 1000</f>
        <v>115908.24571707034</v>
      </c>
      <c r="O4" s="21">
        <f>EIA_electricity_aeo2014!Q58 * 1000</f>
        <v>117745.0667221067</v>
      </c>
      <c r="P4" s="21">
        <f>EIA_electricity_aeo2014!R58 * 1000</f>
        <v>119700.09019154405</v>
      </c>
      <c r="Q4" s="21">
        <f>EIA_electricity_aeo2014!S58 * 1000</f>
        <v>120447.22345965021</v>
      </c>
      <c r="R4" s="21">
        <f>EIA_electricity_aeo2014!T58 * 1000</f>
        <v>122140.6892796676</v>
      </c>
      <c r="S4" s="21">
        <f>EIA_electricity_aeo2014!U58 * 1000</f>
        <v>123151.14933114163</v>
      </c>
      <c r="T4" s="21">
        <f>EIA_electricity_aeo2014!V58 * 1000</f>
        <v>123636.59110513925</v>
      </c>
      <c r="U4" s="21">
        <f>EIA_electricity_aeo2014!W58 * 1000</f>
        <v>126036.882680072</v>
      </c>
      <c r="V4" s="21">
        <f>EIA_electricity_aeo2014!X58 * 1000</f>
        <v>126772.50359056963</v>
      </c>
      <c r="W4" s="21">
        <f>EIA_electricity_aeo2014!Y58 * 1000</f>
        <v>128309.93178835379</v>
      </c>
      <c r="X4" s="394">
        <f>EIA_electricity_aeo2014!Z58 * 1000</f>
        <v>129455.02328935527</v>
      </c>
      <c r="Y4" s="21">
        <f>EIA_electricity_aeo2014!AA58 * 1000</f>
        <v>129326.4811186325</v>
      </c>
      <c r="Z4" s="21">
        <f>EIA_electricity_aeo2014!AB58 * 1000</f>
        <v>129711.07021502555</v>
      </c>
      <c r="AA4" s="21">
        <f>EIA_electricity_aeo2014!AC58 * 1000</f>
        <v>130458.42776592994</v>
      </c>
      <c r="AB4" s="21">
        <f>EIA_electricity_aeo2014!AD58 * 1000</f>
        <v>131713.4495228591</v>
      </c>
      <c r="AC4" s="21">
        <f>EIA_electricity_aeo2014!AE58 * 1000</f>
        <v>131993.80255405259</v>
      </c>
      <c r="AD4" s="21">
        <f>EIA_electricity_aeo2014!AF58 * 1000</f>
        <v>132841.87342848594</v>
      </c>
      <c r="AE4" s="21">
        <f>EIA_electricity_aeo2014!AG58 * 1000</f>
        <v>133563.4377678872</v>
      </c>
      <c r="AF4" s="21">
        <f>EIA_electricity_aeo2014!AH58 * 1000</f>
        <v>134029.83043174105</v>
      </c>
      <c r="AG4" s="21">
        <f>EIA_electricity_aeo2014!AI58 * 1000</f>
        <v>136078.68271307115</v>
      </c>
      <c r="AH4" s="21">
        <f>EIA_electricity_aeo2014!AJ58 * 1000</f>
        <v>137557.84494157814</v>
      </c>
    </row>
    <row r="5" spans="1:34">
      <c r="A5" s="9" t="s">
        <v>61</v>
      </c>
      <c r="B5" s="34">
        <v>0</v>
      </c>
      <c r="C5" s="335">
        <v>0</v>
      </c>
      <c r="D5" s="335"/>
      <c r="E5" s="335"/>
      <c r="F5" s="335"/>
      <c r="G5" s="335"/>
      <c r="H5" s="3"/>
      <c r="I5" s="3"/>
      <c r="J5" s="3"/>
      <c r="K5" s="3"/>
      <c r="L5" s="3"/>
      <c r="M5" s="3"/>
      <c r="N5" s="394"/>
      <c r="O5" s="3"/>
      <c r="P5" s="3"/>
      <c r="Q5" s="3"/>
      <c r="R5" s="3"/>
      <c r="S5" s="3"/>
      <c r="T5" s="3"/>
      <c r="U5" s="3"/>
      <c r="V5" s="3"/>
      <c r="W5" s="3"/>
      <c r="X5" s="185"/>
    </row>
    <row r="6" spans="1:34">
      <c r="A6" s="9" t="s">
        <v>60</v>
      </c>
      <c r="B6" s="34">
        <v>0</v>
      </c>
      <c r="C6" s="335">
        <v>0</v>
      </c>
      <c r="D6" s="335"/>
      <c r="E6" s="400" t="s">
        <v>0</v>
      </c>
      <c r="F6" s="335"/>
      <c r="G6" s="335"/>
      <c r="H6" s="3"/>
      <c r="I6" s="3"/>
      <c r="J6" s="3"/>
      <c r="K6" s="3"/>
      <c r="L6" s="3"/>
      <c r="M6" s="3"/>
      <c r="N6" s="394"/>
      <c r="O6" s="3"/>
      <c r="P6" s="3"/>
      <c r="Q6" s="3"/>
      <c r="R6" s="3"/>
      <c r="S6" s="3"/>
      <c r="T6" s="3"/>
      <c r="U6" s="3"/>
      <c r="V6" s="3"/>
      <c r="W6" s="3"/>
      <c r="X6" s="185"/>
    </row>
    <row r="7" spans="1:34">
      <c r="A7" s="9" t="s">
        <v>49</v>
      </c>
      <c r="B7" s="34">
        <v>0</v>
      </c>
      <c r="C7" s="335">
        <f>EIA_RE_aeo2014!E73*1000-C15</f>
        <v>2331.9899999999998</v>
      </c>
      <c r="D7" s="335">
        <f>EIA_RE_aeo2014!F73*1000-D15</f>
        <v>2375.9899999999998</v>
      </c>
      <c r="E7" s="335">
        <f>EIA_RE_aeo2014!G73*1000-E15</f>
        <v>1919.3063999999999</v>
      </c>
      <c r="F7" s="335">
        <f>EIA_RE_aeo2014!H73*1000-F15</f>
        <v>1832.8064000000002</v>
      </c>
      <c r="G7" s="335">
        <f>EIA_RE_aeo2014!I73*1000-G15</f>
        <v>2750.4187999999995</v>
      </c>
      <c r="H7" s="175">
        <f>EIA_RE_aeo2014!J73*1000-H15</f>
        <v>2810.4683999999997</v>
      </c>
      <c r="I7" s="175">
        <f>EIA_RE_aeo2014!K73*1000-I15</f>
        <v>2869.8143999999998</v>
      </c>
      <c r="J7" s="175">
        <f>EIA_RE_aeo2014!L73*1000-J15</f>
        <v>2929.3516</v>
      </c>
      <c r="K7" s="175">
        <f>EIA_RE_aeo2014!M73*1000-K15</f>
        <v>2981.8124000000003</v>
      </c>
      <c r="L7" s="175">
        <f>EIA_RE_aeo2014!N73*1000-L15</f>
        <v>2981.8071999999997</v>
      </c>
      <c r="M7" s="175">
        <f>EIA_RE_aeo2014!O73*1000-M15</f>
        <v>2981.8071999999997</v>
      </c>
      <c r="N7" s="185">
        <f>EIA_RE_aeo2014!P73*1000-N15</f>
        <v>2981.8071999999997</v>
      </c>
      <c r="O7" s="175">
        <f>EIA_RE_aeo2014!Q73*1000-O15</f>
        <v>2981.8071999999997</v>
      </c>
      <c r="P7" s="175">
        <f>EIA_RE_aeo2014!R73*1000-P15</f>
        <v>2981.8071999999997</v>
      </c>
      <c r="Q7" s="175">
        <f>EIA_RE_aeo2014!S73*1000-Q15</f>
        <v>2981.8071999999997</v>
      </c>
      <c r="R7" s="175">
        <f>EIA_RE_aeo2014!T73*1000-R15</f>
        <v>2981.8071999999997</v>
      </c>
      <c r="S7" s="83">
        <f>EIA_RE_aeo2014!U73*1000-S15</f>
        <v>2981.8071999999997</v>
      </c>
      <c r="T7" s="83">
        <f>EIA_RE_aeo2014!V73*1000-T15</f>
        <v>2981.8071999999997</v>
      </c>
      <c r="U7" s="83">
        <f>EIA_RE_aeo2014!W73*1000-U15</f>
        <v>2981.8071999999997</v>
      </c>
      <c r="V7" s="83">
        <f>EIA_RE_aeo2014!X73*1000-V15</f>
        <v>2981.8071999999997</v>
      </c>
      <c r="W7" s="83">
        <f>EIA_RE_aeo2014!Y73*1000-W15</f>
        <v>2981.8071999999997</v>
      </c>
      <c r="X7" s="185">
        <f>EIA_RE_aeo2014!Z73*1000-X15</f>
        <v>2981.8071999999997</v>
      </c>
      <c r="Y7" s="175">
        <f>EIA_RE_aeo2014!AA73*1000-Y15</f>
        <v>2981.8071999999997</v>
      </c>
      <c r="Z7" s="175">
        <f>EIA_RE_aeo2014!AB73*1000-Z15</f>
        <v>3007.752</v>
      </c>
      <c r="AA7" s="175">
        <f>EIA_RE_aeo2014!AC73*1000-AA15</f>
        <v>3007.752</v>
      </c>
      <c r="AB7" s="175">
        <f>EIA_RE_aeo2014!AD73*1000-AB15</f>
        <v>3007.752</v>
      </c>
      <c r="AC7" s="175">
        <f>EIA_RE_aeo2014!AE73*1000-AC15</f>
        <v>3007.752</v>
      </c>
      <c r="AD7" s="175">
        <f>EIA_RE_aeo2014!AF73*1000-AD15</f>
        <v>3007.752</v>
      </c>
      <c r="AE7" s="175">
        <f>EIA_RE_aeo2014!AG73*1000-AE15</f>
        <v>3007.752</v>
      </c>
      <c r="AF7" s="175">
        <f>EIA_RE_aeo2014!AH73*1000-AF15</f>
        <v>3007.752</v>
      </c>
      <c r="AG7" s="175">
        <f>EIA_RE_aeo2014!AI73*1000-AG15</f>
        <v>3007.752</v>
      </c>
      <c r="AH7" s="175">
        <f>EIA_RE_aeo2014!AJ73*1000-AH15</f>
        <v>3007.752</v>
      </c>
    </row>
    <row r="8" spans="1:34">
      <c r="A8" s="9" t="s">
        <v>59</v>
      </c>
      <c r="B8" s="34">
        <v>0</v>
      </c>
      <c r="C8" s="335">
        <f>EIA_electricity_aeo2014!E52*1000</f>
        <v>52150</v>
      </c>
      <c r="D8" s="335">
        <f>EIA_electricity_aeo2014!F52*1000</f>
        <v>51988</v>
      </c>
      <c r="E8" s="335">
        <f>EIA_electricity_aeo2014!G52*1000</f>
        <v>51634.445062838233</v>
      </c>
      <c r="F8" s="335">
        <f>EIA_electricity_aeo2014!H52*1000</f>
        <v>51754.659837773688</v>
      </c>
      <c r="G8" s="335">
        <f>EIA_electricity_aeo2014!I52*1000</f>
        <v>51025.416210292402</v>
      </c>
      <c r="H8" s="3">
        <f>EIA_electricity_aeo2014!J52*1000</f>
        <v>51113.397484342378</v>
      </c>
      <c r="I8" s="3">
        <f>EIA_electricity_aeo2014!K52*1000</f>
        <v>52486.035642356343</v>
      </c>
      <c r="J8" s="3">
        <f>EIA_electricity_aeo2014!L52*1000</f>
        <v>52912.340866594153</v>
      </c>
      <c r="K8" s="3">
        <f>EIA_electricity_aeo2014!M52*1000</f>
        <v>55371.45931261732</v>
      </c>
      <c r="L8" s="3">
        <f>EIA_electricity_aeo2014!N52*1000</f>
        <v>57817.04518254134</v>
      </c>
      <c r="M8" s="3">
        <f>EIA_electricity_aeo2014!O52*1000</f>
        <v>59942.505036373783</v>
      </c>
      <c r="N8" s="394">
        <f>EIA_electricity_aeo2014!P52*1000</f>
        <v>60431.594261609287</v>
      </c>
      <c r="O8" s="3">
        <f>EIA_electricity_aeo2014!Q52*1000</f>
        <v>60431.601205397928</v>
      </c>
      <c r="P8" s="3">
        <f>EIA_electricity_aeo2014!R52*1000</f>
        <v>60431.594261609287</v>
      </c>
      <c r="Q8" s="3">
        <f>EIA_electricity_aeo2014!S52*1000</f>
        <v>60431.601205397928</v>
      </c>
      <c r="R8" s="3">
        <f>EIA_electricity_aeo2014!T52*1000</f>
        <v>60431.601205397928</v>
      </c>
      <c r="S8" s="3">
        <f>EIA_electricity_aeo2014!U52*1000</f>
        <v>60431.594261609287</v>
      </c>
      <c r="T8" s="3">
        <f>EIA_electricity_aeo2014!V52*1000</f>
        <v>60431.806481149797</v>
      </c>
      <c r="U8" s="3">
        <f>EIA_electricity_aeo2014!W52*1000</f>
        <v>60431.594261609287</v>
      </c>
      <c r="V8" s="3">
        <f>EIA_electricity_aeo2014!X52*1000</f>
        <v>60431.594261609287</v>
      </c>
      <c r="W8" s="3">
        <f>EIA_electricity_aeo2014!Y52*1000</f>
        <v>60431.594261609287</v>
      </c>
      <c r="X8" s="185">
        <f>EIA_electricity_aeo2014!Z52*1000</f>
        <v>60431.601205397928</v>
      </c>
      <c r="Y8" s="175">
        <f>EIA_electricity_aeo2014!AA52*1000</f>
        <v>60431.594261609287</v>
      </c>
      <c r="Z8" s="175">
        <f>EIA_electricity_aeo2014!AB52*1000</f>
        <v>60431.601205397928</v>
      </c>
      <c r="AA8" s="175">
        <f>EIA_electricity_aeo2014!AC52*1000</f>
        <v>60431.601205397928</v>
      </c>
      <c r="AB8" s="175">
        <f>EIA_electricity_aeo2014!AD52*1000</f>
        <v>60431.601205397928</v>
      </c>
      <c r="AC8" s="175">
        <f>EIA_electricity_aeo2014!AE52*1000</f>
        <v>60431.601205397928</v>
      </c>
      <c r="AD8" s="175">
        <f>EIA_electricity_aeo2014!AF52*1000</f>
        <v>60741.48296330146</v>
      </c>
      <c r="AE8" s="175">
        <f>EIA_electricity_aeo2014!AG52*1000</f>
        <v>60817.822541698188</v>
      </c>
      <c r="AF8" s="175">
        <f>EIA_electricity_aeo2014!AH52*1000</f>
        <v>60817.816031896335</v>
      </c>
      <c r="AG8" s="175">
        <f>EIA_electricity_aeo2014!AI52*1000</f>
        <v>61156.172965080237</v>
      </c>
      <c r="AH8" s="175">
        <f>EIA_electricity_aeo2014!AJ52*1000</f>
        <v>61227.618908428107</v>
      </c>
    </row>
    <row r="9" spans="1:34">
      <c r="A9" s="9"/>
      <c r="B9" s="34"/>
      <c r="C9" s="335"/>
      <c r="D9" s="335"/>
      <c r="E9" s="335"/>
      <c r="F9" s="335"/>
      <c r="G9" s="335"/>
      <c r="H9" s="118"/>
      <c r="I9" s="118"/>
      <c r="J9" s="118"/>
      <c r="K9" s="118"/>
      <c r="L9" s="118"/>
      <c r="M9" s="118"/>
      <c r="N9" s="394"/>
      <c r="O9" s="118"/>
      <c r="P9" s="118"/>
      <c r="Q9" s="118"/>
      <c r="R9" s="118"/>
      <c r="S9" s="118"/>
      <c r="T9" s="118"/>
      <c r="U9" s="118"/>
      <c r="V9" s="118"/>
      <c r="W9" s="118"/>
      <c r="X9" s="185"/>
    </row>
    <row r="10" spans="1:34" s="20" customFormat="1">
      <c r="A10" s="9" t="s">
        <v>125</v>
      </c>
      <c r="B10" s="35">
        <v>1</v>
      </c>
      <c r="C10" s="335">
        <f>EIA_RE_aeo2014!E76*1000</f>
        <v>1611</v>
      </c>
      <c r="D10" s="335">
        <f>EIA_RE_aeo2014!F76*1000</f>
        <v>1742</v>
      </c>
      <c r="E10" s="335">
        <f>EIA_RE_aeo2014!G76*1000</f>
        <v>1742.497749477036</v>
      </c>
      <c r="F10" s="335">
        <f>EIA_RE_aeo2014!H76*1000</f>
        <v>1836.5662641192121</v>
      </c>
      <c r="G10" s="335">
        <f>EIA_RE_aeo2014!I76*1000</f>
        <v>2073.1997868796434</v>
      </c>
      <c r="H10" s="83">
        <f>EIA_RE_aeo2014!J76*1000</f>
        <v>2102.2403600898892</v>
      </c>
      <c r="I10" s="175">
        <f>EIA_RE_aeo2014!K76*1000</f>
        <v>2147.1245067511613</v>
      </c>
      <c r="J10" s="175">
        <f>EIA_RE_aeo2014!L76*1000</f>
        <v>3405.3679910337873</v>
      </c>
      <c r="K10" s="175">
        <f>EIA_RE_aeo2014!M76*1000</f>
        <v>3045.9394829604175</v>
      </c>
      <c r="L10" s="175">
        <f>EIA_RE_aeo2014!N76*1000</f>
        <v>3143.6924170385209</v>
      </c>
      <c r="M10" s="175">
        <f>EIA_RE_aeo2014!O76*1000</f>
        <v>3518.012134299659</v>
      </c>
      <c r="N10" s="185">
        <f>EIA_RE_aeo2014!P76*1000</f>
        <v>4498.7937940113943</v>
      </c>
      <c r="O10" s="175">
        <f>EIA_RE_aeo2014!Q76*1000</f>
        <v>6009.3732462566813</v>
      </c>
      <c r="P10" s="175">
        <f>EIA_RE_aeo2014!R76*1000</f>
        <v>6126.5006417776785</v>
      </c>
      <c r="Q10" s="175">
        <f>EIA_RE_aeo2014!S76*1000</f>
        <v>6361.273014805759</v>
      </c>
      <c r="R10" s="175">
        <f>EIA_RE_aeo2014!T76*1000</f>
        <v>6400.7748451661264</v>
      </c>
      <c r="S10" s="83">
        <f>EIA_RE_aeo2014!U76*1000</f>
        <v>6460.3396819171994</v>
      </c>
      <c r="T10" s="83">
        <f>EIA_RE_aeo2014!V76*1000</f>
        <v>6467.0015386590958</v>
      </c>
      <c r="U10" s="83">
        <f>EIA_RE_aeo2014!W76*1000</f>
        <v>6412.3061293237506</v>
      </c>
      <c r="V10" s="83">
        <f>EIA_RE_aeo2014!X76*1000</f>
        <v>6442.1358139298818</v>
      </c>
      <c r="W10" s="83">
        <f>EIA_RE_aeo2014!Y76*1000</f>
        <v>6465.4554971307089</v>
      </c>
      <c r="X10" s="185">
        <f>EIA_RE_aeo2014!Z76*1000</f>
        <v>6410.6980718190525</v>
      </c>
      <c r="Y10" s="175">
        <f>EIA_RE_aeo2014!AA76*1000</f>
        <v>6447.4383475153154</v>
      </c>
      <c r="Z10" s="175">
        <f>EIA_RE_aeo2014!AB76*1000</f>
        <v>6428.3873748137257</v>
      </c>
      <c r="AA10" s="175">
        <f>EIA_RE_aeo2014!AC76*1000</f>
        <v>6440.502279591672</v>
      </c>
      <c r="AB10" s="175">
        <f>EIA_RE_aeo2014!AD76*1000</f>
        <v>6485.3602789764445</v>
      </c>
      <c r="AC10" s="175">
        <f>EIA_RE_aeo2014!AE76*1000</f>
        <v>6514.8108280733377</v>
      </c>
      <c r="AD10" s="175">
        <f>EIA_RE_aeo2014!AF76*1000</f>
        <v>6551.9436481385819</v>
      </c>
      <c r="AE10" s="175">
        <f>EIA_RE_aeo2014!AG76*1000</f>
        <v>6583.354907751419</v>
      </c>
      <c r="AF10" s="175">
        <f>EIA_RE_aeo2014!AH76*1000</f>
        <v>6573.3388247447701</v>
      </c>
      <c r="AG10" s="175">
        <f>EIA_RE_aeo2014!AI76*1000</f>
        <v>6607.960835823108</v>
      </c>
      <c r="AH10" s="175">
        <f>EIA_RE_aeo2014!AJ76*1000</f>
        <v>6638.0184710448721</v>
      </c>
    </row>
    <row r="11" spans="1:34" s="20" customFormat="1">
      <c r="A11" s="9" t="s">
        <v>50</v>
      </c>
      <c r="B11" s="35">
        <v>1</v>
      </c>
      <c r="C11" s="335">
        <f>EIA_RE_aeo2014!E74*1000</f>
        <v>0</v>
      </c>
      <c r="D11" s="335">
        <f>EIA_RE_aeo2014!F74*1000</f>
        <v>0</v>
      </c>
      <c r="E11" s="335">
        <f>EIA_RE_aeo2014!G74*1000</f>
        <v>1E-4</v>
      </c>
      <c r="F11" s="335">
        <f>EIA_RE_aeo2014!H74*1000</f>
        <v>1E-4</v>
      </c>
      <c r="G11" s="335">
        <f>EIA_RE_aeo2014!I74*1000</f>
        <v>1E-4</v>
      </c>
      <c r="H11" s="83">
        <f>EIA_RE_aeo2014!J74*1000</f>
        <v>1E-4</v>
      </c>
      <c r="I11" s="83">
        <f>EIA_RE_aeo2014!K74*1000</f>
        <v>1E-4</v>
      </c>
      <c r="J11" s="83">
        <f>EIA_RE_aeo2014!L74*1000</f>
        <v>1E-4</v>
      </c>
      <c r="K11" s="83">
        <f>EIA_RE_aeo2014!M74*1000</f>
        <v>1E-4</v>
      </c>
      <c r="L11" s="83">
        <f>EIA_RE_aeo2014!N74*1000</f>
        <v>1E-4</v>
      </c>
      <c r="M11" s="83">
        <f>EIA_RE_aeo2014!O74*1000</f>
        <v>1E-4</v>
      </c>
      <c r="N11" s="394">
        <f>EIA_RE_aeo2014!P74*1000</f>
        <v>1E-4</v>
      </c>
      <c r="O11" s="83">
        <f>EIA_RE_aeo2014!Q74*1000</f>
        <v>1E-4</v>
      </c>
      <c r="P11" s="83">
        <f>EIA_RE_aeo2014!R74*1000</f>
        <v>1E-4</v>
      </c>
      <c r="Q11" s="83">
        <f>EIA_RE_aeo2014!S74*1000</f>
        <v>1E-4</v>
      </c>
      <c r="R11" s="83">
        <f>EIA_RE_aeo2014!T74*1000</f>
        <v>1E-4</v>
      </c>
      <c r="S11" s="83">
        <f>EIA_RE_aeo2014!U74*1000</f>
        <v>1E-4</v>
      </c>
      <c r="T11" s="83">
        <f>EIA_RE_aeo2014!V74*1000</f>
        <v>1E-4</v>
      </c>
      <c r="U11" s="83">
        <f>EIA_RE_aeo2014!W74*1000</f>
        <v>1E-4</v>
      </c>
      <c r="V11" s="83">
        <f>EIA_RE_aeo2014!X74*1000</f>
        <v>1E-4</v>
      </c>
      <c r="W11" s="83">
        <f>EIA_RE_aeo2014!Y74*1000</f>
        <v>1E-4</v>
      </c>
      <c r="X11" s="185">
        <f>EIA_RE_aeo2014!Z74*1000</f>
        <v>1E-4</v>
      </c>
      <c r="Y11" s="175">
        <f>EIA_RE_aeo2014!AA74*1000</f>
        <v>1E-4</v>
      </c>
      <c r="Z11" s="175">
        <f>EIA_RE_aeo2014!AB74*1000</f>
        <v>1E-4</v>
      </c>
      <c r="AA11" s="175">
        <f>EIA_RE_aeo2014!AC74*1000</f>
        <v>1E-4</v>
      </c>
      <c r="AB11" s="175">
        <f>EIA_RE_aeo2014!AD74*1000</f>
        <v>1E-4</v>
      </c>
      <c r="AC11" s="175">
        <f>EIA_RE_aeo2014!AE74*1000</f>
        <v>1E-4</v>
      </c>
      <c r="AD11" s="175">
        <f>EIA_RE_aeo2014!AF74*1000</f>
        <v>1E-4</v>
      </c>
      <c r="AE11" s="175">
        <f>EIA_RE_aeo2014!AG74*1000</f>
        <v>1E-4</v>
      </c>
      <c r="AF11" s="175">
        <f>EIA_RE_aeo2014!AH74*1000</f>
        <v>1E-4</v>
      </c>
      <c r="AG11" s="175">
        <f>EIA_RE_aeo2014!AI74*1000</f>
        <v>1E-4</v>
      </c>
      <c r="AH11" s="175">
        <f>EIA_RE_aeo2014!AJ74*1000</f>
        <v>1E-4</v>
      </c>
    </row>
    <row r="12" spans="1:34" s="20" customFormat="1">
      <c r="A12" s="9" t="s">
        <v>51</v>
      </c>
      <c r="B12" s="35">
        <v>1</v>
      </c>
      <c r="C12" s="335">
        <f>EIA_RE_aeo2014!E75*1000</f>
        <v>137</v>
      </c>
      <c r="D12" s="335">
        <f>EIA_RE_aeo2014!F75*1000</f>
        <v>131</v>
      </c>
      <c r="E12" s="335">
        <f>EIA_RE_aeo2014!G75*1000</f>
        <v>159.50753418414268</v>
      </c>
      <c r="F12" s="335">
        <f>EIA_RE_aeo2014!H75*1000</f>
        <v>188.49535846044182</v>
      </c>
      <c r="G12" s="335">
        <f>EIA_RE_aeo2014!I75*1000</f>
        <v>137.98675903817477</v>
      </c>
      <c r="H12" s="83">
        <f>EIA_RE_aeo2014!J75*1000</f>
        <v>146.54565817331957</v>
      </c>
      <c r="I12" s="175">
        <f>EIA_RE_aeo2014!K75*1000</f>
        <v>146.62412559532763</v>
      </c>
      <c r="J12" s="175">
        <f>EIA_RE_aeo2014!L75*1000</f>
        <v>148.01930858853575</v>
      </c>
      <c r="K12" s="175">
        <f>EIA_RE_aeo2014!M75*1000</f>
        <v>148.55469689130479</v>
      </c>
      <c r="L12" s="175">
        <f>EIA_RE_aeo2014!N75*1000</f>
        <v>148.61518994334264</v>
      </c>
      <c r="M12" s="175">
        <f>EIA_RE_aeo2014!O75*1000</f>
        <v>148.51688873378117</v>
      </c>
      <c r="N12" s="185">
        <f>EIA_RE_aeo2014!P75*1000</f>
        <v>148.20376281278217</v>
      </c>
      <c r="O12" s="175">
        <f>EIA_RE_aeo2014!Q75*1000</f>
        <v>148.01682936509158</v>
      </c>
      <c r="P12" s="175">
        <f>EIA_RE_aeo2014!R75*1000</f>
        <v>147.85815906466451</v>
      </c>
      <c r="Q12" s="175">
        <f>EIA_RE_aeo2014!S75*1000</f>
        <v>147.70940565801419</v>
      </c>
      <c r="R12" s="175">
        <f>EIA_RE_aeo2014!T75*1000</f>
        <v>147.56151997956928</v>
      </c>
      <c r="S12" s="83">
        <f>EIA_RE_aeo2014!U75*1000</f>
        <v>147.38735453261614</v>
      </c>
      <c r="T12" s="83">
        <f>EIA_RE_aeo2014!V75*1000</f>
        <v>147.19310737576524</v>
      </c>
      <c r="U12" s="83">
        <f>EIA_RE_aeo2014!W75*1000</f>
        <v>146.99613307312572</v>
      </c>
      <c r="V12" s="83">
        <f>EIA_RE_aeo2014!X75*1000</f>
        <v>146.69441157996991</v>
      </c>
      <c r="W12" s="83">
        <f>EIA_RE_aeo2014!Y75*1000</f>
        <v>146.45863743042912</v>
      </c>
      <c r="X12" s="185">
        <f>EIA_RE_aeo2014!Z75*1000</f>
        <v>146.13447896510354</v>
      </c>
      <c r="Y12" s="175">
        <f>EIA_RE_aeo2014!AA75*1000</f>
        <v>145.81627063604398</v>
      </c>
      <c r="Z12" s="175">
        <f>EIA_RE_aeo2014!AB75*1000</f>
        <v>145.49533516119584</v>
      </c>
      <c r="AA12" s="175">
        <f>EIA_RE_aeo2014!AC75*1000</f>
        <v>145.18654788122416</v>
      </c>
      <c r="AB12" s="175">
        <f>EIA_RE_aeo2014!AD75*1000</f>
        <v>144.91631252580933</v>
      </c>
      <c r="AC12" s="175">
        <f>EIA_RE_aeo2014!AE75*1000</f>
        <v>144.62587149932452</v>
      </c>
      <c r="AD12" s="175">
        <f>EIA_RE_aeo2014!AF75*1000</f>
        <v>144.36790829995834</v>
      </c>
      <c r="AE12" s="175">
        <f>EIA_RE_aeo2014!AG75*1000</f>
        <v>144.1357290244116</v>
      </c>
      <c r="AF12" s="175">
        <f>EIA_RE_aeo2014!AH75*1000</f>
        <v>143.92635860455121</v>
      </c>
      <c r="AG12" s="175">
        <f>EIA_RE_aeo2014!AI75*1000</f>
        <v>143.70645148505312</v>
      </c>
      <c r="AH12" s="175">
        <f>EIA_RE_aeo2014!AJ75*1000</f>
        <v>143.48902358899917</v>
      </c>
    </row>
    <row r="13" spans="1:34">
      <c r="A13" s="9" t="s">
        <v>347</v>
      </c>
      <c r="B13" s="34">
        <v>1</v>
      </c>
      <c r="C13" s="335">
        <f>(EIA_RE_aeo2014!E34+EIA_RE_aeo2014!E54)*1000</f>
        <v>0</v>
      </c>
      <c r="D13" s="335">
        <f>(EIA_RE_aeo2014!F34+EIA_RE_aeo2014!F54)*1000</f>
        <v>0</v>
      </c>
      <c r="E13" s="335">
        <f>(EIA_RE_aeo2014!G34+EIA_RE_aeo2014!G54)*1000</f>
        <v>0.2</v>
      </c>
      <c r="F13" s="335">
        <f>(EIA_RE_aeo2014!H34+EIA_RE_aeo2014!H54)*1000</f>
        <v>0.2</v>
      </c>
      <c r="G13" s="335">
        <f>(EIA_RE_aeo2014!I34+EIA_RE_aeo2014!I54)*1000</f>
        <v>0.2</v>
      </c>
      <c r="H13" s="83">
        <f>(EIA_RE_aeo2014!J34+EIA_RE_aeo2014!J54)*1000</f>
        <v>0.2</v>
      </c>
      <c r="I13" s="83">
        <f>(EIA_RE_aeo2014!K34+EIA_RE_aeo2014!K54)*1000</f>
        <v>0.2</v>
      </c>
      <c r="J13" s="83">
        <f>(EIA_RE_aeo2014!L34+EIA_RE_aeo2014!L54)*1000</f>
        <v>0.2</v>
      </c>
      <c r="K13" s="83">
        <f>(EIA_RE_aeo2014!M34+EIA_RE_aeo2014!M54)*1000</f>
        <v>0.2</v>
      </c>
      <c r="L13" s="83">
        <f>(EIA_RE_aeo2014!N34+EIA_RE_aeo2014!N54)*1000</f>
        <v>0.2</v>
      </c>
      <c r="M13" s="83">
        <f>(EIA_RE_aeo2014!O34+EIA_RE_aeo2014!O54)*1000</f>
        <v>0.2</v>
      </c>
      <c r="N13" s="394">
        <f>(EIA_RE_aeo2014!P34+EIA_RE_aeo2014!P54)*1000</f>
        <v>0.2</v>
      </c>
      <c r="O13" s="83">
        <f>(EIA_RE_aeo2014!Q34+EIA_RE_aeo2014!Q54)*1000</f>
        <v>0.2</v>
      </c>
      <c r="P13" s="83">
        <f>(EIA_RE_aeo2014!R34+EIA_RE_aeo2014!R54)*1000</f>
        <v>0.2</v>
      </c>
      <c r="Q13" s="83">
        <f>(EIA_RE_aeo2014!S34+EIA_RE_aeo2014!S54)*1000</f>
        <v>0.2</v>
      </c>
      <c r="R13" s="83">
        <f>(EIA_RE_aeo2014!T34+EIA_RE_aeo2014!T54)*1000</f>
        <v>0.2</v>
      </c>
      <c r="S13" s="83">
        <f>(EIA_RE_aeo2014!U34+EIA_RE_aeo2014!U54)*1000</f>
        <v>0.2</v>
      </c>
      <c r="T13" s="83">
        <f>(EIA_RE_aeo2014!V34+EIA_RE_aeo2014!V54)*1000</f>
        <v>0.2</v>
      </c>
      <c r="U13" s="83">
        <f>(EIA_RE_aeo2014!W34+EIA_RE_aeo2014!W54)*1000</f>
        <v>0.2</v>
      </c>
      <c r="V13" s="83">
        <f>(EIA_RE_aeo2014!X34+EIA_RE_aeo2014!X54)*1000</f>
        <v>0.2</v>
      </c>
      <c r="W13" s="83">
        <f>(EIA_RE_aeo2014!Y34+EIA_RE_aeo2014!Y54)*1000</f>
        <v>0.2</v>
      </c>
      <c r="X13" s="185">
        <f>(EIA_RE_aeo2014!Z34+EIA_RE_aeo2014!Z54)*1000</f>
        <v>0.2</v>
      </c>
      <c r="Y13" s="175">
        <f>(EIA_RE_aeo2014!AA34+EIA_RE_aeo2014!AA54)*1000</f>
        <v>0.2</v>
      </c>
      <c r="Z13" s="175">
        <f>(EIA_RE_aeo2014!AB34+EIA_RE_aeo2014!AB54)*1000</f>
        <v>0.2</v>
      </c>
      <c r="AA13" s="175">
        <f>(EIA_RE_aeo2014!AC34+EIA_RE_aeo2014!AC54)*1000</f>
        <v>0.2</v>
      </c>
      <c r="AB13" s="175">
        <f>(EIA_RE_aeo2014!AD34+EIA_RE_aeo2014!AD54)*1000</f>
        <v>0.2</v>
      </c>
      <c r="AC13" s="175">
        <f>(EIA_RE_aeo2014!AE34+EIA_RE_aeo2014!AE54)*1000</f>
        <v>0.2</v>
      </c>
      <c r="AD13" s="175">
        <f>(EIA_RE_aeo2014!AF34+EIA_RE_aeo2014!AF54)*1000</f>
        <v>0.2</v>
      </c>
      <c r="AE13" s="175">
        <f>(EIA_RE_aeo2014!AG34+EIA_RE_aeo2014!AG54)*1000</f>
        <v>0.2</v>
      </c>
      <c r="AF13" s="175">
        <f>(EIA_RE_aeo2014!AH34+EIA_RE_aeo2014!AH54)*1000</f>
        <v>0.2</v>
      </c>
      <c r="AG13" s="175">
        <f>(EIA_RE_aeo2014!AI34+EIA_RE_aeo2014!AI54)*1000</f>
        <v>0.2</v>
      </c>
      <c r="AH13" s="175">
        <f>EIA_RE_aeo2014!AJ77*1000</f>
        <v>0</v>
      </c>
    </row>
    <row r="14" spans="1:34">
      <c r="A14" s="9" t="s">
        <v>348</v>
      </c>
      <c r="B14" s="34">
        <v>1</v>
      </c>
      <c r="C14" s="335">
        <f>EIA_RE_aeo2014!E33*1000</f>
        <v>0</v>
      </c>
      <c r="D14" s="335">
        <f>EIA_RE_aeo2014!F33*1000</f>
        <v>0</v>
      </c>
      <c r="E14" s="335">
        <f>EIA_RE_aeo2014!G33*1000</f>
        <v>0.1</v>
      </c>
      <c r="F14" s="335">
        <f>EIA_RE_aeo2014!H33*1000</f>
        <v>0.1</v>
      </c>
      <c r="G14" s="335">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94">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5">
        <f>EIA_RE_aeo2014!Z33*1000</f>
        <v>0.1</v>
      </c>
      <c r="Y14" s="175">
        <f>EIA_RE_aeo2014!AA33*1000</f>
        <v>0.1</v>
      </c>
      <c r="Z14" s="175">
        <f>EIA_RE_aeo2014!AB33*1000</f>
        <v>0.1</v>
      </c>
      <c r="AA14" s="175">
        <f>EIA_RE_aeo2014!AC33*1000</f>
        <v>0.1</v>
      </c>
      <c r="AB14" s="175">
        <f>EIA_RE_aeo2014!AD33*1000</f>
        <v>0.1</v>
      </c>
      <c r="AC14" s="175">
        <f>EIA_RE_aeo2014!AE33*1000</f>
        <v>0.1</v>
      </c>
      <c r="AD14" s="175">
        <f>EIA_RE_aeo2014!AF33*1000</f>
        <v>0.1</v>
      </c>
      <c r="AE14" s="175">
        <f>EIA_RE_aeo2014!AG33*1000</f>
        <v>0.1</v>
      </c>
      <c r="AF14" s="175">
        <f>EIA_RE_aeo2014!AH33*1000</f>
        <v>0.1</v>
      </c>
      <c r="AG14" s="175">
        <f>EIA_RE_aeo2014!AI33*1000</f>
        <v>0.1</v>
      </c>
      <c r="AH14" s="175">
        <f>EIA_RE_aeo2014!AJ33*1000</f>
        <v>0.1</v>
      </c>
    </row>
    <row r="15" spans="1:34" s="523" customFormat="1">
      <c r="A15" s="520" t="s">
        <v>716</v>
      </c>
      <c r="B15" s="521">
        <v>1</v>
      </c>
      <c r="C15" s="522">
        <v>0.01</v>
      </c>
      <c r="D15" s="522">
        <v>0.01</v>
      </c>
      <c r="E15" s="522">
        <v>0.01</v>
      </c>
      <c r="F15" s="522">
        <v>0.01</v>
      </c>
      <c r="G15" s="522">
        <v>0.01</v>
      </c>
      <c r="H15" s="522">
        <v>0.01</v>
      </c>
      <c r="I15" s="522">
        <v>0.01</v>
      </c>
      <c r="J15" s="522">
        <v>0.01</v>
      </c>
      <c r="K15" s="522">
        <v>0.01</v>
      </c>
      <c r="L15" s="522">
        <v>0.01</v>
      </c>
      <c r="M15" s="522">
        <v>0.01</v>
      </c>
      <c r="N15" s="522">
        <v>0.01</v>
      </c>
      <c r="O15" s="522">
        <v>0.01</v>
      </c>
      <c r="P15" s="522">
        <v>0.01</v>
      </c>
      <c r="Q15" s="522">
        <v>0.01</v>
      </c>
      <c r="R15" s="522">
        <v>0.01</v>
      </c>
      <c r="S15" s="522">
        <v>0.01</v>
      </c>
      <c r="T15" s="522">
        <v>0.01</v>
      </c>
      <c r="U15" s="522">
        <v>0.01</v>
      </c>
      <c r="V15" s="522">
        <v>0.01</v>
      </c>
      <c r="W15" s="522">
        <v>0.01</v>
      </c>
      <c r="X15" s="522">
        <v>0.01</v>
      </c>
      <c r="Y15" s="522">
        <v>0.01</v>
      </c>
      <c r="Z15" s="522">
        <v>0.01</v>
      </c>
      <c r="AA15" s="522">
        <v>0.01</v>
      </c>
      <c r="AB15" s="522">
        <v>0.01</v>
      </c>
      <c r="AC15" s="522">
        <v>0.01</v>
      </c>
      <c r="AD15" s="522">
        <v>0.01</v>
      </c>
      <c r="AE15" s="522">
        <v>0.01</v>
      </c>
      <c r="AF15" s="522">
        <v>0.01</v>
      </c>
      <c r="AG15" s="522">
        <v>0.01</v>
      </c>
      <c r="AH15" s="522">
        <v>0.01</v>
      </c>
    </row>
    <row r="16" spans="1:34">
      <c r="A16" s="9" t="s">
        <v>53</v>
      </c>
      <c r="B16" s="34">
        <v>1</v>
      </c>
      <c r="C16" s="335">
        <f>EIA_RE_aeo2014!E78*1000</f>
        <v>0</v>
      </c>
      <c r="D16" s="335">
        <f>EIA_RE_aeo2014!F78*1000</f>
        <v>0</v>
      </c>
      <c r="E16" s="335">
        <f>EIA_RE_aeo2014!G78*1000</f>
        <v>6E-9</v>
      </c>
      <c r="F16" s="335">
        <f>EIA_RE_aeo2014!H78*1000</f>
        <v>6E-9</v>
      </c>
      <c r="G16" s="335">
        <f>EIA_RE_aeo2014!I78*1000</f>
        <v>6E-9</v>
      </c>
      <c r="H16" s="3">
        <f>EIA_RE_aeo2014!J78*1000</f>
        <v>6E-9</v>
      </c>
      <c r="I16" s="3">
        <f>EIA_RE_aeo2014!K78*1000</f>
        <v>2.7954859999999998E-3</v>
      </c>
      <c r="J16" s="3">
        <f>EIA_RE_aeo2014!L78*1000</f>
        <v>3.8111909999999998E-3</v>
      </c>
      <c r="K16" s="3">
        <f>EIA_RE_aeo2014!M78*1000</f>
        <v>3.8111909999999998E-3</v>
      </c>
      <c r="L16" s="3">
        <f>EIA_RE_aeo2014!N78*1000</f>
        <v>3.811732E-3</v>
      </c>
      <c r="M16" s="3">
        <f>EIA_RE_aeo2014!O78*1000</f>
        <v>3.8115529999999996E-3</v>
      </c>
      <c r="N16" s="394">
        <f>EIA_RE_aeo2014!P78*1000</f>
        <v>3.8116349999999994E-3</v>
      </c>
      <c r="O16" s="3">
        <f>EIA_RE_aeo2014!Q78*1000</f>
        <v>3.8115279999999998E-3</v>
      </c>
      <c r="P16" s="3">
        <f>EIA_RE_aeo2014!R78*1000</f>
        <v>3.8115279999999998E-3</v>
      </c>
      <c r="Q16" s="3">
        <f>EIA_RE_aeo2014!S78*1000</f>
        <v>3.8097629999999994E-3</v>
      </c>
      <c r="R16" s="3">
        <f>EIA_RE_aeo2014!T78*1000</f>
        <v>3.8099150000000001E-3</v>
      </c>
      <c r="S16" s="3">
        <f>EIA_RE_aeo2014!U78*1000</f>
        <v>3.8350569999999998E-3</v>
      </c>
      <c r="T16" s="3">
        <f>EIA_RE_aeo2014!V78*1000</f>
        <v>3.8893430000000004E-3</v>
      </c>
      <c r="U16" s="3">
        <f>EIA_RE_aeo2014!W78*1000</f>
        <v>3.9125679999999999E-3</v>
      </c>
      <c r="V16" s="3">
        <f>EIA_RE_aeo2014!X78*1000</f>
        <v>3.9412149999999996E-3</v>
      </c>
      <c r="W16" s="3">
        <f>EIA_RE_aeo2014!Y78*1000</f>
        <v>4.0068789999999996E-3</v>
      </c>
      <c r="X16" s="185">
        <f>EIA_RE_aeo2014!Z78*1000</f>
        <v>4.0949749999999998E-3</v>
      </c>
      <c r="Y16" s="175">
        <f>EIA_RE_aeo2014!AA78*1000</f>
        <v>4.2196939999999987E-3</v>
      </c>
      <c r="Z16" s="175">
        <f>EIA_RE_aeo2014!AB78*1000</f>
        <v>4.2782439999999996E-3</v>
      </c>
      <c r="AA16" s="175">
        <f>EIA_RE_aeo2014!AC78*1000</f>
        <v>4.3081370000000001E-3</v>
      </c>
      <c r="AB16" s="175">
        <f>EIA_RE_aeo2014!AD78*1000</f>
        <v>4.4050230000000001E-3</v>
      </c>
      <c r="AC16" s="175">
        <f>EIA_RE_aeo2014!AE78*1000</f>
        <v>4.4557390000000002E-3</v>
      </c>
      <c r="AD16" s="175">
        <f>EIA_RE_aeo2014!AF78*1000</f>
        <v>4.4568289999999998E-3</v>
      </c>
      <c r="AE16" s="175">
        <f>EIA_RE_aeo2014!AG78*1000</f>
        <v>4.5794640000000001E-3</v>
      </c>
      <c r="AF16" s="175">
        <f>EIA_RE_aeo2014!AH78*1000</f>
        <v>4.6639439999999997E-3</v>
      </c>
      <c r="AG16" s="175">
        <f>EIA_RE_aeo2014!AI78*1000</f>
        <v>4.8379360000000001E-3</v>
      </c>
      <c r="AH16" s="175">
        <f>EIA_RE_aeo2014!AJ78*1000</f>
        <v>5.0758099999999992E-3</v>
      </c>
    </row>
    <row r="17" spans="1:34">
      <c r="A17" s="11" t="s">
        <v>327</v>
      </c>
      <c r="B17" s="36"/>
      <c r="C17" s="335">
        <f t="shared" ref="C17:AH17" si="0">SUM(C7:C16)</f>
        <v>56230</v>
      </c>
      <c r="D17" s="335">
        <f t="shared" si="0"/>
        <v>56237</v>
      </c>
      <c r="E17" s="335">
        <f t="shared" si="0"/>
        <v>55456.066846505411</v>
      </c>
      <c r="F17" s="335">
        <f t="shared" si="0"/>
        <v>55612.837960359342</v>
      </c>
      <c r="G17" s="335">
        <f t="shared" si="0"/>
        <v>55987.331656216222</v>
      </c>
      <c r="H17" s="3">
        <f t="shared" si="0"/>
        <v>56172.962002611581</v>
      </c>
      <c r="I17" s="3">
        <f t="shared" si="0"/>
        <v>57649.91157018883</v>
      </c>
      <c r="J17" s="3">
        <f t="shared" si="0"/>
        <v>59395.393677407475</v>
      </c>
      <c r="K17" s="3">
        <f t="shared" si="0"/>
        <v>61548.079803660046</v>
      </c>
      <c r="L17" s="3">
        <f t="shared" si="0"/>
        <v>64091.473901255202</v>
      </c>
      <c r="M17" s="3">
        <f t="shared" si="0"/>
        <v>66591.155170960235</v>
      </c>
      <c r="N17" s="394">
        <f t="shared" si="0"/>
        <v>68060.712930068476</v>
      </c>
      <c r="O17" s="3">
        <f t="shared" si="0"/>
        <v>69571.112392547715</v>
      </c>
      <c r="P17" s="3">
        <f t="shared" si="0"/>
        <v>69688.074173979636</v>
      </c>
      <c r="Q17" s="3">
        <f t="shared" si="0"/>
        <v>69922.704735624706</v>
      </c>
      <c r="R17" s="3">
        <f t="shared" si="0"/>
        <v>69962.058680458635</v>
      </c>
      <c r="S17" s="3">
        <f t="shared" si="0"/>
        <v>70021.442433116114</v>
      </c>
      <c r="T17" s="3">
        <f t="shared" si="0"/>
        <v>70028.122316527661</v>
      </c>
      <c r="U17" s="3">
        <f t="shared" si="0"/>
        <v>69973.017736574184</v>
      </c>
      <c r="V17" s="3">
        <f t="shared" si="0"/>
        <v>70002.545728334153</v>
      </c>
      <c r="W17" s="3">
        <f t="shared" si="0"/>
        <v>70025.629703049432</v>
      </c>
      <c r="X17" s="185">
        <f t="shared" si="0"/>
        <v>69970.555151157081</v>
      </c>
      <c r="Y17" s="175">
        <f t="shared" si="0"/>
        <v>70006.970399454658</v>
      </c>
      <c r="Z17" s="175">
        <f t="shared" si="0"/>
        <v>70013.550293616849</v>
      </c>
      <c r="AA17" s="175">
        <f t="shared" si="0"/>
        <v>70025.356441007825</v>
      </c>
      <c r="AB17" s="175">
        <f t="shared" si="0"/>
        <v>70069.944301923184</v>
      </c>
      <c r="AC17" s="175">
        <f t="shared" si="0"/>
        <v>70099.104460709612</v>
      </c>
      <c r="AD17" s="175">
        <f t="shared" si="0"/>
        <v>70445.86107656901</v>
      </c>
      <c r="AE17" s="175">
        <f t="shared" si="0"/>
        <v>70553.379857938024</v>
      </c>
      <c r="AF17" s="175">
        <f t="shared" si="0"/>
        <v>70543.147979189656</v>
      </c>
      <c r="AG17" s="175">
        <f t="shared" si="0"/>
        <v>70915.907190324389</v>
      </c>
      <c r="AH17" s="175">
        <f t="shared" si="0"/>
        <v>71016.993578871989</v>
      </c>
    </row>
    <row r="18" spans="1:34">
      <c r="A18" s="10" t="s">
        <v>126</v>
      </c>
      <c r="B18" s="37"/>
      <c r="C18" s="336">
        <f t="shared" ref="C18:AH18" si="1">SUMPRODUCT($B7:$B16,C7:C16)</f>
        <v>1748.01</v>
      </c>
      <c r="D18" s="336">
        <f t="shared" si="1"/>
        <v>1873.01</v>
      </c>
      <c r="E18" s="336">
        <f t="shared" si="1"/>
        <v>1902.3153836671786</v>
      </c>
      <c r="F18" s="336">
        <f t="shared" si="1"/>
        <v>2025.3717225856537</v>
      </c>
      <c r="G18" s="336">
        <f t="shared" si="1"/>
        <v>2211.4966459238181</v>
      </c>
      <c r="H18" s="14">
        <f t="shared" si="1"/>
        <v>2249.096118269209</v>
      </c>
      <c r="I18" s="14">
        <f t="shared" si="1"/>
        <v>2294.0615278324894</v>
      </c>
      <c r="J18" s="14">
        <f t="shared" si="1"/>
        <v>3553.7012108133231</v>
      </c>
      <c r="K18" s="14">
        <f t="shared" si="1"/>
        <v>3194.8080910427225</v>
      </c>
      <c r="L18" s="14">
        <f t="shared" si="1"/>
        <v>3292.6215187138637</v>
      </c>
      <c r="M18" s="14">
        <f t="shared" si="1"/>
        <v>3666.8429345864406</v>
      </c>
      <c r="N18" s="191">
        <f t="shared" si="1"/>
        <v>4647.3114684591765</v>
      </c>
      <c r="O18" s="14">
        <f t="shared" si="1"/>
        <v>6157.7039871497736</v>
      </c>
      <c r="P18" s="14">
        <f t="shared" si="1"/>
        <v>6274.672712370344</v>
      </c>
      <c r="Q18" s="14">
        <f t="shared" si="1"/>
        <v>6509.2963302267744</v>
      </c>
      <c r="R18" s="14">
        <f t="shared" si="1"/>
        <v>6548.650275060696</v>
      </c>
      <c r="S18" s="14">
        <f t="shared" si="1"/>
        <v>6608.0409715068163</v>
      </c>
      <c r="T18" s="14">
        <f t="shared" si="1"/>
        <v>6614.5086353778615</v>
      </c>
      <c r="U18" s="14">
        <f t="shared" si="1"/>
        <v>6559.6162749648765</v>
      </c>
      <c r="V18" s="14">
        <f t="shared" si="1"/>
        <v>6589.1442667248521</v>
      </c>
      <c r="W18" s="14">
        <f t="shared" si="1"/>
        <v>6612.2282414401388</v>
      </c>
      <c r="X18" s="188">
        <f t="shared" si="1"/>
        <v>6557.1467457591571</v>
      </c>
      <c r="Y18" s="14">
        <f t="shared" si="1"/>
        <v>6593.5689378453599</v>
      </c>
      <c r="Z18" s="14">
        <f t="shared" si="1"/>
        <v>6574.1970882189216</v>
      </c>
      <c r="AA18" s="14">
        <f t="shared" si="1"/>
        <v>6586.0032356098973</v>
      </c>
      <c r="AB18" s="14">
        <f t="shared" si="1"/>
        <v>6630.5910965252542</v>
      </c>
      <c r="AC18" s="14">
        <f t="shared" si="1"/>
        <v>6659.751255311663</v>
      </c>
      <c r="AD18" s="14">
        <f t="shared" si="1"/>
        <v>6696.6261132675409</v>
      </c>
      <c r="AE18" s="14">
        <f t="shared" si="1"/>
        <v>6727.805316239831</v>
      </c>
      <c r="AF18" s="14">
        <f t="shared" si="1"/>
        <v>6717.5799472933213</v>
      </c>
      <c r="AG18" s="14">
        <f t="shared" si="1"/>
        <v>6751.9822252441618</v>
      </c>
      <c r="AH18" s="14">
        <f t="shared" si="1"/>
        <v>6781.6226704438714</v>
      </c>
    </row>
    <row r="19" spans="1:34">
      <c r="A19" s="10" t="s">
        <v>112</v>
      </c>
      <c r="B19" s="37"/>
      <c r="C19" s="337">
        <f t="shared" ref="C19:AH19" si="2">C18/C4</f>
        <v>1.7289568950169136E-2</v>
      </c>
      <c r="D19" s="337">
        <f t="shared" si="2"/>
        <v>1.782325289281364E-2</v>
      </c>
      <c r="E19" s="337">
        <f t="shared" si="2"/>
        <v>1.8854510729699341E-2</v>
      </c>
      <c r="F19" s="337">
        <f t="shared" si="2"/>
        <v>2.0203032411870887E-2</v>
      </c>
      <c r="G19" s="337">
        <f t="shared" si="2"/>
        <v>2.2420108691084205E-2</v>
      </c>
      <c r="H19" s="23">
        <f t="shared" si="2"/>
        <v>2.2302767215450953E-2</v>
      </c>
      <c r="I19" s="23">
        <f t="shared" si="2"/>
        <v>2.2120633883556038E-2</v>
      </c>
      <c r="J19" s="23">
        <f t="shared" si="2"/>
        <v>3.3823234951613455E-2</v>
      </c>
      <c r="K19" s="23">
        <f t="shared" si="2"/>
        <v>2.9238729493618568E-2</v>
      </c>
      <c r="L19" s="23">
        <f t="shared" si="2"/>
        <v>2.9514133647381424E-2</v>
      </c>
      <c r="M19" s="23">
        <f t="shared" si="2"/>
        <v>3.2247072932419137E-2</v>
      </c>
      <c r="N19" s="184">
        <f t="shared" si="2"/>
        <v>4.0094744249716013E-2</v>
      </c>
      <c r="O19" s="23">
        <f t="shared" si="2"/>
        <v>5.2296917047766733E-2</v>
      </c>
      <c r="P19" s="23">
        <f t="shared" si="2"/>
        <v>5.2419949745481517E-2</v>
      </c>
      <c r="Q19" s="23">
        <f t="shared" si="2"/>
        <v>5.4042726293374352E-2</v>
      </c>
      <c r="R19" s="23">
        <f t="shared" si="2"/>
        <v>5.361563221627267E-2</v>
      </c>
      <c r="S19" s="23">
        <f t="shared" si="2"/>
        <v>5.3657972397305263E-2</v>
      </c>
      <c r="T19" s="23">
        <f t="shared" si="2"/>
        <v>5.3499603768215782E-2</v>
      </c>
      <c r="U19" s="23">
        <f t="shared" si="2"/>
        <v>5.2045211968750428E-2</v>
      </c>
      <c r="V19" s="23">
        <f t="shared" si="2"/>
        <v>5.1976131101784173E-2</v>
      </c>
      <c r="W19" s="23">
        <f t="shared" si="2"/>
        <v>5.1533253500180773E-2</v>
      </c>
      <c r="X19" s="186">
        <f t="shared" si="2"/>
        <v>5.0651929752488278E-2</v>
      </c>
      <c r="Y19" s="173">
        <f t="shared" si="2"/>
        <v>5.0983904308020349E-2</v>
      </c>
      <c r="Z19" s="173">
        <f t="shared" si="2"/>
        <v>5.0683392537897477E-2</v>
      </c>
      <c r="AA19" s="173">
        <f t="shared" si="2"/>
        <v>5.0483539840190182E-2</v>
      </c>
      <c r="AB19" s="173">
        <f t="shared" si="2"/>
        <v>5.0341032905485507E-2</v>
      </c>
      <c r="AC19" s="173">
        <f t="shared" si="2"/>
        <v>5.0455029906305168E-2</v>
      </c>
      <c r="AD19" s="173">
        <f t="shared" si="2"/>
        <v>5.0410506419668953E-2</v>
      </c>
      <c r="AE19" s="173">
        <f t="shared" si="2"/>
        <v>5.0371609391574111E-2</v>
      </c>
      <c r="AF19" s="173">
        <f t="shared" si="2"/>
        <v>5.0120036156536527E-2</v>
      </c>
      <c r="AG19" s="173">
        <f t="shared" si="2"/>
        <v>4.9618221536440514E-2</v>
      </c>
      <c r="AH19" s="173">
        <f t="shared" si="2"/>
        <v>4.9300152043848015E-2</v>
      </c>
    </row>
    <row r="20" spans="1:34">
      <c r="A20" s="10" t="s">
        <v>142</v>
      </c>
      <c r="B20" s="37"/>
      <c r="C20" s="336">
        <f>EIA_electricity_aeo2014!E49*1000</f>
        <v>34478</v>
      </c>
      <c r="D20" s="336">
        <f>EIA_electricity_aeo2014!F49*1000</f>
        <v>37671</v>
      </c>
      <c r="E20" s="336">
        <f>EIA_electricity_aeo2014!G49*1000</f>
        <v>31584.725814845089</v>
      </c>
      <c r="F20" s="336">
        <f>EIA_electricity_aeo2014!H49*1000</f>
        <v>25693.145178307248</v>
      </c>
      <c r="G20" s="336">
        <f>EIA_electricity_aeo2014!I49*1000</f>
        <v>26341.292060469823</v>
      </c>
      <c r="H20" s="14">
        <f>EIA_electricity_aeo2014!J49*1000</f>
        <v>29972.01806093214</v>
      </c>
      <c r="I20" s="14">
        <f>EIA_electricity_aeo2014!K49*1000</f>
        <v>27711.054459403142</v>
      </c>
      <c r="J20" s="14">
        <f>EIA_electricity_aeo2014!L49*1000</f>
        <v>25732.351318737939</v>
      </c>
      <c r="K20" s="14">
        <f>EIA_electricity_aeo2014!M49*1000</f>
        <v>28052.160496810677</v>
      </c>
      <c r="L20" s="14">
        <f>EIA_electricity_aeo2014!N49*1000</f>
        <v>30533.170839334529</v>
      </c>
      <c r="M20" s="14">
        <f>EIA_electricity_aeo2014!O49*1000</f>
        <v>30884.983261504338</v>
      </c>
      <c r="N20" s="191">
        <f>EIA_electricity_aeo2014!P49*1000</f>
        <v>30184.389349438519</v>
      </c>
      <c r="O20" s="14">
        <f>EIA_electricity_aeo2014!Q49*1000</f>
        <v>30541.577048007341</v>
      </c>
      <c r="P20" s="14">
        <f>EIA_electricity_aeo2014!R49*1000</f>
        <v>30971.021008274816</v>
      </c>
      <c r="Q20" s="14">
        <f>EIA_electricity_aeo2014!S49*1000</f>
        <v>31145.606409955242</v>
      </c>
      <c r="R20" s="14">
        <f>EIA_electricity_aeo2014!T49*1000</f>
        <v>31545.511475557458</v>
      </c>
      <c r="S20" s="14">
        <f>EIA_electricity_aeo2014!U49*1000</f>
        <v>31849.620567759703</v>
      </c>
      <c r="T20" s="14">
        <f>EIA_electricity_aeo2014!V49*1000</f>
        <v>31847.096377740403</v>
      </c>
      <c r="U20" s="14">
        <f>EIA_electricity_aeo2014!W49*1000</f>
        <v>31973.534653261682</v>
      </c>
      <c r="V20" s="14">
        <f>EIA_electricity_aeo2014!X49*1000</f>
        <v>31945.632356232578</v>
      </c>
      <c r="W20" s="14">
        <f>EIA_electricity_aeo2014!Y49*1000</f>
        <v>32048.761017005247</v>
      </c>
      <c r="X20" s="188">
        <f>EIA_electricity_aeo2014!Z49*1000</f>
        <v>32122.556547973843</v>
      </c>
      <c r="Y20" s="14">
        <f>EIA_electricity_aeo2014!AA49*1000</f>
        <v>32120.978664732527</v>
      </c>
      <c r="Z20" s="14">
        <f>EIA_electricity_aeo2014!AB49*1000</f>
        <v>32194.479565809928</v>
      </c>
      <c r="AA20" s="14">
        <f>EIA_electricity_aeo2014!AC49*1000</f>
        <v>32221.377106145475</v>
      </c>
      <c r="AB20" s="14">
        <f>EIA_electricity_aeo2014!AD49*1000</f>
        <v>32266.20290180773</v>
      </c>
      <c r="AC20" s="14">
        <f>EIA_electricity_aeo2014!AE49*1000</f>
        <v>32256.991618279641</v>
      </c>
      <c r="AD20" s="14">
        <f>EIA_electricity_aeo2014!AF49*1000</f>
        <v>32286.336649650246</v>
      </c>
      <c r="AE20" s="14">
        <f>EIA_electricity_aeo2014!AG49*1000</f>
        <v>32265.581375556125</v>
      </c>
      <c r="AF20" s="14">
        <f>EIA_electricity_aeo2014!AH49*1000</f>
        <v>32280.50514653463</v>
      </c>
      <c r="AG20" s="14">
        <f>EIA_electricity_aeo2014!AI49*1000</f>
        <v>32272.6598983638</v>
      </c>
      <c r="AH20" s="14">
        <f>EIA_electricity_aeo2014!AJ49*1000</f>
        <v>32252.925778677101</v>
      </c>
    </row>
    <row r="21" spans="1:34">
      <c r="A21" s="10" t="s">
        <v>222</v>
      </c>
      <c r="B21" s="37"/>
      <c r="C21" s="336">
        <f>EIA_electricity_aeo2014!E51*1000</f>
        <v>9780</v>
      </c>
      <c r="D21" s="336">
        <f>EIA_electricity_aeo2014!F51*1000</f>
        <v>10927</v>
      </c>
      <c r="E21" s="336">
        <f>EIA_electricity_aeo2014!G51*1000</f>
        <v>13585.149493981584</v>
      </c>
      <c r="F21" s="336">
        <f>EIA_electricity_aeo2014!H51*1000</f>
        <v>18752.985185017267</v>
      </c>
      <c r="G21" s="336">
        <f>EIA_electricity_aeo2014!I51*1000</f>
        <v>15984.267982467041</v>
      </c>
      <c r="H21" s="14">
        <f>EIA_electricity_aeo2014!J51*1000</f>
        <v>14354.569984636513</v>
      </c>
      <c r="I21" s="14">
        <f>EIA_electricity_aeo2014!K51*1000</f>
        <v>18011.578592098253</v>
      </c>
      <c r="J21" s="14">
        <f>EIA_electricity_aeo2014!L51*1000</f>
        <v>19610.978782437483</v>
      </c>
      <c r="K21" s="14">
        <f>EIA_electricity_aeo2014!M51*1000</f>
        <v>19331.247358448407</v>
      </c>
      <c r="L21" s="14">
        <f>EIA_electricity_aeo2014!N51*1000</f>
        <v>16589.103602157687</v>
      </c>
      <c r="M21" s="14">
        <f>EIA_electricity_aeo2014!O51*1000</f>
        <v>15884.371657721409</v>
      </c>
      <c r="N21" s="191">
        <f>EIA_electricity_aeo2014!P51*1000</f>
        <v>17310.907361240308</v>
      </c>
      <c r="O21" s="14">
        <f>EIA_electricity_aeo2014!Q51*1000</f>
        <v>17272.039012443798</v>
      </c>
      <c r="P21" s="14">
        <f>EIA_electricity_aeo2014!R51*1000</f>
        <v>18676.99693970841</v>
      </c>
      <c r="Q21" s="14">
        <f>EIA_electricity_aeo2014!S51*1000</f>
        <v>19012.725874571068</v>
      </c>
      <c r="R21" s="14">
        <f>EIA_electricity_aeo2014!T51*1000</f>
        <v>20264.891237948061</v>
      </c>
      <c r="S21" s="14">
        <f>EIA_electricity_aeo2014!U51*1000</f>
        <v>20943.721796464768</v>
      </c>
      <c r="T21" s="14">
        <f>EIA_electricity_aeo2014!V51*1000</f>
        <v>21488.490815112487</v>
      </c>
      <c r="U21" s="14">
        <f>EIA_electricity_aeo2014!W51*1000</f>
        <v>23847.764759772686</v>
      </c>
      <c r="V21" s="14">
        <f>EIA_electricity_aeo2014!X51*1000</f>
        <v>24596.740891371719</v>
      </c>
      <c r="W21" s="14">
        <f>EIA_electricity_aeo2014!Y51*1000</f>
        <v>26008.659765762121</v>
      </c>
      <c r="X21" s="188">
        <f>EIA_electricity_aeo2014!Z51*1000</f>
        <v>27136.182099326397</v>
      </c>
      <c r="Y21" s="14">
        <f>EIA_electricity_aeo2014!AA51*1000</f>
        <v>26975.177254487353</v>
      </c>
      <c r="Z21" s="14">
        <f>EIA_electricity_aeo2014!AB51*1000</f>
        <v>27281.381605643859</v>
      </c>
      <c r="AA21" s="14">
        <f>EIA_electricity_aeo2014!AC51*1000</f>
        <v>27997.408094345115</v>
      </c>
      <c r="AB21" s="14">
        <f>EIA_electricity_aeo2014!AD51*1000</f>
        <v>29162.550020292878</v>
      </c>
      <c r="AC21" s="14">
        <f>EIA_electricity_aeo2014!AE51*1000</f>
        <v>29423.455700349641</v>
      </c>
      <c r="AD21" s="14">
        <f>EIA_electricity_aeo2014!AF51*1000</f>
        <v>29895.268799632595</v>
      </c>
      <c r="AE21" s="14">
        <f>EIA_electricity_aeo2014!AG51*1000</f>
        <v>30528.850946595587</v>
      </c>
      <c r="AF21" s="14">
        <f>EIA_electricity_aeo2014!AH51*1000</f>
        <v>30990.069913492283</v>
      </c>
      <c r="AG21" s="14">
        <f>EIA_electricity_aeo2014!AI51*1000</f>
        <v>32672.557187841187</v>
      </c>
      <c r="AH21" s="14">
        <f>EIA_electricity_aeo2014!AJ51*1000</f>
        <v>34069.951697780736</v>
      </c>
    </row>
    <row r="22" spans="1:34">
      <c r="A22" s="10" t="s">
        <v>350</v>
      </c>
      <c r="B22" s="37"/>
      <c r="C22" s="335">
        <f>SUM(C17,C20:C21)</f>
        <v>100488</v>
      </c>
      <c r="D22" s="335">
        <f t="shared" ref="D22:AH22" si="3">SUM(D17,D20:D21)</f>
        <v>104835</v>
      </c>
      <c r="E22" s="335">
        <f t="shared" si="3"/>
        <v>100625.94215533209</v>
      </c>
      <c r="F22" s="335">
        <f t="shared" si="3"/>
        <v>100058.96832368386</v>
      </c>
      <c r="G22" s="335">
        <f t="shared" si="3"/>
        <v>98312.891699153086</v>
      </c>
      <c r="H22" s="79">
        <f t="shared" si="3"/>
        <v>100499.55004818023</v>
      </c>
      <c r="I22" s="79">
        <f t="shared" si="3"/>
        <v>103372.54462169023</v>
      </c>
      <c r="J22" s="79">
        <f t="shared" si="3"/>
        <v>104738.72377858289</v>
      </c>
      <c r="K22" s="79">
        <f t="shared" si="3"/>
        <v>108931.48765891914</v>
      </c>
      <c r="L22" s="79">
        <f t="shared" si="3"/>
        <v>111213.74834274742</v>
      </c>
      <c r="M22" s="79">
        <f t="shared" si="3"/>
        <v>113360.51009018598</v>
      </c>
      <c r="N22" s="394">
        <f t="shared" si="3"/>
        <v>115556.0096407473</v>
      </c>
      <c r="O22" s="79">
        <f t="shared" si="3"/>
        <v>117384.72845299885</v>
      </c>
      <c r="P22" s="79">
        <f t="shared" si="3"/>
        <v>119336.09212196285</v>
      </c>
      <c r="Q22" s="79">
        <f t="shared" si="3"/>
        <v>120081.03702015102</v>
      </c>
      <c r="R22" s="79">
        <f t="shared" si="3"/>
        <v>121772.46139396416</v>
      </c>
      <c r="S22" s="79">
        <f t="shared" si="3"/>
        <v>122814.78479734059</v>
      </c>
      <c r="T22" s="79">
        <f t="shared" si="3"/>
        <v>123363.70950938054</v>
      </c>
      <c r="U22" s="79">
        <f t="shared" si="3"/>
        <v>125794.31714960856</v>
      </c>
      <c r="V22" s="79">
        <f t="shared" si="3"/>
        <v>126544.91897593845</v>
      </c>
      <c r="W22" s="79">
        <f t="shared" si="3"/>
        <v>128083.0504858168</v>
      </c>
      <c r="X22" s="185">
        <f t="shared" si="3"/>
        <v>129229.29379845732</v>
      </c>
      <c r="Y22" s="175">
        <f t="shared" si="3"/>
        <v>129103.12631867453</v>
      </c>
      <c r="Z22" s="175">
        <f t="shared" si="3"/>
        <v>129489.41146507065</v>
      </c>
      <c r="AA22" s="175">
        <f t="shared" si="3"/>
        <v>130244.14164149841</v>
      </c>
      <c r="AB22" s="175">
        <f t="shared" si="3"/>
        <v>131498.69722402378</v>
      </c>
      <c r="AC22" s="175">
        <f t="shared" si="3"/>
        <v>131779.55177933889</v>
      </c>
      <c r="AD22" s="175">
        <f t="shared" si="3"/>
        <v>132627.46652585184</v>
      </c>
      <c r="AE22" s="175">
        <f t="shared" si="3"/>
        <v>133347.81218008974</v>
      </c>
      <c r="AF22" s="175">
        <f t="shared" si="3"/>
        <v>133813.72303921657</v>
      </c>
      <c r="AG22" s="175">
        <f t="shared" si="3"/>
        <v>135861.12427652936</v>
      </c>
      <c r="AH22" s="175">
        <f t="shared" si="3"/>
        <v>137339.87105532983</v>
      </c>
    </row>
    <row r="23" spans="1:34">
      <c r="A23" s="10" t="s">
        <v>328</v>
      </c>
      <c r="B23" s="37"/>
      <c r="C23" s="335">
        <f>EIA_electricity_aeo2014!E50*1000+EIA_electricity_aeo2014!E55*1000</f>
        <v>614</v>
      </c>
      <c r="D23" s="335">
        <f>EIA_electricity_aeo2014!F50*1000+EIA_electricity_aeo2014!F55*1000</f>
        <v>252</v>
      </c>
      <c r="E23" s="335">
        <f>EIA_electricity_aeo2014!G50*1000+EIA_electricity_aeo2014!G55*1000</f>
        <v>268.80220013350328</v>
      </c>
      <c r="F23" s="335">
        <f>EIA_electricity_aeo2014!H50*1000+EIA_electricity_aeo2014!H55*1000</f>
        <v>192.20893549365857</v>
      </c>
      <c r="G23" s="335">
        <f>EIA_electricity_aeo2014!I50*1000+EIA_electricity_aeo2014!I55*1000</f>
        <v>326.3879951453365</v>
      </c>
      <c r="H23" s="335">
        <f>EIA_electricity_aeo2014!J50*1000+EIA_electricity_aeo2014!J55*1000</f>
        <v>344.56437817828754</v>
      </c>
      <c r="I23" s="335">
        <f>EIA_electricity_aeo2014!K50*1000+EIA_electricity_aeo2014!K55*1000</f>
        <v>334.61748309970261</v>
      </c>
      <c r="J23" s="335">
        <f>EIA_electricity_aeo2014!L50*1000+EIA_electricity_aeo2014!L55*1000</f>
        <v>328.43975168396145</v>
      </c>
      <c r="K23" s="335">
        <f>EIA_electricity_aeo2014!M50*1000+EIA_electricity_aeo2014!M55*1000</f>
        <v>335.12268948358513</v>
      </c>
      <c r="L23" s="335">
        <f>EIA_electricity_aeo2014!N50*1000+EIA_electricity_aeo2014!N55*1000</f>
        <v>347.3908826991929</v>
      </c>
      <c r="M23" s="335">
        <f>EIA_electricity_aeo2014!O50*1000+EIA_electricity_aeo2014!O55*1000</f>
        <v>350.6666232174282</v>
      </c>
      <c r="N23" s="335">
        <f>EIA_electricity_aeo2014!P50*1000+EIA_electricity_aeo2014!P55*1000</f>
        <v>352.53607632304789</v>
      </c>
      <c r="O23" s="335">
        <f>EIA_electricity_aeo2014!Q50*1000+EIA_electricity_aeo2014!Q55*1000</f>
        <v>360.6382691078698</v>
      </c>
      <c r="P23" s="335">
        <f>EIA_electricity_aeo2014!R50*1000+EIA_electricity_aeo2014!R55*1000</f>
        <v>364.29806958119946</v>
      </c>
      <c r="Q23" s="335">
        <f>EIA_electricity_aeo2014!S50*1000+EIA_electricity_aeo2014!S55*1000</f>
        <v>366.48643949920353</v>
      </c>
      <c r="R23" s="335">
        <f>EIA_electricity_aeo2014!T50*1000+EIA_electricity_aeo2014!T55*1000</f>
        <v>368.52788570346348</v>
      </c>
      <c r="S23" s="335">
        <f>EIA_electricity_aeo2014!U50*1000+EIA_electricity_aeo2014!U55*1000</f>
        <v>336.66453380104224</v>
      </c>
      <c r="T23" s="335">
        <f>EIA_electricity_aeo2014!V50*1000+EIA_electricity_aeo2014!V55*1000</f>
        <v>273.18159575868526</v>
      </c>
      <c r="U23" s="335">
        <f>EIA_electricity_aeo2014!W50*1000+EIA_electricity_aeo2014!W55*1000</f>
        <v>242.86553046346111</v>
      </c>
      <c r="V23" s="335">
        <f>EIA_electricity_aeo2014!X50*1000+EIA_electricity_aeo2014!X55*1000</f>
        <v>227.88461463118969</v>
      </c>
      <c r="W23" s="335">
        <f>EIA_electricity_aeo2014!Y50*1000+EIA_electricity_aeo2014!Y55*1000</f>
        <v>227.18130253700926</v>
      </c>
      <c r="X23" s="335">
        <f>EIA_electricity_aeo2014!Z50*1000+EIA_electricity_aeo2014!Z55*1000</f>
        <v>226.02949089795348</v>
      </c>
      <c r="Y23" s="335">
        <f>EIA_electricity_aeo2014!AA50*1000+EIA_electricity_aeo2014!AA55*1000</f>
        <v>223.65479995796923</v>
      </c>
      <c r="Z23" s="335">
        <f>EIA_electricity_aeo2014!AB50*1000+EIA_electricity_aeo2014!AB55*1000</f>
        <v>221.95874995493506</v>
      </c>
      <c r="AA23" s="335">
        <f>EIA_electricity_aeo2014!AC50*1000+EIA_electricity_aeo2014!AC55*1000</f>
        <v>214.58612443154166</v>
      </c>
      <c r="AB23" s="335">
        <f>EIA_electricity_aeo2014!AD50*1000+EIA_electricity_aeo2014!AD55*1000</f>
        <v>215.05229883532829</v>
      </c>
      <c r="AC23" s="335">
        <f>EIA_electricity_aeo2014!AE50*1000+EIA_electricity_aeo2014!AE55*1000</f>
        <v>214.55077471371897</v>
      </c>
      <c r="AD23" s="335">
        <f>EIA_electricity_aeo2014!AF50*1000+EIA_electricity_aeo2014!AF55*1000</f>
        <v>214.70690263410251</v>
      </c>
      <c r="AE23" s="335">
        <f>EIA_electricity_aeo2014!AG50*1000+EIA_electricity_aeo2014!AG55*1000</f>
        <v>215.92558779748271</v>
      </c>
      <c r="AF23" s="335">
        <f>EIA_electricity_aeo2014!AH50*1000+EIA_electricity_aeo2014!AH55*1000</f>
        <v>216.40739252445897</v>
      </c>
      <c r="AG23" s="335">
        <f>EIA_electricity_aeo2014!AI50*1000+EIA_electricity_aeo2014!AI55*1000</f>
        <v>217.85843654178149</v>
      </c>
      <c r="AH23" s="335">
        <f>EIA_electricity_aeo2014!AJ50*1000+EIA_electricity_aeo2014!AJ55*1000</f>
        <v>218.07388624832407</v>
      </c>
    </row>
    <row r="24" spans="1:34">
      <c r="A24" s="10" t="s">
        <v>345</v>
      </c>
      <c r="B24" s="37"/>
      <c r="C24" s="335">
        <f>SUM(C22:C23)</f>
        <v>101102</v>
      </c>
      <c r="D24" s="335">
        <f t="shared" ref="D24:AH24" si="4">SUM(D22:D23)</f>
        <v>105087</v>
      </c>
      <c r="E24" s="335">
        <f t="shared" si="4"/>
        <v>100894.74435546559</v>
      </c>
      <c r="F24" s="335">
        <f t="shared" si="4"/>
        <v>100251.17725917752</v>
      </c>
      <c r="G24" s="335">
        <f t="shared" si="4"/>
        <v>98639.279694298428</v>
      </c>
      <c r="H24" s="83">
        <f t="shared" si="4"/>
        <v>100844.11442635852</v>
      </c>
      <c r="I24" s="83">
        <f t="shared" si="4"/>
        <v>103707.16210478994</v>
      </c>
      <c r="J24" s="83">
        <f t="shared" si="4"/>
        <v>105067.16353026686</v>
      </c>
      <c r="K24" s="83">
        <f t="shared" si="4"/>
        <v>109266.61034840273</v>
      </c>
      <c r="L24" s="83">
        <f t="shared" si="4"/>
        <v>111561.13922544662</v>
      </c>
      <c r="M24" s="83">
        <f t="shared" si="4"/>
        <v>113711.17671340342</v>
      </c>
      <c r="N24" s="394">
        <f t="shared" si="4"/>
        <v>115908.54571707034</v>
      </c>
      <c r="O24" s="83">
        <f t="shared" si="4"/>
        <v>117745.36672210673</v>
      </c>
      <c r="P24" s="83">
        <f t="shared" si="4"/>
        <v>119700.39019154405</v>
      </c>
      <c r="Q24" s="83">
        <f t="shared" si="4"/>
        <v>120447.52345965023</v>
      </c>
      <c r="R24" s="83">
        <f t="shared" si="4"/>
        <v>122140.98927966761</v>
      </c>
      <c r="S24" s="83">
        <f t="shared" si="4"/>
        <v>123151.44933114163</v>
      </c>
      <c r="T24" s="83">
        <f t="shared" si="4"/>
        <v>123636.89110513922</v>
      </c>
      <c r="U24" s="83">
        <f t="shared" si="4"/>
        <v>126037.18268007202</v>
      </c>
      <c r="V24" s="83">
        <f t="shared" si="4"/>
        <v>126772.80359056963</v>
      </c>
      <c r="W24" s="83">
        <f t="shared" si="4"/>
        <v>128310.23178835381</v>
      </c>
      <c r="X24" s="185">
        <f t="shared" si="4"/>
        <v>129455.32328935528</v>
      </c>
      <c r="Y24" s="175">
        <f t="shared" si="4"/>
        <v>129326.7811186325</v>
      </c>
      <c r="Z24" s="175">
        <f t="shared" si="4"/>
        <v>129711.37021502558</v>
      </c>
      <c r="AA24" s="175">
        <f t="shared" si="4"/>
        <v>130458.72776592996</v>
      </c>
      <c r="AB24" s="175">
        <f t="shared" si="4"/>
        <v>131713.74952285911</v>
      </c>
      <c r="AC24" s="175">
        <f t="shared" si="4"/>
        <v>131994.1025540526</v>
      </c>
      <c r="AD24" s="175">
        <f t="shared" si="4"/>
        <v>132842.17342848593</v>
      </c>
      <c r="AE24" s="175">
        <f t="shared" si="4"/>
        <v>133563.73776788721</v>
      </c>
      <c r="AF24" s="175">
        <f t="shared" si="4"/>
        <v>134030.13043174101</v>
      </c>
      <c r="AG24" s="175">
        <f t="shared" si="4"/>
        <v>136078.98271307113</v>
      </c>
      <c r="AH24" s="175">
        <f t="shared" si="4"/>
        <v>137557.94494157814</v>
      </c>
    </row>
    <row r="25" spans="1:34">
      <c r="A25" s="10" t="s">
        <v>346</v>
      </c>
      <c r="B25" s="37"/>
      <c r="C25" s="337">
        <f t="shared" ref="C25:AH25" si="5">C24/C4-1</f>
        <v>0</v>
      </c>
      <c r="D25" s="337">
        <f t="shared" si="5"/>
        <v>-9.5158343484946784E-6</v>
      </c>
      <c r="E25" s="337">
        <f t="shared" si="5"/>
        <v>2.9734045510210194E-6</v>
      </c>
      <c r="F25" s="337">
        <f t="shared" si="5"/>
        <v>2.9924925166735505E-6</v>
      </c>
      <c r="G25" s="337">
        <f t="shared" si="5"/>
        <v>3.0413939899887055E-6</v>
      </c>
      <c r="H25" s="82">
        <f t="shared" si="5"/>
        <v>2.9748973866539075E-6</v>
      </c>
      <c r="I25" s="82">
        <f t="shared" si="5"/>
        <v>2.8927690407520856E-6</v>
      </c>
      <c r="J25" s="82">
        <f t="shared" si="5"/>
        <v>2.8553245992046783E-6</v>
      </c>
      <c r="K25" s="82">
        <f t="shared" si="5"/>
        <v>2.7455855244884475E-6</v>
      </c>
      <c r="L25" s="82">
        <f t="shared" si="5"/>
        <v>2.6891156617026013E-6</v>
      </c>
      <c r="M25" s="82">
        <f t="shared" si="5"/>
        <v>2.638270046650959E-6</v>
      </c>
      <c r="N25" s="200">
        <f t="shared" si="5"/>
        <v>2.5882541672128667E-6</v>
      </c>
      <c r="O25" s="82">
        <f t="shared" si="5"/>
        <v>2.5478774472453836E-6</v>
      </c>
      <c r="P25" s="82">
        <f t="shared" si="5"/>
        <v>2.506263775847728E-6</v>
      </c>
      <c r="Q25" s="82">
        <f t="shared" si="5"/>
        <v>2.4907174396293641E-6</v>
      </c>
      <c r="R25" s="82">
        <f t="shared" si="5"/>
        <v>2.456183944898882E-6</v>
      </c>
      <c r="S25" s="82">
        <f t="shared" si="5"/>
        <v>2.4360308583659673E-6</v>
      </c>
      <c r="T25" s="82">
        <f t="shared" si="5"/>
        <v>2.426466123806037E-6</v>
      </c>
      <c r="U25" s="82">
        <f t="shared" si="5"/>
        <v>2.3802556334828751E-6</v>
      </c>
      <c r="V25" s="82">
        <f t="shared" si="5"/>
        <v>2.3664437596160326E-6</v>
      </c>
      <c r="W25" s="82">
        <f t="shared" si="5"/>
        <v>2.3380886875479234E-6</v>
      </c>
      <c r="X25" s="186">
        <f t="shared" si="5"/>
        <v>2.3174071763776283E-6</v>
      </c>
      <c r="Y25" s="173">
        <f t="shared" si="5"/>
        <v>2.3197105296635101E-6</v>
      </c>
      <c r="Z25" s="173">
        <f t="shared" si="5"/>
        <v>2.3128326636090435E-6</v>
      </c>
      <c r="AA25" s="173">
        <f t="shared" si="5"/>
        <v>2.2995831328032068E-6</v>
      </c>
      <c r="AB25" s="173">
        <f t="shared" si="5"/>
        <v>2.2776717267802837E-6</v>
      </c>
      <c r="AC25" s="173">
        <f t="shared" si="5"/>
        <v>2.2728339832411848E-6</v>
      </c>
      <c r="AD25" s="173">
        <f t="shared" si="5"/>
        <v>2.2583240679718841E-6</v>
      </c>
      <c r="AE25" s="173">
        <f t="shared" si="5"/>
        <v>2.2461236774962146E-6</v>
      </c>
      <c r="AF25" s="173">
        <f t="shared" si="5"/>
        <v>2.238307688529062E-6</v>
      </c>
      <c r="AG25" s="173">
        <f t="shared" si="5"/>
        <v>2.2046068790526618E-6</v>
      </c>
      <c r="AH25" s="173">
        <f t="shared" si="5"/>
        <v>7.269668993448164E-7</v>
      </c>
    </row>
    <row r="26" spans="1:34">
      <c r="A26" s="10"/>
      <c r="B26" s="37"/>
      <c r="C26" s="337"/>
      <c r="D26" s="337"/>
      <c r="E26" s="337"/>
      <c r="F26" s="337"/>
      <c r="G26" s="337"/>
      <c r="H26" s="82"/>
      <c r="I26" s="82"/>
      <c r="J26" s="82"/>
      <c r="K26" s="82"/>
      <c r="L26" s="82"/>
      <c r="M26" s="82"/>
      <c r="N26" s="184" t="s">
        <v>0</v>
      </c>
      <c r="O26" s="91" t="s">
        <v>0</v>
      </c>
      <c r="P26" s="82"/>
      <c r="Q26" s="82"/>
      <c r="R26" s="82"/>
      <c r="S26" s="82"/>
      <c r="T26" s="82"/>
      <c r="U26" s="82"/>
      <c r="V26" s="82"/>
      <c r="W26" s="82"/>
      <c r="X26" s="186" t="s">
        <v>0</v>
      </c>
    </row>
    <row r="27" spans="1:34">
      <c r="A27" s="10"/>
      <c r="B27" s="37"/>
      <c r="C27" s="337"/>
      <c r="D27" s="337"/>
      <c r="E27" s="337"/>
      <c r="F27" s="337"/>
      <c r="G27" s="337"/>
      <c r="H27" s="165"/>
      <c r="I27" s="165"/>
      <c r="J27" s="165"/>
      <c r="K27" s="165"/>
      <c r="L27" s="165"/>
      <c r="M27" s="165"/>
      <c r="N27" s="184"/>
      <c r="O27" s="165"/>
      <c r="P27" s="165"/>
      <c r="Q27" s="165"/>
      <c r="R27" s="165"/>
      <c r="S27" s="165"/>
      <c r="T27" s="165"/>
      <c r="U27" s="165"/>
      <c r="V27" s="165"/>
      <c r="W27" s="165"/>
      <c r="X27" s="186"/>
    </row>
    <row r="28" spans="1:34">
      <c r="A28" s="9" t="s">
        <v>125</v>
      </c>
      <c r="B28" s="37"/>
      <c r="C28" s="337">
        <f t="shared" ref="C28:K28" si="6">C10/C$18</f>
        <v>0.92161944153637565</v>
      </c>
      <c r="D28" s="337">
        <f t="shared" si="6"/>
        <v>0.93005376372790327</v>
      </c>
      <c r="E28" s="337">
        <f t="shared" si="6"/>
        <v>0.91598783484468549</v>
      </c>
      <c r="F28" s="337">
        <f t="shared" si="6"/>
        <v>0.90677984867616956</v>
      </c>
      <c r="G28" s="337">
        <f t="shared" si="6"/>
        <v>0.93746458566913027</v>
      </c>
      <c r="H28" s="165">
        <f t="shared" si="6"/>
        <v>0.93470454331123365</v>
      </c>
      <c r="I28" s="165">
        <f t="shared" si="6"/>
        <v>0.93594896244122994</v>
      </c>
      <c r="J28" s="165">
        <f t="shared" si="6"/>
        <v>0.95825951283462374</v>
      </c>
      <c r="K28" s="165">
        <f t="shared" si="6"/>
        <v>0.95340295759870908</v>
      </c>
      <c r="L28" s="165">
        <f t="shared" ref="L28:L34" si="7">L10/L$18</f>
        <v>0.95476883667652268</v>
      </c>
      <c r="M28" s="165">
        <f t="shared" ref="M28:AH28" si="8">M10/M$18</f>
        <v>0.95941173294253268</v>
      </c>
      <c r="N28" s="186">
        <f t="shared" si="8"/>
        <v>0.96804223787113119</v>
      </c>
      <c r="O28" s="165">
        <f t="shared" si="8"/>
        <v>0.97591135572566712</v>
      </c>
      <c r="P28" s="165">
        <f t="shared" si="8"/>
        <v>0.97638568936025172</v>
      </c>
      <c r="Q28" s="165">
        <f t="shared" si="8"/>
        <v>0.9772597055178377</v>
      </c>
      <c r="R28" s="165">
        <f t="shared" si="8"/>
        <v>0.97741894532714235</v>
      </c>
      <c r="S28" s="165">
        <f t="shared" si="8"/>
        <v>0.9776482485162411</v>
      </c>
      <c r="T28" s="165">
        <f t="shared" si="8"/>
        <v>0.97769946267364138</v>
      </c>
      <c r="U28" s="165">
        <f t="shared" si="8"/>
        <v>0.97754287149336117</v>
      </c>
      <c r="V28" s="165">
        <f t="shared" si="8"/>
        <v>0.97768929517337144</v>
      </c>
      <c r="W28" s="165">
        <f t="shared" si="8"/>
        <v>0.9778028315190973</v>
      </c>
      <c r="X28" s="186">
        <f t="shared" si="8"/>
        <v>0.97766579281837485</v>
      </c>
      <c r="Y28" s="173">
        <f t="shared" si="8"/>
        <v>0.97783740615931181</v>
      </c>
      <c r="Z28" s="173">
        <f t="shared" si="8"/>
        <v>0.97782090931431165</v>
      </c>
      <c r="AA28" s="173">
        <f t="shared" si="8"/>
        <v>0.97790754865841623</v>
      </c>
      <c r="AB28" s="173">
        <f t="shared" si="8"/>
        <v>0.97809685208534158</v>
      </c>
      <c r="AC28" s="173">
        <f t="shared" si="8"/>
        <v>0.97823636023601868</v>
      </c>
      <c r="AD28" s="173">
        <f t="shared" si="8"/>
        <v>0.97839472255404702</v>
      </c>
      <c r="AE28" s="173">
        <f t="shared" si="8"/>
        <v>0.97852934178405371</v>
      </c>
      <c r="AF28" s="173">
        <f t="shared" si="8"/>
        <v>0.97852781452840476</v>
      </c>
      <c r="AG28" s="173">
        <f t="shared" si="8"/>
        <v>0.97866976176527987</v>
      </c>
      <c r="AH28" s="173">
        <f t="shared" si="8"/>
        <v>0.97882450758800477</v>
      </c>
    </row>
    <row r="29" spans="1:34">
      <c r="A29" s="9" t="s">
        <v>50</v>
      </c>
      <c r="B29" s="37"/>
      <c r="C29" s="337">
        <f t="shared" ref="C29:K29" si="9">C11/C$18</f>
        <v>0</v>
      </c>
      <c r="D29" s="337">
        <f t="shared" si="9"/>
        <v>0</v>
      </c>
      <c r="E29" s="337">
        <f t="shared" si="9"/>
        <v>5.256751896061815E-8</v>
      </c>
      <c r="F29" s="337">
        <f t="shared" si="9"/>
        <v>4.937365269044876E-8</v>
      </c>
      <c r="G29" s="337">
        <f t="shared" si="9"/>
        <v>4.5218246287787868E-8</v>
      </c>
      <c r="H29" s="165">
        <f t="shared" si="9"/>
        <v>4.4462306073852885E-8</v>
      </c>
      <c r="I29" s="165">
        <f t="shared" si="9"/>
        <v>4.3590809918024974E-8</v>
      </c>
      <c r="J29" s="165">
        <f t="shared" si="9"/>
        <v>2.813967581059336E-8</v>
      </c>
      <c r="K29" s="165">
        <f t="shared" si="9"/>
        <v>3.130078463253233E-8</v>
      </c>
      <c r="L29" s="165">
        <f t="shared" si="7"/>
        <v>3.0370936784456529E-8</v>
      </c>
      <c r="M29" s="165">
        <f t="shared" ref="M29:AH29" si="10">M11/M$18</f>
        <v>2.7271416252051263E-8</v>
      </c>
      <c r="N29" s="186">
        <f t="shared" si="10"/>
        <v>2.1517817490540433E-8</v>
      </c>
      <c r="O29" s="165">
        <f t="shared" si="10"/>
        <v>1.6239819291197718E-8</v>
      </c>
      <c r="P29" s="165">
        <f t="shared" si="10"/>
        <v>1.5937086216919771E-8</v>
      </c>
      <c r="Q29" s="165">
        <f t="shared" si="10"/>
        <v>1.5362643660212064E-8</v>
      </c>
      <c r="R29" s="165">
        <f t="shared" si="10"/>
        <v>1.527032224958343E-8</v>
      </c>
      <c r="S29" s="165">
        <f t="shared" si="10"/>
        <v>1.5133078083381985E-8</v>
      </c>
      <c r="T29" s="165">
        <f t="shared" si="10"/>
        <v>1.5118280965746656E-8</v>
      </c>
      <c r="U29" s="165">
        <f t="shared" si="10"/>
        <v>1.5244794178228887E-8</v>
      </c>
      <c r="V29" s="165">
        <f t="shared" si="10"/>
        <v>1.5176477544284399E-8</v>
      </c>
      <c r="W29" s="165">
        <f t="shared" si="10"/>
        <v>1.5123494886834103E-8</v>
      </c>
      <c r="X29" s="186">
        <f t="shared" si="10"/>
        <v>1.5250535618205454E-8</v>
      </c>
      <c r="Y29" s="173">
        <f t="shared" si="10"/>
        <v>1.5166293238556462E-8</v>
      </c>
      <c r="Z29" s="173">
        <f t="shared" si="10"/>
        <v>1.5210982977556573E-8</v>
      </c>
      <c r="AA29" s="173">
        <f t="shared" si="10"/>
        <v>1.5183715589343999E-8</v>
      </c>
      <c r="AB29" s="173">
        <f t="shared" si="10"/>
        <v>1.5081611660897739E-8</v>
      </c>
      <c r="AC29" s="173">
        <f t="shared" si="10"/>
        <v>1.5015575832542143E-8</v>
      </c>
      <c r="AD29" s="173">
        <f t="shared" si="10"/>
        <v>1.4932892819247776E-8</v>
      </c>
      <c r="AE29" s="173">
        <f t="shared" si="10"/>
        <v>1.4863688127035457E-8</v>
      </c>
      <c r="AF29" s="173">
        <f t="shared" si="10"/>
        <v>1.4886313342693073E-8</v>
      </c>
      <c r="AG29" s="173">
        <f t="shared" si="10"/>
        <v>1.4810465529088957E-8</v>
      </c>
      <c r="AH29" s="173">
        <f t="shared" si="10"/>
        <v>1.4745733412126687E-8</v>
      </c>
    </row>
    <row r="30" spans="1:34">
      <c r="A30" s="9" t="s">
        <v>51</v>
      </c>
      <c r="B30" s="37"/>
      <c r="C30" s="337">
        <f t="shared" ref="C30:K30" si="11">C12/C$18</f>
        <v>7.8374837672553363E-2</v>
      </c>
      <c r="D30" s="337">
        <f t="shared" si="11"/>
        <v>6.9940897272305E-2</v>
      </c>
      <c r="E30" s="337">
        <f t="shared" si="11"/>
        <v>8.3849153275863689E-2</v>
      </c>
      <c r="F30" s="337">
        <f t="shared" si="11"/>
        <v>9.3067043623874968E-2</v>
      </c>
      <c r="G30" s="337">
        <f t="shared" si="11"/>
        <v>6.2395192546418246E-2</v>
      </c>
      <c r="H30" s="165">
        <f t="shared" si="11"/>
        <v>6.5157579074963556E-2</v>
      </c>
      <c r="I30" s="165">
        <f t="shared" si="11"/>
        <v>6.3914643882225466E-2</v>
      </c>
      <c r="J30" s="165">
        <f t="shared" si="11"/>
        <v>4.1652153573895734E-2</v>
      </c>
      <c r="K30" s="165">
        <f t="shared" si="11"/>
        <v>4.6498785735458514E-2</v>
      </c>
      <c r="L30" s="165">
        <f t="shared" si="7"/>
        <v>4.5135825389792592E-2</v>
      </c>
      <c r="M30" s="165">
        <f t="shared" ref="M30:AH30" si="12">M12/M$18</f>
        <v>4.0502658931185286E-2</v>
      </c>
      <c r="N30" s="186">
        <f t="shared" si="12"/>
        <v>3.1890215196167894E-2</v>
      </c>
      <c r="O30" s="165">
        <f t="shared" si="12"/>
        <v>2.403766560945135E-2</v>
      </c>
      <c r="P30" s="165">
        <f t="shared" si="12"/>
        <v>2.3564282288885956E-2</v>
      </c>
      <c r="Q30" s="165">
        <f t="shared" si="12"/>
        <v>2.2692069643857834E-2</v>
      </c>
      <c r="R30" s="165">
        <f t="shared" si="12"/>
        <v>2.2533119617263668E-2</v>
      </c>
      <c r="S30" s="165">
        <f t="shared" si="12"/>
        <v>2.2304243446451839E-2</v>
      </c>
      <c r="T30" s="165">
        <f t="shared" si="12"/>
        <v>2.2253067535281352E-2</v>
      </c>
      <c r="U30" s="165">
        <f t="shared" si="12"/>
        <v>2.2409257936953454E-2</v>
      </c>
      <c r="V30" s="165">
        <f t="shared" si="12"/>
        <v>2.2263044432154263E-2</v>
      </c>
      <c r="W30" s="165">
        <f t="shared" si="12"/>
        <v>2.2149664543117849E-2</v>
      </c>
      <c r="X30" s="186">
        <f t="shared" si="12"/>
        <v>2.2286290765052071E-2</v>
      </c>
      <c r="Y30" s="173">
        <f t="shared" si="12"/>
        <v>2.2114923194189531E-2</v>
      </c>
      <c r="Z30" s="173">
        <f t="shared" si="12"/>
        <v>2.213127066450838E-2</v>
      </c>
      <c r="AA30" s="173">
        <f t="shared" si="12"/>
        <v>2.204471250427182E-2</v>
      </c>
      <c r="AB30" s="173">
        <f t="shared" si="12"/>
        <v>2.185571548843547E-2</v>
      </c>
      <c r="AC30" s="173">
        <f t="shared" si="12"/>
        <v>2.1716407408456026E-2</v>
      </c>
      <c r="AD30" s="173">
        <f t="shared" si="12"/>
        <v>2.1558305011822692E-2</v>
      </c>
      <c r="AE30" s="173">
        <f t="shared" si="12"/>
        <v>2.1423885241817466E-2</v>
      </c>
      <c r="AF30" s="173">
        <f t="shared" si="12"/>
        <v>2.1425328724601587E-2</v>
      </c>
      <c r="AG30" s="173">
        <f t="shared" si="12"/>
        <v>2.1283594460270738E-2</v>
      </c>
      <c r="AH30" s="173">
        <f t="shared" si="12"/>
        <v>2.1158508894097393E-2</v>
      </c>
    </row>
    <row r="31" spans="1:34">
      <c r="A31" s="9" t="s">
        <v>347</v>
      </c>
      <c r="B31" s="37"/>
      <c r="C31" s="337">
        <f t="shared" ref="C31:K31" si="13">C13/C$18</f>
        <v>0</v>
      </c>
      <c r="D31" s="337">
        <f t="shared" si="13"/>
        <v>0</v>
      </c>
      <c r="E31" s="337">
        <f t="shared" si="13"/>
        <v>1.051350379212363E-4</v>
      </c>
      <c r="F31" s="337">
        <f t="shared" si="13"/>
        <v>9.8747305380897526E-5</v>
      </c>
      <c r="G31" s="337">
        <f t="shared" si="13"/>
        <v>9.0436492575575732E-5</v>
      </c>
      <c r="H31" s="165">
        <f t="shared" si="13"/>
        <v>8.892461214770578E-5</v>
      </c>
      <c r="I31" s="165">
        <f t="shared" si="13"/>
        <v>8.718161983604995E-5</v>
      </c>
      <c r="J31" s="165">
        <f t="shared" si="13"/>
        <v>5.6279351621186724E-5</v>
      </c>
      <c r="K31" s="165">
        <f t="shared" si="13"/>
        <v>6.2601569265064672E-5</v>
      </c>
      <c r="L31" s="165">
        <f t="shared" si="7"/>
        <v>6.0741873568913062E-5</v>
      </c>
      <c r="M31" s="165">
        <f t="shared" ref="M31:AH31" si="14">M13/M$18</f>
        <v>5.4542832504102527E-5</v>
      </c>
      <c r="N31" s="186">
        <f t="shared" si="14"/>
        <v>4.3035634981080863E-5</v>
      </c>
      <c r="O31" s="165">
        <f t="shared" si="14"/>
        <v>3.2479638582395437E-5</v>
      </c>
      <c r="P31" s="165">
        <f t="shared" si="14"/>
        <v>3.1874172433839539E-5</v>
      </c>
      <c r="Q31" s="165">
        <f t="shared" si="14"/>
        <v>3.0725287320424127E-5</v>
      </c>
      <c r="R31" s="165">
        <f t="shared" si="14"/>
        <v>3.054064449916686E-5</v>
      </c>
      <c r="S31" s="165">
        <f t="shared" si="14"/>
        <v>3.026615616676397E-5</v>
      </c>
      <c r="T31" s="165">
        <f t="shared" si="14"/>
        <v>3.0236561931493311E-5</v>
      </c>
      <c r="U31" s="165">
        <f t="shared" si="14"/>
        <v>3.0489588356457774E-5</v>
      </c>
      <c r="V31" s="165">
        <f t="shared" si="14"/>
        <v>3.0352955088568796E-5</v>
      </c>
      <c r="W31" s="165">
        <f t="shared" si="14"/>
        <v>3.0246989773668209E-5</v>
      </c>
      <c r="X31" s="186">
        <f t="shared" si="14"/>
        <v>3.0501071236410906E-5</v>
      </c>
      <c r="Y31" s="173">
        <f t="shared" si="14"/>
        <v>3.0332586477112927E-5</v>
      </c>
      <c r="Z31" s="173">
        <f t="shared" si="14"/>
        <v>3.0421965955113147E-5</v>
      </c>
      <c r="AA31" s="173">
        <f t="shared" si="14"/>
        <v>3.0367431178687995E-5</v>
      </c>
      <c r="AB31" s="173">
        <f t="shared" si="14"/>
        <v>3.016322332179548E-5</v>
      </c>
      <c r="AC31" s="173">
        <f t="shared" si="14"/>
        <v>3.0031151665084284E-5</v>
      </c>
      <c r="AD31" s="173">
        <f t="shared" si="14"/>
        <v>2.9865785638495553E-5</v>
      </c>
      <c r="AE31" s="173">
        <f t="shared" si="14"/>
        <v>2.9727376254070914E-5</v>
      </c>
      <c r="AF31" s="173">
        <f t="shared" si="14"/>
        <v>2.9772626685386147E-5</v>
      </c>
      <c r="AG31" s="173">
        <f t="shared" si="14"/>
        <v>2.9620931058177914E-5</v>
      </c>
      <c r="AH31" s="173">
        <f t="shared" si="14"/>
        <v>0</v>
      </c>
    </row>
    <row r="32" spans="1:34">
      <c r="A32" s="9" t="s">
        <v>348</v>
      </c>
      <c r="B32" s="37"/>
      <c r="C32" s="337">
        <f t="shared" ref="C32:K32" si="15">C14/C$18</f>
        <v>0</v>
      </c>
      <c r="D32" s="337">
        <f t="shared" si="15"/>
        <v>0</v>
      </c>
      <c r="E32" s="337">
        <f t="shared" si="15"/>
        <v>5.2567518960618152E-5</v>
      </c>
      <c r="F32" s="337">
        <f t="shared" si="15"/>
        <v>4.9373652690448763E-5</v>
      </c>
      <c r="G32" s="337">
        <f t="shared" si="15"/>
        <v>4.5218246287787866E-5</v>
      </c>
      <c r="H32" s="165">
        <f t="shared" si="15"/>
        <v>4.446230607385289E-5</v>
      </c>
      <c r="I32" s="165">
        <f t="shared" si="15"/>
        <v>4.3590809918024975E-5</v>
      </c>
      <c r="J32" s="165">
        <f t="shared" si="15"/>
        <v>2.8139675810593362E-5</v>
      </c>
      <c r="K32" s="165">
        <f t="shared" si="15"/>
        <v>3.1300784632532336E-5</v>
      </c>
      <c r="L32" s="165">
        <f t="shared" si="7"/>
        <v>3.0370936784456531E-5</v>
      </c>
      <c r="M32" s="165">
        <f t="shared" ref="M32:AH32" si="16">M14/M$18</f>
        <v>2.7271416252051264E-5</v>
      </c>
      <c r="N32" s="186">
        <f t="shared" si="16"/>
        <v>2.1517817490540431E-5</v>
      </c>
      <c r="O32" s="165">
        <f t="shared" si="16"/>
        <v>1.6239819291197718E-5</v>
      </c>
      <c r="P32" s="165">
        <f t="shared" si="16"/>
        <v>1.593708621691977E-5</v>
      </c>
      <c r="Q32" s="165">
        <f t="shared" si="16"/>
        <v>1.5362643660212064E-5</v>
      </c>
      <c r="R32" s="165">
        <f t="shared" si="16"/>
        <v>1.527032224958343E-5</v>
      </c>
      <c r="S32" s="165">
        <f t="shared" si="16"/>
        <v>1.5133078083381985E-5</v>
      </c>
      <c r="T32" s="165">
        <f t="shared" si="16"/>
        <v>1.5118280965746655E-5</v>
      </c>
      <c r="U32" s="165">
        <f t="shared" si="16"/>
        <v>1.5244794178228887E-5</v>
      </c>
      <c r="V32" s="165">
        <f t="shared" si="16"/>
        <v>1.5176477544284398E-5</v>
      </c>
      <c r="W32" s="165">
        <f t="shared" si="16"/>
        <v>1.5123494886834104E-5</v>
      </c>
      <c r="X32" s="186">
        <f t="shared" si="16"/>
        <v>1.5250535618205453E-5</v>
      </c>
      <c r="Y32" s="173">
        <f t="shared" si="16"/>
        <v>1.5166293238556464E-5</v>
      </c>
      <c r="Z32" s="173">
        <f t="shared" si="16"/>
        <v>1.5210982977556574E-5</v>
      </c>
      <c r="AA32" s="173">
        <f t="shared" si="16"/>
        <v>1.5183715589343998E-5</v>
      </c>
      <c r="AB32" s="173">
        <f t="shared" si="16"/>
        <v>1.508161166089774E-5</v>
      </c>
      <c r="AC32" s="173">
        <f t="shared" si="16"/>
        <v>1.5015575832542142E-5</v>
      </c>
      <c r="AD32" s="173">
        <f t="shared" si="16"/>
        <v>1.4932892819247777E-5</v>
      </c>
      <c r="AE32" s="173">
        <f t="shared" si="16"/>
        <v>1.4863688127035457E-5</v>
      </c>
      <c r="AF32" s="173">
        <f t="shared" si="16"/>
        <v>1.4886313342693073E-5</v>
      </c>
      <c r="AG32" s="173">
        <f t="shared" si="16"/>
        <v>1.4810465529088957E-5</v>
      </c>
      <c r="AH32" s="173">
        <f t="shared" si="16"/>
        <v>1.4745733412126688E-5</v>
      </c>
    </row>
    <row r="33" spans="1:36">
      <c r="A33" s="9" t="s">
        <v>344</v>
      </c>
      <c r="B33" s="37"/>
      <c r="C33" s="337">
        <f t="shared" ref="C33:K33" si="17">C15/C$18</f>
        <v>5.7207910709892967E-6</v>
      </c>
      <c r="D33" s="337">
        <f t="shared" si="17"/>
        <v>5.3389997917790084E-6</v>
      </c>
      <c r="E33" s="337">
        <f t="shared" si="17"/>
        <v>5.256751896061815E-6</v>
      </c>
      <c r="F33" s="337">
        <f t="shared" si="17"/>
        <v>4.9373652690448763E-6</v>
      </c>
      <c r="G33" s="337">
        <f t="shared" si="17"/>
        <v>4.5218246287787863E-6</v>
      </c>
      <c r="H33" s="165">
        <f t="shared" si="17"/>
        <v>4.4462306073852887E-6</v>
      </c>
      <c r="I33" s="165">
        <f t="shared" si="17"/>
        <v>4.3590809918024973E-6</v>
      </c>
      <c r="J33" s="165">
        <f t="shared" si="17"/>
        <v>2.813967581059336E-6</v>
      </c>
      <c r="K33" s="165">
        <f t="shared" si="17"/>
        <v>3.130078463253233E-6</v>
      </c>
      <c r="L33" s="165">
        <f t="shared" si="7"/>
        <v>3.0370936784456527E-6</v>
      </c>
      <c r="M33" s="165">
        <f t="shared" ref="M33:AH33" si="18">M15/M$18</f>
        <v>2.7271416252051262E-6</v>
      </c>
      <c r="N33" s="186">
        <f t="shared" si="18"/>
        <v>2.1517817490540433E-6</v>
      </c>
      <c r="O33" s="165">
        <f t="shared" si="18"/>
        <v>1.6239819291197718E-6</v>
      </c>
      <c r="P33" s="165">
        <f t="shared" si="18"/>
        <v>1.5937086216919771E-6</v>
      </c>
      <c r="Q33" s="165">
        <f t="shared" si="18"/>
        <v>1.5362643660212062E-6</v>
      </c>
      <c r="R33" s="165">
        <f t="shared" si="18"/>
        <v>1.5270322249583432E-6</v>
      </c>
      <c r="S33" s="165">
        <f t="shared" si="18"/>
        <v>1.5133078083381986E-6</v>
      </c>
      <c r="T33" s="165">
        <f t="shared" si="18"/>
        <v>1.5118280965746654E-6</v>
      </c>
      <c r="U33" s="165">
        <f t="shared" si="18"/>
        <v>1.5244794178228886E-6</v>
      </c>
      <c r="V33" s="165">
        <f t="shared" si="18"/>
        <v>1.5176477544284397E-6</v>
      </c>
      <c r="W33" s="165">
        <f t="shared" si="18"/>
        <v>1.5123494886834104E-6</v>
      </c>
      <c r="X33" s="186">
        <f t="shared" si="18"/>
        <v>1.5250535618205454E-6</v>
      </c>
      <c r="Y33" s="173">
        <f t="shared" si="18"/>
        <v>1.5166293238556464E-6</v>
      </c>
      <c r="Z33" s="173">
        <f t="shared" si="18"/>
        <v>1.5210982977556574E-6</v>
      </c>
      <c r="AA33" s="173">
        <f t="shared" si="18"/>
        <v>1.5183715589343996E-6</v>
      </c>
      <c r="AB33" s="173">
        <f t="shared" si="18"/>
        <v>1.508161166089774E-6</v>
      </c>
      <c r="AC33" s="173">
        <f t="shared" si="18"/>
        <v>1.5015575832542142E-6</v>
      </c>
      <c r="AD33" s="173">
        <f t="shared" si="18"/>
        <v>1.4932892819247776E-6</v>
      </c>
      <c r="AE33" s="173">
        <f t="shared" si="18"/>
        <v>1.4863688127035456E-6</v>
      </c>
      <c r="AF33" s="173">
        <f t="shared" si="18"/>
        <v>1.4886313342693073E-6</v>
      </c>
      <c r="AG33" s="173">
        <f t="shared" si="18"/>
        <v>1.4810465529088956E-6</v>
      </c>
      <c r="AH33" s="173">
        <f t="shared" si="18"/>
        <v>1.4745733412126688E-6</v>
      </c>
    </row>
    <row r="34" spans="1:36">
      <c r="A34" s="9" t="s">
        <v>53</v>
      </c>
      <c r="B34" s="37"/>
      <c r="C34" s="337">
        <f t="shared" ref="C34:K34" si="19">C16/C$18</f>
        <v>0</v>
      </c>
      <c r="D34" s="337">
        <f t="shared" si="19"/>
        <v>0</v>
      </c>
      <c r="E34" s="337">
        <f t="shared" si="19"/>
        <v>3.1540511376370888E-12</v>
      </c>
      <c r="F34" s="337">
        <f t="shared" si="19"/>
        <v>2.9624191614269255E-12</v>
      </c>
      <c r="G34" s="337">
        <f t="shared" si="19"/>
        <v>2.7130947772672718E-12</v>
      </c>
      <c r="H34" s="165">
        <f t="shared" si="19"/>
        <v>2.6677383644311731E-12</v>
      </c>
      <c r="I34" s="165">
        <f t="shared" si="19"/>
        <v>1.2185749885449994E-6</v>
      </c>
      <c r="J34" s="165">
        <f t="shared" si="19"/>
        <v>1.0724567919225112E-6</v>
      </c>
      <c r="K34" s="165">
        <f t="shared" si="19"/>
        <v>1.1929326868444552E-6</v>
      </c>
      <c r="L34" s="165">
        <f t="shared" si="7"/>
        <v>1.1576587161129005E-6</v>
      </c>
      <c r="M34" s="165">
        <f t="shared" ref="M34:AH34" si="20">M16/M$18</f>
        <v>1.0394644842975473E-6</v>
      </c>
      <c r="N34" s="186">
        <f t="shared" si="20"/>
        <v>8.201806627055606E-7</v>
      </c>
      <c r="O34" s="165">
        <f t="shared" si="20"/>
        <v>6.1898525943340253E-7</v>
      </c>
      <c r="P34" s="165">
        <f t="shared" si="20"/>
        <v>6.0744650354203779E-7</v>
      </c>
      <c r="Q34" s="165">
        <f t="shared" si="20"/>
        <v>5.8528031398860474E-7</v>
      </c>
      <c r="R34" s="165">
        <f t="shared" si="20"/>
        <v>5.8178629793521663E-7</v>
      </c>
      <c r="S34" s="165">
        <f t="shared" si="20"/>
        <v>5.8036217035220665E-7</v>
      </c>
      <c r="T34" s="165">
        <f t="shared" si="20"/>
        <v>5.8800180246159992E-7</v>
      </c>
      <c r="U34" s="165">
        <f t="shared" si="20"/>
        <v>5.9646293868324637E-7</v>
      </c>
      <c r="V34" s="165">
        <f t="shared" si="20"/>
        <v>5.9813760944696826E-7</v>
      </c>
      <c r="W34" s="165">
        <f t="shared" si="20"/>
        <v>6.0598014068662943E-7</v>
      </c>
      <c r="X34" s="186">
        <f t="shared" si="20"/>
        <v>6.2450562093160873E-7</v>
      </c>
      <c r="Y34" s="173">
        <f t="shared" si="20"/>
        <v>6.3997116580977252E-7</v>
      </c>
      <c r="Z34" s="173">
        <f t="shared" si="20"/>
        <v>6.5076296657833535E-7</v>
      </c>
      <c r="AA34" s="173">
        <f t="shared" si="20"/>
        <v>6.5413526927929678E-7</v>
      </c>
      <c r="AB34" s="173">
        <f t="shared" si="20"/>
        <v>6.6434846243322746E-7</v>
      </c>
      <c r="AC34" s="173">
        <f t="shared" si="20"/>
        <v>6.6905486844515494E-7</v>
      </c>
      <c r="AD34" s="173">
        <f t="shared" si="20"/>
        <v>6.6553349770715243E-7</v>
      </c>
      <c r="AE34" s="173">
        <f t="shared" si="20"/>
        <v>6.8067724684986304E-7</v>
      </c>
      <c r="AF34" s="173">
        <f t="shared" si="20"/>
        <v>6.9428931796773299E-7</v>
      </c>
      <c r="AG34" s="173">
        <f t="shared" si="20"/>
        <v>7.1652084359938513E-7</v>
      </c>
      <c r="AH34" s="173">
        <f t="shared" si="20"/>
        <v>7.4846541110606748E-7</v>
      </c>
    </row>
    <row r="35" spans="1:36">
      <c r="A35" s="10"/>
      <c r="B35" s="37"/>
      <c r="C35" s="337"/>
      <c r="D35" s="337"/>
      <c r="E35" s="337"/>
      <c r="F35" s="337"/>
      <c r="G35" s="337"/>
      <c r="H35" s="165"/>
      <c r="I35" s="165"/>
      <c r="J35" s="165"/>
      <c r="K35" s="165"/>
      <c r="L35" s="165"/>
      <c r="M35" s="165"/>
      <c r="N35" s="184"/>
      <c r="O35" s="165"/>
      <c r="P35" s="165"/>
      <c r="Q35" s="165"/>
      <c r="R35" s="165"/>
      <c r="S35" s="165"/>
      <c r="T35" s="165"/>
      <c r="U35" s="165"/>
      <c r="V35" s="165"/>
      <c r="W35" s="165"/>
      <c r="X35" s="186"/>
    </row>
    <row r="36" spans="1:36">
      <c r="A36" s="10"/>
      <c r="B36" s="37"/>
      <c r="C36" s="337"/>
      <c r="D36" s="337"/>
      <c r="E36" s="337"/>
      <c r="F36" s="337"/>
      <c r="G36" s="337"/>
      <c r="H36" s="165"/>
      <c r="I36" s="165"/>
      <c r="J36" s="165"/>
      <c r="K36" s="165"/>
      <c r="L36" s="165"/>
      <c r="M36" s="165"/>
      <c r="N36" s="184"/>
      <c r="O36" s="165"/>
      <c r="P36" s="165"/>
      <c r="Q36" s="165"/>
      <c r="R36" s="165"/>
      <c r="S36" s="165"/>
      <c r="T36" s="165"/>
      <c r="U36" s="165"/>
      <c r="V36" s="165"/>
      <c r="W36" s="165"/>
      <c r="X36" s="186"/>
    </row>
    <row r="37" spans="1:36">
      <c r="A37" s="10"/>
      <c r="B37" s="37"/>
      <c r="C37" s="337"/>
      <c r="D37" s="337"/>
      <c r="E37" s="337"/>
      <c r="F37" s="337"/>
      <c r="G37" s="337"/>
      <c r="H37" s="165"/>
      <c r="I37" s="165"/>
      <c r="J37" s="165"/>
      <c r="K37" s="165"/>
      <c r="L37" s="165"/>
      <c r="M37" s="165"/>
      <c r="N37" s="184"/>
      <c r="O37" s="165"/>
      <c r="P37" s="165"/>
      <c r="Q37" s="165"/>
      <c r="R37" s="165"/>
      <c r="S37" s="165"/>
      <c r="T37" s="165"/>
      <c r="U37" s="165"/>
      <c r="V37" s="165"/>
      <c r="W37" s="165"/>
      <c r="X37" s="186"/>
    </row>
    <row r="38" spans="1:36">
      <c r="A38" s="10"/>
      <c r="B38" s="37"/>
      <c r="C38" s="337"/>
      <c r="D38" s="337"/>
      <c r="E38" s="337"/>
      <c r="F38" s="337"/>
      <c r="G38" s="337"/>
      <c r="H38" s="165"/>
      <c r="I38" s="165"/>
      <c r="J38" s="165"/>
      <c r="K38" s="165"/>
      <c r="L38" s="165"/>
      <c r="M38" s="165"/>
      <c r="N38" s="184"/>
      <c r="O38" s="165"/>
      <c r="P38" s="165"/>
      <c r="Q38" s="165"/>
      <c r="R38" s="165"/>
      <c r="S38" s="165"/>
      <c r="T38" s="165"/>
      <c r="U38" s="165"/>
      <c r="V38" s="165"/>
      <c r="W38" s="165"/>
      <c r="X38" s="186"/>
    </row>
    <row r="39" spans="1:36">
      <c r="A39" s="1" t="s">
        <v>139</v>
      </c>
      <c r="B39" s="13"/>
      <c r="D39" s="338"/>
      <c r="E39" s="338"/>
      <c r="F39" s="338"/>
      <c r="G39" s="338"/>
      <c r="H39" s="16"/>
      <c r="I39" s="16"/>
      <c r="J39" s="16"/>
      <c r="K39" s="16"/>
      <c r="L39" s="16"/>
      <c r="M39" s="16"/>
      <c r="N39" s="395" t="s">
        <v>0</v>
      </c>
    </row>
    <row r="40" spans="1:36" ht="15">
      <c r="A40" s="8" t="s">
        <v>61</v>
      </c>
      <c r="B40" s="34">
        <v>0</v>
      </c>
      <c r="C40" s="336">
        <f>C5*Inputs!$C$44</f>
        <v>0</v>
      </c>
      <c r="D40" s="336">
        <f>D5*Inputs!$C$44</f>
        <v>0</v>
      </c>
      <c r="E40" s="336">
        <f>E5*Inputs!$C$44</f>
        <v>0</v>
      </c>
      <c r="F40" s="336">
        <f>F5*Inputs!$C$44</f>
        <v>0</v>
      </c>
      <c r="G40" s="336">
        <f>G5*Inputs!$C$44</f>
        <v>0</v>
      </c>
      <c r="H40" s="14">
        <f>H5*Inputs!$C$44</f>
        <v>0</v>
      </c>
      <c r="I40" s="14">
        <f>I5*Inputs!$C$44</f>
        <v>0</v>
      </c>
      <c r="J40" s="14">
        <f>J5*Inputs!$C$44</f>
        <v>0</v>
      </c>
      <c r="K40" s="14">
        <f>K5*Inputs!$C$44</f>
        <v>0</v>
      </c>
      <c r="L40" s="14">
        <f>L5*Inputs!$C$44</f>
        <v>0</v>
      </c>
      <c r="M40" s="14">
        <f>M5*Inputs!$C$44</f>
        <v>0</v>
      </c>
      <c r="N40" s="191">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8">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6">
        <f>C6*Inputs!$C$47</f>
        <v>0</v>
      </c>
      <c r="D41" s="336">
        <f>D6*Inputs!$C$47</f>
        <v>0</v>
      </c>
      <c r="E41" s="336" t="s">
        <v>376</v>
      </c>
      <c r="F41" s="336">
        <f>F6*Inputs!$C$47</f>
        <v>0</v>
      </c>
      <c r="G41" s="336">
        <f>G6*Inputs!$C$47</f>
        <v>0</v>
      </c>
      <c r="H41" s="14">
        <f>H6*Inputs!$C$47</f>
        <v>0</v>
      </c>
      <c r="I41" s="14">
        <f>I6*Inputs!$C$47</f>
        <v>0</v>
      </c>
      <c r="J41" s="14">
        <f>J6*Inputs!$C$47</f>
        <v>0</v>
      </c>
      <c r="K41" s="14">
        <f>K6*Inputs!$C$47</f>
        <v>0</v>
      </c>
      <c r="L41" s="14">
        <f>L6*Inputs!$C$47</f>
        <v>0</v>
      </c>
      <c r="M41" s="14">
        <f>M6*Inputs!$C$47</f>
        <v>0</v>
      </c>
      <c r="N41" s="191">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8">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6">
        <f>C7*Inputs!$C$48</f>
        <v>349.79849999999993</v>
      </c>
      <c r="D42" s="336">
        <f>D7*Inputs!$C$48</f>
        <v>356.39849999999996</v>
      </c>
      <c r="E42" s="336">
        <f>E7*Inputs!$C$48</f>
        <v>287.89596</v>
      </c>
      <c r="F42" s="336">
        <f>F7*Inputs!$C$48</f>
        <v>274.92096000000004</v>
      </c>
      <c r="G42" s="336">
        <f>G7*Inputs!$C$48</f>
        <v>412.56281999999993</v>
      </c>
      <c r="H42" s="14">
        <f>H7*Inputs!$C$48</f>
        <v>421.57025999999996</v>
      </c>
      <c r="I42" s="14">
        <f>I7*Inputs!$C$48</f>
        <v>430.47215999999997</v>
      </c>
      <c r="J42" s="14">
        <f>J7*Inputs!$C$48</f>
        <v>439.40273999999999</v>
      </c>
      <c r="K42" s="14">
        <f>K7*Inputs!$C$48</f>
        <v>447.27186</v>
      </c>
      <c r="L42" s="14">
        <f>L7*Inputs!$C$48</f>
        <v>447.27107999999993</v>
      </c>
      <c r="M42" s="14">
        <f>M7*Inputs!$C$48</f>
        <v>447.27107999999993</v>
      </c>
      <c r="N42" s="191">
        <f>N7*Inputs!$C$48</f>
        <v>447.27107999999993</v>
      </c>
      <c r="O42" s="14">
        <f>O7*Inputs!$C$48</f>
        <v>447.27107999999993</v>
      </c>
      <c r="P42" s="14">
        <f>P7*Inputs!$C$48</f>
        <v>447.27107999999993</v>
      </c>
      <c r="Q42" s="14">
        <f>Q7*Inputs!$C$48</f>
        <v>447.27107999999993</v>
      </c>
      <c r="R42" s="14">
        <f>R7*Inputs!$C$48</f>
        <v>447.27107999999993</v>
      </c>
      <c r="S42" s="14">
        <f>S7*Inputs!$C$48</f>
        <v>447.27107999999993</v>
      </c>
      <c r="T42" s="14">
        <f>T7*Inputs!$C$48</f>
        <v>447.27107999999993</v>
      </c>
      <c r="U42" s="14">
        <f>U7*Inputs!$C$48</f>
        <v>447.27107999999993</v>
      </c>
      <c r="V42" s="14">
        <f>V7*Inputs!$C$48</f>
        <v>447.27107999999993</v>
      </c>
      <c r="W42" s="14">
        <f>W7*Inputs!$C$48</f>
        <v>447.27107999999993</v>
      </c>
      <c r="X42" s="188">
        <f>X7*Inputs!$C$48</f>
        <v>447.27107999999993</v>
      </c>
      <c r="Y42" s="14">
        <f>Y7*Inputs!$C$48</f>
        <v>447.27107999999993</v>
      </c>
      <c r="Z42" s="14">
        <f>Z7*Inputs!$C$48</f>
        <v>451.1628</v>
      </c>
      <c r="AA42" s="14">
        <f>AA7*Inputs!$C$48</f>
        <v>451.1628</v>
      </c>
      <c r="AB42" s="14">
        <f>AB7*Inputs!$C$48</f>
        <v>451.1628</v>
      </c>
      <c r="AC42" s="14">
        <f>AC7*Inputs!$C$48</f>
        <v>451.1628</v>
      </c>
      <c r="AD42" s="14">
        <f>AD7*Inputs!$C$48</f>
        <v>451.1628</v>
      </c>
      <c r="AE42" s="14">
        <f>AE7*Inputs!$C$48</f>
        <v>451.1628</v>
      </c>
      <c r="AF42" s="14">
        <f>AF7*Inputs!$C$48</f>
        <v>451.1628</v>
      </c>
      <c r="AG42" s="14">
        <f>AG7*Inputs!$C$48</f>
        <v>451.1628</v>
      </c>
      <c r="AH42" s="14">
        <f>AH7*Inputs!$C$48</f>
        <v>451.1628</v>
      </c>
    </row>
    <row r="43" spans="1:36" ht="15">
      <c r="A43" s="8" t="s">
        <v>59</v>
      </c>
      <c r="B43" s="34">
        <v>0</v>
      </c>
      <c r="C43" s="336">
        <f>C8*Inputs!$C$53</f>
        <v>7301.0000000000009</v>
      </c>
      <c r="D43" s="336">
        <f>D8*Inputs!$C$53</f>
        <v>7278.3200000000006</v>
      </c>
      <c r="E43" s="336">
        <f>E8*Inputs!$C$53</f>
        <v>7228.8223087973529</v>
      </c>
      <c r="F43" s="336">
        <f>F8*Inputs!$C$53</f>
        <v>7245.6523772883174</v>
      </c>
      <c r="G43" s="336">
        <f>G8*Inputs!$C$53</f>
        <v>7143.5582694409368</v>
      </c>
      <c r="H43" s="14">
        <f>H8*Inputs!$C$53</f>
        <v>7155.875647807934</v>
      </c>
      <c r="I43" s="14">
        <f>I8*Inputs!$C$53</f>
        <v>7348.0449899298883</v>
      </c>
      <c r="J43" s="14">
        <f>J8*Inputs!$C$53</f>
        <v>7407.7277213231819</v>
      </c>
      <c r="K43" s="14">
        <f>K8*Inputs!$C$53</f>
        <v>7752.0043037664254</v>
      </c>
      <c r="L43" s="14">
        <f>L8*Inputs!$C$53</f>
        <v>8094.3863255557881</v>
      </c>
      <c r="M43" s="14">
        <f>M8*Inputs!$C$53</f>
        <v>8391.9507050923312</v>
      </c>
      <c r="N43" s="191">
        <f>N8*Inputs!$C$53</f>
        <v>8460.423196625301</v>
      </c>
      <c r="O43" s="14">
        <f>O8*Inputs!$C$53</f>
        <v>8460.4241687557114</v>
      </c>
      <c r="P43" s="14">
        <f>P8*Inputs!$C$53</f>
        <v>8460.423196625301</v>
      </c>
      <c r="Q43" s="14">
        <f>Q8*Inputs!$C$53</f>
        <v>8460.4241687557114</v>
      </c>
      <c r="R43" s="14">
        <f>R8*Inputs!$C$53</f>
        <v>8460.4241687557114</v>
      </c>
      <c r="S43" s="14">
        <f>S8*Inputs!$C$53</f>
        <v>8460.423196625301</v>
      </c>
      <c r="T43" s="14">
        <f>T8*Inputs!$C$53</f>
        <v>8460.4529073609719</v>
      </c>
      <c r="U43" s="14">
        <f>U8*Inputs!$C$53</f>
        <v>8460.423196625301</v>
      </c>
      <c r="V43" s="14">
        <f>V8*Inputs!$C$53</f>
        <v>8460.423196625301</v>
      </c>
      <c r="W43" s="14">
        <f>W8*Inputs!$C$53</f>
        <v>8460.423196625301</v>
      </c>
      <c r="X43" s="188">
        <f>X8*Inputs!$C$53</f>
        <v>8460.4241687557114</v>
      </c>
      <c r="Y43" s="14">
        <f>Y8*Inputs!$C$53</f>
        <v>8460.423196625301</v>
      </c>
      <c r="Z43" s="14">
        <f>Z8*Inputs!$C$53</f>
        <v>8460.4241687557114</v>
      </c>
      <c r="AA43" s="14">
        <f>AA8*Inputs!$C$53</f>
        <v>8460.4241687557114</v>
      </c>
      <c r="AB43" s="14">
        <f>AB8*Inputs!$C$53</f>
        <v>8460.4241687557114</v>
      </c>
      <c r="AC43" s="14">
        <f>AC8*Inputs!$C$53</f>
        <v>8460.4241687557114</v>
      </c>
      <c r="AD43" s="14">
        <f>AD8*Inputs!$C$53</f>
        <v>8503.8076148622058</v>
      </c>
      <c r="AE43" s="14">
        <f>AE8*Inputs!$C$53</f>
        <v>8514.495155837747</v>
      </c>
      <c r="AF43" s="14">
        <f>AF8*Inputs!$C$53</f>
        <v>8514.494244465488</v>
      </c>
      <c r="AG43" s="14">
        <f>AG8*Inputs!$C$53</f>
        <v>8561.8642151112344</v>
      </c>
      <c r="AH43" s="14">
        <f>AH8*Inputs!$C$53</f>
        <v>8571.8666471799352</v>
      </c>
    </row>
    <row r="44" spans="1:36" ht="15">
      <c r="A44" s="8" t="s">
        <v>121</v>
      </c>
      <c r="B44" s="34">
        <v>1</v>
      </c>
      <c r="C44" s="336">
        <f>C10*Inputs!$C$46</f>
        <v>338.31</v>
      </c>
      <c r="D44" s="336">
        <f>D10*Inputs!$C$46</f>
        <v>365.82</v>
      </c>
      <c r="E44" s="336">
        <f>E10*Inputs!$C$46</f>
        <v>365.92452739017756</v>
      </c>
      <c r="F44" s="336">
        <f>F10*Inputs!$C$46</f>
        <v>385.67891546503449</v>
      </c>
      <c r="G44" s="336">
        <f>G10*Inputs!$C$46</f>
        <v>435.37195524472509</v>
      </c>
      <c r="H44" s="14">
        <f>H10*Inputs!$C$46</f>
        <v>441.47047561887672</v>
      </c>
      <c r="I44" s="14">
        <f>I10*Inputs!$C$46</f>
        <v>450.89614641774386</v>
      </c>
      <c r="J44" s="14">
        <f>J10*Inputs!$C$46</f>
        <v>715.12727811709533</v>
      </c>
      <c r="K44" s="14">
        <f>K10*Inputs!$C$46</f>
        <v>639.64729142168767</v>
      </c>
      <c r="L44" s="14">
        <f>L10*Inputs!$C$46</f>
        <v>660.17540757808933</v>
      </c>
      <c r="M44" s="14">
        <f>M10*Inputs!$C$46</f>
        <v>738.78254820292841</v>
      </c>
      <c r="N44" s="191">
        <f>N10*Inputs!$C$46</f>
        <v>944.74669674239271</v>
      </c>
      <c r="O44" s="14">
        <f>O10*Inputs!$C$46</f>
        <v>1261.968381713903</v>
      </c>
      <c r="P44" s="14">
        <f>P10*Inputs!$C$46</f>
        <v>1286.5651347733124</v>
      </c>
      <c r="Q44" s="14">
        <f>Q10*Inputs!$C$46</f>
        <v>1335.8673331092093</v>
      </c>
      <c r="R44" s="14">
        <f>R10*Inputs!$C$46</f>
        <v>1344.1627174848866</v>
      </c>
      <c r="S44" s="14">
        <f>S10*Inputs!$C$46</f>
        <v>1356.6713332026118</v>
      </c>
      <c r="T44" s="14">
        <f>T10*Inputs!$C$46</f>
        <v>1358.07032311841</v>
      </c>
      <c r="U44" s="14">
        <f>U10*Inputs!$C$46</f>
        <v>1346.5842871579875</v>
      </c>
      <c r="V44" s="14">
        <f>V10*Inputs!$C$46</f>
        <v>1352.8485209252751</v>
      </c>
      <c r="W44" s="14">
        <f>W10*Inputs!$C$46</f>
        <v>1357.7456543974488</v>
      </c>
      <c r="X44" s="188">
        <f>X10*Inputs!$C$46</f>
        <v>1346.246595082001</v>
      </c>
      <c r="Y44" s="14">
        <f>Y10*Inputs!$C$46</f>
        <v>1353.9620529782162</v>
      </c>
      <c r="Z44" s="14">
        <f>Z10*Inputs!$C$46</f>
        <v>1349.9613487108822</v>
      </c>
      <c r="AA44" s="14">
        <f>AA10*Inputs!$C$46</f>
        <v>1352.505478714251</v>
      </c>
      <c r="AB44" s="14">
        <f>AB10*Inputs!$C$46</f>
        <v>1361.9256585850533</v>
      </c>
      <c r="AC44" s="14">
        <f>AC10*Inputs!$C$46</f>
        <v>1368.110273895401</v>
      </c>
      <c r="AD44" s="14">
        <f>AD10*Inputs!$C$46</f>
        <v>1375.9081661091022</v>
      </c>
      <c r="AE44" s="14">
        <f>AE10*Inputs!$C$46</f>
        <v>1382.504530627798</v>
      </c>
      <c r="AF44" s="14">
        <f>AF10*Inputs!$C$46</f>
        <v>1380.4011531964018</v>
      </c>
      <c r="AG44" s="14">
        <f>AG10*Inputs!$C$46</f>
        <v>1387.6717755228526</v>
      </c>
      <c r="AH44" s="14">
        <f>AH10*Inputs!$C$46</f>
        <v>1393.983878919423</v>
      </c>
    </row>
    <row r="45" spans="1:36" ht="15">
      <c r="A45" s="8" t="s">
        <v>50</v>
      </c>
      <c r="B45" s="34">
        <v>1</v>
      </c>
      <c r="C45" s="336">
        <f>C11*Inputs!$C$49</f>
        <v>0</v>
      </c>
      <c r="D45" s="336">
        <f>D11*Inputs!$C$49</f>
        <v>0</v>
      </c>
      <c r="E45" s="336">
        <f>E11*Inputs!$C$49</f>
        <v>2.5000000000000001E-5</v>
      </c>
      <c r="F45" s="336">
        <f>F11*Inputs!$C$49</f>
        <v>2.5000000000000001E-5</v>
      </c>
      <c r="G45" s="336">
        <f>G11*Inputs!$C$49</f>
        <v>2.5000000000000001E-5</v>
      </c>
      <c r="H45" s="14">
        <f>H11*Inputs!$C$49</f>
        <v>2.5000000000000001E-5</v>
      </c>
      <c r="I45" s="14">
        <f>I11*Inputs!$C$49</f>
        <v>2.5000000000000001E-5</v>
      </c>
      <c r="J45" s="14">
        <f>J11*Inputs!$C$49</f>
        <v>2.5000000000000001E-5</v>
      </c>
      <c r="K45" s="14">
        <f>K11*Inputs!$C$49</f>
        <v>2.5000000000000001E-5</v>
      </c>
      <c r="L45" s="14">
        <f>L11*Inputs!$C$49</f>
        <v>2.5000000000000001E-5</v>
      </c>
      <c r="M45" s="14">
        <f>M11*Inputs!$C$49</f>
        <v>2.5000000000000001E-5</v>
      </c>
      <c r="N45" s="191">
        <f>N11*Inputs!$C$49</f>
        <v>2.5000000000000001E-5</v>
      </c>
      <c r="O45" s="14">
        <f>O11*Inputs!$C$49</f>
        <v>2.5000000000000001E-5</v>
      </c>
      <c r="P45" s="14">
        <f>P11*Inputs!$C$49</f>
        <v>2.5000000000000001E-5</v>
      </c>
      <c r="Q45" s="14">
        <f>Q11*Inputs!$C$49</f>
        <v>2.5000000000000001E-5</v>
      </c>
      <c r="R45" s="14">
        <f>R11*Inputs!$C$49</f>
        <v>2.5000000000000001E-5</v>
      </c>
      <c r="S45" s="14">
        <f>S11*Inputs!$C$49</f>
        <v>2.5000000000000001E-5</v>
      </c>
      <c r="T45" s="14">
        <f>T11*Inputs!$C$49</f>
        <v>2.5000000000000001E-5</v>
      </c>
      <c r="U45" s="14">
        <f>U11*Inputs!$C$49</f>
        <v>2.5000000000000001E-5</v>
      </c>
      <c r="V45" s="14">
        <f>V11*Inputs!$C$49</f>
        <v>2.5000000000000001E-5</v>
      </c>
      <c r="W45" s="14">
        <f>W11*Inputs!$C$49</f>
        <v>2.5000000000000001E-5</v>
      </c>
      <c r="X45" s="188">
        <f>X11*Inputs!$C$49</f>
        <v>2.5000000000000001E-5</v>
      </c>
      <c r="Y45" s="14">
        <f>Y11*Inputs!$C$49</f>
        <v>2.5000000000000001E-5</v>
      </c>
      <c r="Z45" s="14">
        <f>Z11*Inputs!$C$49</f>
        <v>2.5000000000000001E-5</v>
      </c>
      <c r="AA45" s="14">
        <f>AA11*Inputs!$C$49</f>
        <v>2.5000000000000001E-5</v>
      </c>
      <c r="AB45" s="14">
        <f>AB11*Inputs!$C$49</f>
        <v>2.5000000000000001E-5</v>
      </c>
      <c r="AC45" s="14">
        <f>AC11*Inputs!$C$49</f>
        <v>2.5000000000000001E-5</v>
      </c>
      <c r="AD45" s="14">
        <f>AD11*Inputs!$C$49</f>
        <v>2.5000000000000001E-5</v>
      </c>
      <c r="AE45" s="14">
        <f>AE11*Inputs!$C$49</f>
        <v>2.5000000000000001E-5</v>
      </c>
      <c r="AF45" s="14">
        <f>AF11*Inputs!$C$49</f>
        <v>2.5000000000000001E-5</v>
      </c>
      <c r="AG45" s="14">
        <f>AG11*Inputs!$C$49</f>
        <v>2.5000000000000001E-5</v>
      </c>
      <c r="AH45" s="14">
        <f>AH11*Inputs!$C$49</f>
        <v>2.5000000000000001E-5</v>
      </c>
    </row>
    <row r="46" spans="1:36" ht="15">
      <c r="A46" s="8" t="s">
        <v>51</v>
      </c>
      <c r="B46" s="34">
        <v>1</v>
      </c>
      <c r="C46" s="336">
        <f>C12*Inputs!$C$52</f>
        <v>20.55</v>
      </c>
      <c r="D46" s="336">
        <f>D12*Inputs!$C$52</f>
        <v>19.649999999999999</v>
      </c>
      <c r="E46" s="336">
        <f>E12*Inputs!$C$52</f>
        <v>23.926130127621402</v>
      </c>
      <c r="F46" s="336">
        <f>F12*Inputs!$C$52</f>
        <v>28.274303769066272</v>
      </c>
      <c r="G46" s="336">
        <f>G12*Inputs!$C$52</f>
        <v>20.698013855726213</v>
      </c>
      <c r="H46" s="14">
        <f>H12*Inputs!$C$52</f>
        <v>21.981848725997935</v>
      </c>
      <c r="I46" s="14">
        <f>I12*Inputs!$C$52</f>
        <v>21.993618839299142</v>
      </c>
      <c r="J46" s="14">
        <f>J12*Inputs!$C$52</f>
        <v>22.20289628828036</v>
      </c>
      <c r="K46" s="14">
        <f>K12*Inputs!$C$52</f>
        <v>22.283204533695717</v>
      </c>
      <c r="L46" s="14">
        <f>L12*Inputs!$C$52</f>
        <v>22.292278491501396</v>
      </c>
      <c r="M46" s="14">
        <f>M12*Inputs!$C$52</f>
        <v>22.277533310067174</v>
      </c>
      <c r="N46" s="191">
        <f>N12*Inputs!$C$52</f>
        <v>22.230564421917325</v>
      </c>
      <c r="O46" s="14">
        <f>O12*Inputs!$C$52</f>
        <v>22.202524404763736</v>
      </c>
      <c r="P46" s="14">
        <f>P12*Inputs!$C$52</f>
        <v>22.178723859699677</v>
      </c>
      <c r="Q46" s="14">
        <f>Q12*Inputs!$C$52</f>
        <v>22.156410848702127</v>
      </c>
      <c r="R46" s="14">
        <f>R12*Inputs!$C$52</f>
        <v>22.13422799693539</v>
      </c>
      <c r="S46" s="14">
        <f>S12*Inputs!$C$52</f>
        <v>22.108103179892421</v>
      </c>
      <c r="T46" s="14">
        <f>T12*Inputs!$C$52</f>
        <v>22.078966106364785</v>
      </c>
      <c r="U46" s="14">
        <f>U12*Inputs!$C$52</f>
        <v>22.049419960968859</v>
      </c>
      <c r="V46" s="14">
        <f>V12*Inputs!$C$52</f>
        <v>22.004161736995485</v>
      </c>
      <c r="W46" s="14">
        <f>W12*Inputs!$C$52</f>
        <v>21.968795614564367</v>
      </c>
      <c r="X46" s="188">
        <f>X12*Inputs!$C$52</f>
        <v>21.92017184476553</v>
      </c>
      <c r="Y46" s="14">
        <f>Y12*Inputs!$C$52</f>
        <v>21.872440595406598</v>
      </c>
      <c r="Z46" s="14">
        <f>Z12*Inputs!$C$52</f>
        <v>21.824300274179375</v>
      </c>
      <c r="AA46" s="14">
        <f>AA12*Inputs!$C$52</f>
        <v>21.777982182183624</v>
      </c>
      <c r="AB46" s="14">
        <f>AB12*Inputs!$C$52</f>
        <v>21.737446878871399</v>
      </c>
      <c r="AC46" s="14">
        <f>AC12*Inputs!$C$52</f>
        <v>21.693880724898676</v>
      </c>
      <c r="AD46" s="14">
        <f>AD12*Inputs!$C$52</f>
        <v>21.65518624499375</v>
      </c>
      <c r="AE46" s="14">
        <f>AE12*Inputs!$C$52</f>
        <v>21.62035935366174</v>
      </c>
      <c r="AF46" s="14">
        <f>AF12*Inputs!$C$52</f>
        <v>21.58895379068268</v>
      </c>
      <c r="AG46" s="14">
        <f>AG12*Inputs!$C$52</f>
        <v>21.555967722757966</v>
      </c>
      <c r="AH46" s="14">
        <f>AH12*Inputs!$C$52</f>
        <v>21.523353538349877</v>
      </c>
    </row>
    <row r="47" spans="1:36" ht="15">
      <c r="A47" s="8" t="s">
        <v>347</v>
      </c>
      <c r="B47" s="34">
        <v>1</v>
      </c>
      <c r="C47" s="336">
        <f>C13*Inputs!$C$54</f>
        <v>0</v>
      </c>
      <c r="D47" s="336">
        <f>D13*Inputs!$C$54</f>
        <v>0</v>
      </c>
      <c r="E47" s="336">
        <f>E13*Inputs!$C$54</f>
        <v>0.15800000000000003</v>
      </c>
      <c r="F47" s="336">
        <f>F13*Inputs!$C$54</f>
        <v>0.15800000000000003</v>
      </c>
      <c r="G47" s="336">
        <f>G13*Inputs!$C$54</f>
        <v>0.15800000000000003</v>
      </c>
      <c r="H47" s="14">
        <f>H13*Inputs!$C$54</f>
        <v>0.15800000000000003</v>
      </c>
      <c r="I47" s="14">
        <f>I13*Inputs!$C$54</f>
        <v>0.15800000000000003</v>
      </c>
      <c r="J47" s="14">
        <f>J13*Inputs!$C$54</f>
        <v>0.15800000000000003</v>
      </c>
      <c r="K47" s="14">
        <f>K13*Inputs!$C$54</f>
        <v>0.15800000000000003</v>
      </c>
      <c r="L47" s="14">
        <f>L13*Inputs!$C$54</f>
        <v>0.15800000000000003</v>
      </c>
      <c r="M47" s="14">
        <f>M13*Inputs!$C$54</f>
        <v>0.15800000000000003</v>
      </c>
      <c r="N47" s="191">
        <f>N13*Inputs!$C$54</f>
        <v>0.15800000000000003</v>
      </c>
      <c r="O47" s="14">
        <f>O13*Inputs!$C$54</f>
        <v>0.15800000000000003</v>
      </c>
      <c r="P47" s="14">
        <f>P13*Inputs!$C$54</f>
        <v>0.15800000000000003</v>
      </c>
      <c r="Q47" s="14">
        <f>Q13*Inputs!$C$54</f>
        <v>0.15800000000000003</v>
      </c>
      <c r="R47" s="14">
        <f>R13*Inputs!$C$54</f>
        <v>0.15800000000000003</v>
      </c>
      <c r="S47" s="14">
        <f>S13*Inputs!$C$54</f>
        <v>0.15800000000000003</v>
      </c>
      <c r="T47" s="14">
        <f>T13*Inputs!$C$54</f>
        <v>0.15800000000000003</v>
      </c>
      <c r="U47" s="14">
        <f>U13*Inputs!$C$54</f>
        <v>0.15800000000000003</v>
      </c>
      <c r="V47" s="14">
        <f>V13*Inputs!$C$54</f>
        <v>0.15800000000000003</v>
      </c>
      <c r="W47" s="14">
        <f>W13*Inputs!$C$54</f>
        <v>0.15800000000000003</v>
      </c>
      <c r="X47" s="188">
        <f>X13*Inputs!$C$54</f>
        <v>0.15800000000000003</v>
      </c>
      <c r="Y47" s="14">
        <f>Y13*Inputs!$C$54</f>
        <v>0.15800000000000003</v>
      </c>
      <c r="Z47" s="14">
        <f>Z13*Inputs!$C$54</f>
        <v>0.15800000000000003</v>
      </c>
      <c r="AA47" s="14">
        <f>AA13*Inputs!$C$54</f>
        <v>0.15800000000000003</v>
      </c>
      <c r="AB47" s="14">
        <f>AB13*Inputs!$C$54</f>
        <v>0.15800000000000003</v>
      </c>
      <c r="AC47" s="14">
        <f>AC13*Inputs!$C$54</f>
        <v>0.15800000000000003</v>
      </c>
      <c r="AD47" s="14">
        <f>AD13*Inputs!$C$54</f>
        <v>0.15800000000000003</v>
      </c>
      <c r="AE47" s="14">
        <f>AE13*Inputs!$C$54</f>
        <v>0.15800000000000003</v>
      </c>
      <c r="AF47" s="14">
        <f>AF13*Inputs!$C$54</f>
        <v>0.15800000000000003</v>
      </c>
      <c r="AG47" s="14">
        <f>AG13*Inputs!$C$54</f>
        <v>0.15800000000000003</v>
      </c>
      <c r="AH47" s="14">
        <f>AH13*Inputs!$C$54</f>
        <v>0</v>
      </c>
    </row>
    <row r="48" spans="1:36" ht="15">
      <c r="A48" s="8" t="s">
        <v>348</v>
      </c>
      <c r="B48" s="34">
        <v>1</v>
      </c>
      <c r="C48" s="336">
        <f>C14*Inputs!$C$55</f>
        <v>0</v>
      </c>
      <c r="D48" s="336">
        <f>D14*Inputs!$C$55</f>
        <v>0</v>
      </c>
      <c r="E48" s="336">
        <f>E14*Inputs!$C$55</f>
        <v>2.3000000000000003E-2</v>
      </c>
      <c r="F48" s="336">
        <f>F14*Inputs!$C$55</f>
        <v>2.3000000000000003E-2</v>
      </c>
      <c r="G48" s="336">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1">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8">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6">
        <f>C15*Inputs!$C$51</f>
        <v>2.7000000000000001E-3</v>
      </c>
      <c r="D49" s="336">
        <f>D15*Inputs!$C$51</f>
        <v>2.7000000000000001E-3</v>
      </c>
      <c r="E49" s="336">
        <f>E15*Inputs!$C$51</f>
        <v>2.7000000000000001E-3</v>
      </c>
      <c r="F49" s="336">
        <f>F15*Inputs!$C$51</f>
        <v>2.7000000000000001E-3</v>
      </c>
      <c r="G49" s="336">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1">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8">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6">
        <f>C16*Inputs!$C$57</f>
        <v>0</v>
      </c>
      <c r="D50" s="336">
        <f>D16*Inputs!$C$57</f>
        <v>0</v>
      </c>
      <c r="E50" s="336">
        <f>E16*Inputs!$C$57</f>
        <v>1.02E-9</v>
      </c>
      <c r="F50" s="336">
        <f>F16*Inputs!$C$57</f>
        <v>1.02E-9</v>
      </c>
      <c r="G50" s="336">
        <f>G16*Inputs!$C$57</f>
        <v>1.02E-9</v>
      </c>
      <c r="H50" s="14">
        <f>H16*Inputs!$C$57</f>
        <v>1.02E-9</v>
      </c>
      <c r="I50" s="14">
        <f>I16*Inputs!$C$57</f>
        <v>4.7523261999999998E-4</v>
      </c>
      <c r="J50" s="14">
        <f>J16*Inputs!$C$57</f>
        <v>6.4790246999999997E-4</v>
      </c>
      <c r="K50" s="14">
        <f>K16*Inputs!$C$57</f>
        <v>6.4790246999999997E-4</v>
      </c>
      <c r="L50" s="14">
        <f>L16*Inputs!$C$57</f>
        <v>6.4799444000000002E-4</v>
      </c>
      <c r="M50" s="14">
        <f>M16*Inputs!$C$57</f>
        <v>6.4796400999999997E-4</v>
      </c>
      <c r="N50" s="191">
        <f>N16*Inputs!$C$57</f>
        <v>6.4797794999999999E-4</v>
      </c>
      <c r="O50" s="14">
        <f>O16*Inputs!$C$57</f>
        <v>6.4795976000000003E-4</v>
      </c>
      <c r="P50" s="14">
        <f>P16*Inputs!$C$57</f>
        <v>6.4795976000000003E-4</v>
      </c>
      <c r="Q50" s="14">
        <f>Q16*Inputs!$C$57</f>
        <v>6.4765970999999996E-4</v>
      </c>
      <c r="R50" s="14">
        <f>R16*Inputs!$C$57</f>
        <v>6.4768555000000003E-4</v>
      </c>
      <c r="S50" s="14">
        <f>S16*Inputs!$C$57</f>
        <v>6.5195968999999998E-4</v>
      </c>
      <c r="T50" s="14">
        <f>T16*Inputs!$C$57</f>
        <v>6.6118831000000012E-4</v>
      </c>
      <c r="U50" s="14">
        <f>U16*Inputs!$C$57</f>
        <v>6.6513656000000002E-4</v>
      </c>
      <c r="V50" s="14">
        <f>V16*Inputs!$C$57</f>
        <v>6.7000654999999998E-4</v>
      </c>
      <c r="W50" s="14">
        <f>W16*Inputs!$C$57</f>
        <v>6.8116943000000004E-4</v>
      </c>
      <c r="X50" s="188">
        <f>X16*Inputs!$C$57</f>
        <v>6.9614575000000005E-4</v>
      </c>
      <c r="Y50" s="14">
        <f>Y16*Inputs!$C$57</f>
        <v>7.1734797999999979E-4</v>
      </c>
      <c r="Z50" s="14">
        <f>Z16*Inputs!$C$57</f>
        <v>7.2730148E-4</v>
      </c>
      <c r="AA50" s="14">
        <f>AA16*Inputs!$C$57</f>
        <v>7.3238329000000011E-4</v>
      </c>
      <c r="AB50" s="14">
        <f>AB16*Inputs!$C$57</f>
        <v>7.4885391000000011E-4</v>
      </c>
      <c r="AC50" s="14">
        <f>AC16*Inputs!$C$57</f>
        <v>7.5747563000000005E-4</v>
      </c>
      <c r="AD50" s="14">
        <f>AD16*Inputs!$C$57</f>
        <v>7.5766093000000003E-4</v>
      </c>
      <c r="AE50" s="14">
        <f>AE16*Inputs!$C$57</f>
        <v>7.7850888000000008E-4</v>
      </c>
      <c r="AF50" s="14">
        <f>AF16*Inputs!$C$57</f>
        <v>7.9287048000000002E-4</v>
      </c>
      <c r="AG50" s="14">
        <f>AG16*Inputs!$C$57</f>
        <v>8.2244912000000012E-4</v>
      </c>
      <c r="AH50" s="14">
        <f>AH16*Inputs!$C$57</f>
        <v>8.6288769999999992E-4</v>
      </c>
    </row>
    <row r="51" spans="1:34" s="20" customFormat="1" ht="15">
      <c r="A51" s="8" t="s">
        <v>128</v>
      </c>
      <c r="B51" s="38"/>
      <c r="C51" s="339">
        <f t="shared" ref="C51:AH51" si="21">SUMPRODUCT($B42:$B50,C42:C50)</f>
        <v>358.86270000000002</v>
      </c>
      <c r="D51" s="339">
        <f t="shared" si="21"/>
        <v>385.47269999999997</v>
      </c>
      <c r="E51" s="339">
        <f t="shared" si="21"/>
        <v>390.03438251881897</v>
      </c>
      <c r="F51" s="339">
        <f t="shared" si="21"/>
        <v>414.13694423512078</v>
      </c>
      <c r="G51" s="339">
        <f t="shared" si="21"/>
        <v>456.25369410147135</v>
      </c>
      <c r="H51" s="19">
        <f t="shared" si="21"/>
        <v>463.63604934589466</v>
      </c>
      <c r="I51" s="19">
        <f t="shared" si="21"/>
        <v>473.07396548966301</v>
      </c>
      <c r="J51" s="19">
        <f t="shared" si="21"/>
        <v>737.51454730784576</v>
      </c>
      <c r="K51" s="19">
        <f t="shared" si="21"/>
        <v>662.11486885785348</v>
      </c>
      <c r="L51" s="19">
        <f t="shared" si="21"/>
        <v>682.65205906403082</v>
      </c>
      <c r="M51" s="19">
        <f t="shared" si="21"/>
        <v>761.24445447700566</v>
      </c>
      <c r="N51" s="191">
        <f t="shared" si="21"/>
        <v>967.16163414226014</v>
      </c>
      <c r="O51" s="19">
        <f t="shared" si="21"/>
        <v>1284.3552790784267</v>
      </c>
      <c r="P51" s="19">
        <f t="shared" si="21"/>
        <v>1308.9282315927719</v>
      </c>
      <c r="Q51" s="19">
        <f t="shared" si="21"/>
        <v>1358.2081166176213</v>
      </c>
      <c r="R51" s="19">
        <f t="shared" si="21"/>
        <v>1366.4813181673717</v>
      </c>
      <c r="S51" s="19">
        <f t="shared" si="21"/>
        <v>1378.963813342194</v>
      </c>
      <c r="T51" s="19">
        <f t="shared" si="21"/>
        <v>1380.3336754130846</v>
      </c>
      <c r="U51" s="19">
        <f t="shared" si="21"/>
        <v>1368.8180972555162</v>
      </c>
      <c r="V51" s="19">
        <f t="shared" si="21"/>
        <v>1375.0370776688205</v>
      </c>
      <c r="W51" s="19">
        <f t="shared" si="21"/>
        <v>1379.8988561814431</v>
      </c>
      <c r="X51" s="183">
        <f t="shared" si="21"/>
        <v>1368.3511880725164</v>
      </c>
      <c r="Y51" s="19">
        <f t="shared" si="21"/>
        <v>1376.0189359216026</v>
      </c>
      <c r="Z51" s="19">
        <f t="shared" si="21"/>
        <v>1371.9701012865416</v>
      </c>
      <c r="AA51" s="19">
        <f t="shared" si="21"/>
        <v>1374.4679182797245</v>
      </c>
      <c r="AB51" s="19">
        <f t="shared" si="21"/>
        <v>1383.8475793178345</v>
      </c>
      <c r="AC51" s="19">
        <f t="shared" si="21"/>
        <v>1389.9886370959296</v>
      </c>
      <c r="AD51" s="19">
        <f t="shared" si="21"/>
        <v>1397.7478350150259</v>
      </c>
      <c r="AE51" s="19">
        <f t="shared" si="21"/>
        <v>1404.3093934903397</v>
      </c>
      <c r="AF51" s="19">
        <f t="shared" si="21"/>
        <v>1402.1746248575641</v>
      </c>
      <c r="AG51" s="19">
        <f t="shared" si="21"/>
        <v>1409.4122906947305</v>
      </c>
      <c r="AH51" s="19">
        <f t="shared" si="21"/>
        <v>1415.5338203454728</v>
      </c>
    </row>
    <row r="52" spans="1:34" s="20" customFormat="1" ht="15">
      <c r="A52" s="27" t="s">
        <v>329</v>
      </c>
      <c r="B52" s="39"/>
      <c r="C52" s="339">
        <f>SUM(C40:C50)</f>
        <v>8009.6612000000014</v>
      </c>
      <c r="D52" s="339">
        <f t="shared" ref="D52:I52" si="22">SUM(D42:D50)</f>
        <v>8020.1912000000002</v>
      </c>
      <c r="E52" s="339">
        <f t="shared" si="22"/>
        <v>7906.7526513161729</v>
      </c>
      <c r="F52" s="339">
        <f t="shared" si="22"/>
        <v>7934.7102815234393</v>
      </c>
      <c r="G52" s="339">
        <f t="shared" si="22"/>
        <v>8012.3747835424092</v>
      </c>
      <c r="H52" s="19">
        <f t="shared" si="22"/>
        <v>8041.0819571538304</v>
      </c>
      <c r="I52" s="19">
        <f t="shared" si="22"/>
        <v>8251.5911154195492</v>
      </c>
      <c r="J52" s="19">
        <f t="shared" ref="J52:AH52" si="23">SUM(J42:J50)</f>
        <v>8584.6450086310251</v>
      </c>
      <c r="K52" s="19">
        <f t="shared" si="23"/>
        <v>8861.3910326242785</v>
      </c>
      <c r="L52" s="19">
        <f t="shared" si="23"/>
        <v>9224.3094646198169</v>
      </c>
      <c r="M52" s="19">
        <f t="shared" si="23"/>
        <v>9600.466239569334</v>
      </c>
      <c r="N52" s="191">
        <f t="shared" si="23"/>
        <v>9874.8559107675592</v>
      </c>
      <c r="O52" s="19">
        <f t="shared" si="23"/>
        <v>10192.050527834135</v>
      </c>
      <c r="P52" s="19">
        <f t="shared" si="23"/>
        <v>10216.62250821807</v>
      </c>
      <c r="Q52" s="19">
        <f t="shared" si="23"/>
        <v>10265.90336537333</v>
      </c>
      <c r="R52" s="19">
        <f t="shared" si="23"/>
        <v>10274.176566923083</v>
      </c>
      <c r="S52" s="19">
        <f t="shared" si="23"/>
        <v>10286.658089967494</v>
      </c>
      <c r="T52" s="19">
        <f t="shared" si="23"/>
        <v>10288.057662774054</v>
      </c>
      <c r="U52" s="19">
        <f t="shared" si="23"/>
        <v>10276.512373880816</v>
      </c>
      <c r="V52" s="19">
        <f t="shared" si="23"/>
        <v>10282.731354294119</v>
      </c>
      <c r="W52" s="19">
        <f t="shared" si="23"/>
        <v>10287.593132806742</v>
      </c>
      <c r="X52" s="183">
        <f t="shared" si="23"/>
        <v>10276.046436828225</v>
      </c>
      <c r="Y52" s="19">
        <f t="shared" si="23"/>
        <v>10283.713212546903</v>
      </c>
      <c r="Z52" s="19">
        <f t="shared" si="23"/>
        <v>10283.55707004225</v>
      </c>
      <c r="AA52" s="19">
        <f t="shared" si="23"/>
        <v>10286.054887035434</v>
      </c>
      <c r="AB52" s="19">
        <f t="shared" si="23"/>
        <v>10295.434548073543</v>
      </c>
      <c r="AC52" s="19">
        <f t="shared" si="23"/>
        <v>10301.575605851638</v>
      </c>
      <c r="AD52" s="19">
        <f t="shared" si="23"/>
        <v>10352.718249877229</v>
      </c>
      <c r="AE52" s="19">
        <f t="shared" si="23"/>
        <v>10369.967349328084</v>
      </c>
      <c r="AF52" s="19">
        <f t="shared" si="23"/>
        <v>10367.83166932305</v>
      </c>
      <c r="AG52" s="19">
        <f t="shared" si="23"/>
        <v>10422.439305805961</v>
      </c>
      <c r="AH52" s="19">
        <f t="shared" si="23"/>
        <v>10438.563267525407</v>
      </c>
    </row>
    <row r="53" spans="1:34" s="20" customFormat="1" ht="15">
      <c r="A53" s="27" t="s">
        <v>330</v>
      </c>
      <c r="B53" s="39"/>
      <c r="C53" s="339">
        <f>C20*Inputs!$C$60</f>
        <v>3792.58</v>
      </c>
      <c r="D53" s="339">
        <f>D20*Inputs!$C$60</f>
        <v>4143.8100000000004</v>
      </c>
      <c r="E53" s="339">
        <f>E20*Inputs!$C$60</f>
        <v>3474.3198396329599</v>
      </c>
      <c r="F53" s="339">
        <f>F20*Inputs!$C$60</f>
        <v>2826.2459696137971</v>
      </c>
      <c r="G53" s="339">
        <f>G20*Inputs!$C$60</f>
        <v>2897.5421266516805</v>
      </c>
      <c r="H53" s="19">
        <f>H20*Inputs!$C$60</f>
        <v>3296.9219867025354</v>
      </c>
      <c r="I53" s="19">
        <f>I20*Inputs!$C$60</f>
        <v>3048.2159905343456</v>
      </c>
      <c r="J53" s="19">
        <f>J20*Inputs!$C$60</f>
        <v>2830.5586450611731</v>
      </c>
      <c r="K53" s="19">
        <f>K20*Inputs!$C$60</f>
        <v>3085.7376546491746</v>
      </c>
      <c r="L53" s="19">
        <f>L20*Inputs!$C$60</f>
        <v>3358.6487923267982</v>
      </c>
      <c r="M53" s="19">
        <f>M20*Inputs!$C$60</f>
        <v>3397.3481587654774</v>
      </c>
      <c r="N53" s="191">
        <f>N20*Inputs!$C$60</f>
        <v>3320.2828284382372</v>
      </c>
      <c r="O53" s="19">
        <f>O20*Inputs!$C$60</f>
        <v>3359.5734752808075</v>
      </c>
      <c r="P53" s="19">
        <f>P20*Inputs!$C$60</f>
        <v>3406.8123109102298</v>
      </c>
      <c r="Q53" s="19">
        <f>Q20*Inputs!$C$60</f>
        <v>3426.0167050950768</v>
      </c>
      <c r="R53" s="19">
        <f>R20*Inputs!$C$60</f>
        <v>3470.0062623113204</v>
      </c>
      <c r="S53" s="19">
        <f>S20*Inputs!$C$60</f>
        <v>3503.4582624535674</v>
      </c>
      <c r="T53" s="19">
        <f>T20*Inputs!$C$60</f>
        <v>3503.1806015514444</v>
      </c>
      <c r="U53" s="19">
        <f>U20*Inputs!$C$60</f>
        <v>3517.088811858785</v>
      </c>
      <c r="V53" s="19">
        <f>V20*Inputs!$C$60</f>
        <v>3514.0195591855836</v>
      </c>
      <c r="W53" s="19">
        <f>W20*Inputs!$C$60</f>
        <v>3525.3637118705769</v>
      </c>
      <c r="X53" s="183">
        <f>X20*Inputs!$C$60</f>
        <v>3533.4812202771227</v>
      </c>
      <c r="Y53" s="19">
        <f>Y20*Inputs!$C$60</f>
        <v>3533.3076531205779</v>
      </c>
      <c r="Z53" s="19">
        <f>Z20*Inputs!$C$60</f>
        <v>3541.3927522390923</v>
      </c>
      <c r="AA53" s="19">
        <f>AA20*Inputs!$C$60</f>
        <v>3544.3514816760021</v>
      </c>
      <c r="AB53" s="19">
        <f>AB20*Inputs!$C$60</f>
        <v>3549.2823191988505</v>
      </c>
      <c r="AC53" s="19">
        <f>AC20*Inputs!$C$60</f>
        <v>3548.2690780107605</v>
      </c>
      <c r="AD53" s="19">
        <f>AD20*Inputs!$C$60</f>
        <v>3551.4970314615271</v>
      </c>
      <c r="AE53" s="19">
        <f>AE20*Inputs!$C$60</f>
        <v>3549.2139513111738</v>
      </c>
      <c r="AF53" s="19">
        <f>AF20*Inputs!$C$60</f>
        <v>3550.8555661188093</v>
      </c>
      <c r="AG53" s="19">
        <f>AG20*Inputs!$C$60</f>
        <v>3549.9925888200178</v>
      </c>
      <c r="AH53" s="19">
        <f>AH20*Inputs!$C$60</f>
        <v>3547.8218356544812</v>
      </c>
    </row>
    <row r="54" spans="1:34" s="20" customFormat="1" ht="15">
      <c r="A54" s="27" t="s">
        <v>222</v>
      </c>
      <c r="B54" s="39"/>
      <c r="C54" s="339">
        <f>C21*Inputs!$C$61</f>
        <v>1075.8</v>
      </c>
      <c r="D54" s="339">
        <f>D21*Inputs!$C$61</f>
        <v>1201.97</v>
      </c>
      <c r="E54" s="339">
        <f>E21*Inputs!$C$61</f>
        <v>1494.3664443379741</v>
      </c>
      <c r="F54" s="339">
        <f>F21*Inputs!$C$61</f>
        <v>2062.8283703518996</v>
      </c>
      <c r="G54" s="339">
        <f>G21*Inputs!$C$61</f>
        <v>1758.2694780713746</v>
      </c>
      <c r="H54" s="19">
        <f>H21*Inputs!$C$61</f>
        <v>1579.0026983100165</v>
      </c>
      <c r="I54" s="19">
        <f>I21*Inputs!$C$61</f>
        <v>1981.2736451308078</v>
      </c>
      <c r="J54" s="19">
        <f>J21*Inputs!$C$61</f>
        <v>2157.2076660681232</v>
      </c>
      <c r="K54" s="19">
        <f>K21*Inputs!$C$61</f>
        <v>2126.4372094293249</v>
      </c>
      <c r="L54" s="19">
        <f>L21*Inputs!$C$61</f>
        <v>1824.8013962373457</v>
      </c>
      <c r="M54" s="19">
        <f>M21*Inputs!$C$61</f>
        <v>1747.2808823493549</v>
      </c>
      <c r="N54" s="191">
        <f>N21*Inputs!$C$61</f>
        <v>1904.199809736434</v>
      </c>
      <c r="O54" s="19">
        <f>O21*Inputs!$C$61</f>
        <v>1899.9242913688179</v>
      </c>
      <c r="P54" s="19">
        <f>P21*Inputs!$C$61</f>
        <v>2054.469663367925</v>
      </c>
      <c r="Q54" s="19">
        <f>Q21*Inputs!$C$61</f>
        <v>2091.3998462028176</v>
      </c>
      <c r="R54" s="19">
        <f>R21*Inputs!$C$61</f>
        <v>2229.1380361742868</v>
      </c>
      <c r="S54" s="19">
        <f>S21*Inputs!$C$61</f>
        <v>2303.8093976111245</v>
      </c>
      <c r="T54" s="19">
        <f>T21*Inputs!$C$61</f>
        <v>2363.7339896623735</v>
      </c>
      <c r="U54" s="19">
        <f>U21*Inputs!$C$61</f>
        <v>2623.2541235749954</v>
      </c>
      <c r="V54" s="19">
        <f>V21*Inputs!$C$61</f>
        <v>2705.6414980508889</v>
      </c>
      <c r="W54" s="19">
        <f>W21*Inputs!$C$61</f>
        <v>2860.9525742338333</v>
      </c>
      <c r="X54" s="183">
        <f>X21*Inputs!$C$61</f>
        <v>2984.9800309259035</v>
      </c>
      <c r="Y54" s="19">
        <f>Y21*Inputs!$C$61</f>
        <v>2967.2694979936086</v>
      </c>
      <c r="Z54" s="19">
        <f>Z21*Inputs!$C$61</f>
        <v>3000.9519766208246</v>
      </c>
      <c r="AA54" s="19">
        <f>AA21*Inputs!$C$61</f>
        <v>3079.7148903779625</v>
      </c>
      <c r="AB54" s="19">
        <f>AB21*Inputs!$C$61</f>
        <v>3207.8805022322167</v>
      </c>
      <c r="AC54" s="19">
        <f>AC21*Inputs!$C$61</f>
        <v>3236.5801270384604</v>
      </c>
      <c r="AD54" s="19">
        <f>AD21*Inputs!$C$61</f>
        <v>3288.4795679595854</v>
      </c>
      <c r="AE54" s="19">
        <f>AE21*Inputs!$C$61</f>
        <v>3358.1736041255144</v>
      </c>
      <c r="AF54" s="19">
        <f>AF21*Inputs!$C$61</f>
        <v>3408.9076904841513</v>
      </c>
      <c r="AG54" s="19">
        <f>AG21*Inputs!$C$61</f>
        <v>3593.9812906625307</v>
      </c>
      <c r="AH54" s="19">
        <f>AH21*Inputs!$C$61</f>
        <v>3747.6946867558809</v>
      </c>
    </row>
    <row r="55" spans="1:34" s="20" customFormat="1" ht="15">
      <c r="A55" s="27" t="s">
        <v>58</v>
      </c>
      <c r="B55" s="39"/>
      <c r="C55" s="339">
        <f>SUM(C52:C54)</f>
        <v>12878.0412</v>
      </c>
      <c r="D55" s="339">
        <f t="shared" ref="D55:AH55" si="24">SUM(D52:D54)</f>
        <v>13365.9712</v>
      </c>
      <c r="E55" s="339">
        <f t="shared" si="24"/>
        <v>12875.438935287108</v>
      </c>
      <c r="F55" s="339">
        <f t="shared" si="24"/>
        <v>12823.784621489136</v>
      </c>
      <c r="G55" s="339">
        <f t="shared" si="24"/>
        <v>12668.186388265465</v>
      </c>
      <c r="H55" s="19">
        <f t="shared" si="24"/>
        <v>12917.006642166381</v>
      </c>
      <c r="I55" s="19">
        <f t="shared" si="24"/>
        <v>13281.080751084703</v>
      </c>
      <c r="J55" s="19">
        <f t="shared" si="24"/>
        <v>13572.411319760322</v>
      </c>
      <c r="K55" s="19">
        <f t="shared" si="24"/>
        <v>14073.565896702778</v>
      </c>
      <c r="L55" s="19">
        <f t="shared" si="24"/>
        <v>14407.759653183961</v>
      </c>
      <c r="M55" s="19">
        <f t="shared" si="24"/>
        <v>14745.095280684165</v>
      </c>
      <c r="N55" s="191">
        <f t="shared" si="24"/>
        <v>15099.338548942231</v>
      </c>
      <c r="O55" s="19">
        <f t="shared" si="24"/>
        <v>15451.54829448376</v>
      </c>
      <c r="P55" s="19">
        <f t="shared" si="24"/>
        <v>15677.904482496224</v>
      </c>
      <c r="Q55" s="19">
        <f t="shared" si="24"/>
        <v>15783.319916671224</v>
      </c>
      <c r="R55" s="19">
        <f t="shared" si="24"/>
        <v>15973.32086540869</v>
      </c>
      <c r="S55" s="19">
        <f t="shared" si="24"/>
        <v>16093.925750032186</v>
      </c>
      <c r="T55" s="19">
        <f t="shared" si="24"/>
        <v>16154.972253987871</v>
      </c>
      <c r="U55" s="19">
        <f t="shared" si="24"/>
        <v>16416.855309314597</v>
      </c>
      <c r="V55" s="19">
        <f t="shared" si="24"/>
        <v>16502.392411530593</v>
      </c>
      <c r="W55" s="19">
        <f t="shared" si="24"/>
        <v>16673.909418911153</v>
      </c>
      <c r="X55" s="183">
        <f t="shared" si="24"/>
        <v>16794.507688031252</v>
      </c>
      <c r="Y55" s="19">
        <f t="shared" si="24"/>
        <v>16784.29036366109</v>
      </c>
      <c r="Z55" s="19">
        <f t="shared" si="24"/>
        <v>16825.901798902167</v>
      </c>
      <c r="AA55" s="19">
        <f t="shared" si="24"/>
        <v>16910.121259089399</v>
      </c>
      <c r="AB55" s="19">
        <f t="shared" si="24"/>
        <v>17052.597369504609</v>
      </c>
      <c r="AC55" s="19">
        <f t="shared" si="24"/>
        <v>17086.424810900859</v>
      </c>
      <c r="AD55" s="19">
        <f t="shared" si="24"/>
        <v>17192.694849298343</v>
      </c>
      <c r="AE55" s="19">
        <f t="shared" si="24"/>
        <v>17277.354904764772</v>
      </c>
      <c r="AF55" s="19">
        <f t="shared" si="24"/>
        <v>17327.594925926009</v>
      </c>
      <c r="AG55" s="19">
        <f t="shared" si="24"/>
        <v>17566.413185288511</v>
      </c>
      <c r="AH55" s="19">
        <f t="shared" si="24"/>
        <v>17734.079789935768</v>
      </c>
    </row>
    <row r="57" spans="1:34">
      <c r="A57" s="1" t="s">
        <v>140</v>
      </c>
      <c r="B57" s="13"/>
      <c r="D57" s="338"/>
      <c r="E57" s="338"/>
      <c r="F57" s="338"/>
      <c r="G57" s="338"/>
      <c r="H57" s="16"/>
      <c r="I57" s="16"/>
      <c r="J57" s="16"/>
      <c r="K57" s="16"/>
      <c r="L57" s="16"/>
      <c r="M57" s="16"/>
      <c r="N57" s="395" t="s">
        <v>0</v>
      </c>
    </row>
    <row r="58" spans="1:34" ht="15">
      <c r="A58" s="8" t="s">
        <v>61</v>
      </c>
      <c r="B58" s="34">
        <v>0</v>
      </c>
      <c r="C58" s="336">
        <f>C40*Inputs!$H44</f>
        <v>0</v>
      </c>
      <c r="D58" s="336">
        <f>D40*Inputs!$H44</f>
        <v>0</v>
      </c>
      <c r="E58" s="336">
        <f>E40*Inputs!$H44</f>
        <v>0</v>
      </c>
      <c r="F58" s="336">
        <f>F40*Inputs!$H44</f>
        <v>0</v>
      </c>
      <c r="G58" s="336">
        <f>G40*Inputs!$H44</f>
        <v>0</v>
      </c>
      <c r="H58" s="14">
        <f>H40*Inputs!$H44</f>
        <v>0</v>
      </c>
      <c r="I58" s="14">
        <f>I40*Inputs!$H44</f>
        <v>0</v>
      </c>
      <c r="J58" s="14">
        <f>J40*Inputs!$H44</f>
        <v>0</v>
      </c>
      <c r="K58" s="14">
        <f>K40*Inputs!$H44</f>
        <v>0</v>
      </c>
      <c r="L58" s="14">
        <f>L40*Inputs!$H44</f>
        <v>0</v>
      </c>
      <c r="M58" s="14">
        <f>M40*Inputs!$H44</f>
        <v>0</v>
      </c>
      <c r="N58" s="191">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8">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6">
        <f>C41*Inputs!$H47</f>
        <v>0</v>
      </c>
      <c r="D59" s="336">
        <f>D41*Inputs!$H47</f>
        <v>0</v>
      </c>
      <c r="E59" s="336" t="s">
        <v>376</v>
      </c>
      <c r="F59" s="336">
        <f>F41*Inputs!$H47</f>
        <v>0</v>
      </c>
      <c r="G59" s="336">
        <f>G41*Inputs!$H47</f>
        <v>0</v>
      </c>
      <c r="H59" s="14">
        <f>H41*Inputs!$H47</f>
        <v>0</v>
      </c>
      <c r="I59" s="14">
        <f>I41*Inputs!$H47</f>
        <v>0</v>
      </c>
      <c r="J59" s="14">
        <f>J41*Inputs!$H47</f>
        <v>0</v>
      </c>
      <c r="K59" s="14">
        <f>K41*Inputs!$H47</f>
        <v>0</v>
      </c>
      <c r="L59" s="14">
        <f>L41*Inputs!$H47</f>
        <v>0</v>
      </c>
      <c r="M59" s="14">
        <f>M41*Inputs!$H47</f>
        <v>0</v>
      </c>
      <c r="N59" s="191">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8">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6">
        <f>C42*Inputs!$H48</f>
        <v>314.81864999999993</v>
      </c>
      <c r="D60" s="336">
        <f>D42*Inputs!$H48</f>
        <v>320.75864999999999</v>
      </c>
      <c r="E60" s="336">
        <f>E42*Inputs!$H48</f>
        <v>259.10636399999999</v>
      </c>
      <c r="F60" s="336">
        <f>F42*Inputs!$H48</f>
        <v>247.42886400000003</v>
      </c>
      <c r="G60" s="336">
        <f>G42*Inputs!$H48</f>
        <v>371.30653799999993</v>
      </c>
      <c r="H60" s="14">
        <f>H42*Inputs!$H48</f>
        <v>379.41323399999999</v>
      </c>
      <c r="I60" s="14">
        <f>I42*Inputs!$H48</f>
        <v>387.42494399999998</v>
      </c>
      <c r="J60" s="14">
        <f>J42*Inputs!$H48</f>
        <v>395.46246600000001</v>
      </c>
      <c r="K60" s="14">
        <f>K42*Inputs!$H48</f>
        <v>402.54467399999999</v>
      </c>
      <c r="L60" s="14">
        <f>L42*Inputs!$H48</f>
        <v>402.54397199999994</v>
      </c>
      <c r="M60" s="14">
        <f>M42*Inputs!$H48</f>
        <v>402.54397199999994</v>
      </c>
      <c r="N60" s="191">
        <f>N42*Inputs!$H48</f>
        <v>402.54397199999994</v>
      </c>
      <c r="O60" s="14">
        <f>O42*Inputs!$H48</f>
        <v>402.54397199999994</v>
      </c>
      <c r="P60" s="14">
        <f>P42*Inputs!$H48</f>
        <v>402.54397199999994</v>
      </c>
      <c r="Q60" s="14">
        <f>Q42*Inputs!$H48</f>
        <v>402.54397199999994</v>
      </c>
      <c r="R60" s="14">
        <f>R42*Inputs!$H48</f>
        <v>402.54397199999994</v>
      </c>
      <c r="S60" s="14">
        <f>S42*Inputs!$H48</f>
        <v>402.54397199999994</v>
      </c>
      <c r="T60" s="14">
        <f>T42*Inputs!$H48</f>
        <v>402.54397199999994</v>
      </c>
      <c r="U60" s="14">
        <f>U42*Inputs!$H48</f>
        <v>402.54397199999994</v>
      </c>
      <c r="V60" s="14">
        <f>V42*Inputs!$H48</f>
        <v>402.54397199999994</v>
      </c>
      <c r="W60" s="14">
        <f>W42*Inputs!$H48</f>
        <v>402.54397199999994</v>
      </c>
      <c r="X60" s="188">
        <f>X42*Inputs!$H48</f>
        <v>402.54397199999994</v>
      </c>
      <c r="Y60" s="14">
        <f>Y42*Inputs!$H48</f>
        <v>402.54397199999994</v>
      </c>
      <c r="Z60" s="14">
        <f>Z42*Inputs!$H48</f>
        <v>406.04651999999999</v>
      </c>
      <c r="AA60" s="14">
        <f>AA42*Inputs!$H48</f>
        <v>406.04651999999999</v>
      </c>
      <c r="AB60" s="14">
        <f>AB42*Inputs!$H48</f>
        <v>406.04651999999999</v>
      </c>
      <c r="AC60" s="14">
        <f>AC42*Inputs!$H48</f>
        <v>406.04651999999999</v>
      </c>
      <c r="AD60" s="14">
        <f>AD42*Inputs!$H48</f>
        <v>406.04651999999999</v>
      </c>
      <c r="AE60" s="14">
        <f>AE42*Inputs!$H48</f>
        <v>406.04651999999999</v>
      </c>
      <c r="AF60" s="14">
        <f>AF42*Inputs!$H48</f>
        <v>406.04651999999999</v>
      </c>
      <c r="AG60" s="14">
        <f>AG42*Inputs!$H48</f>
        <v>406.04651999999999</v>
      </c>
      <c r="AH60" s="14">
        <f>AH42*Inputs!$H48</f>
        <v>406.04651999999999</v>
      </c>
    </row>
    <row r="61" spans="1:34" ht="15">
      <c r="A61" s="8" t="s">
        <v>59</v>
      </c>
      <c r="B61" s="34">
        <v>0</v>
      </c>
      <c r="C61" s="336">
        <f>C43*Inputs!$H53</f>
        <v>6570.9000000000005</v>
      </c>
      <c r="D61" s="336">
        <f>D43*Inputs!$H53</f>
        <v>6550.4880000000003</v>
      </c>
      <c r="E61" s="336">
        <f>E43*Inputs!$H53</f>
        <v>6505.9400779176176</v>
      </c>
      <c r="F61" s="336">
        <f>F43*Inputs!$H53</f>
        <v>6521.0871395594859</v>
      </c>
      <c r="G61" s="336">
        <f>G43*Inputs!$H53</f>
        <v>6429.2024424968431</v>
      </c>
      <c r="H61" s="14">
        <f>H43*Inputs!$H53</f>
        <v>6440.2880830271406</v>
      </c>
      <c r="I61" s="14">
        <f>I43*Inputs!$H53</f>
        <v>6613.2404909368997</v>
      </c>
      <c r="J61" s="14">
        <f>J43*Inputs!$H53</f>
        <v>6666.9549491908638</v>
      </c>
      <c r="K61" s="14">
        <f>K43*Inputs!$H53</f>
        <v>6976.8038733897829</v>
      </c>
      <c r="L61" s="14">
        <f>L43*Inputs!$H53</f>
        <v>7284.9476930002093</v>
      </c>
      <c r="M61" s="14">
        <f>M43*Inputs!$H53</f>
        <v>7552.7556345830981</v>
      </c>
      <c r="N61" s="191">
        <f>N43*Inputs!$H53</f>
        <v>7614.3808769627713</v>
      </c>
      <c r="O61" s="14">
        <f>O43*Inputs!$H53</f>
        <v>7614.3817518801407</v>
      </c>
      <c r="P61" s="14">
        <f>P43*Inputs!$H53</f>
        <v>7614.3808769627713</v>
      </c>
      <c r="Q61" s="14">
        <f>Q43*Inputs!$H53</f>
        <v>7614.3817518801407</v>
      </c>
      <c r="R61" s="14">
        <f>R43*Inputs!$H53</f>
        <v>7614.3817518801407</v>
      </c>
      <c r="S61" s="14">
        <f>S43*Inputs!$H53</f>
        <v>7614.3808769627713</v>
      </c>
      <c r="T61" s="14">
        <f>T43*Inputs!$H53</f>
        <v>7614.4076166248751</v>
      </c>
      <c r="U61" s="14">
        <f>U43*Inputs!$H53</f>
        <v>7614.3808769627713</v>
      </c>
      <c r="V61" s="14">
        <f>V43*Inputs!$H53</f>
        <v>7614.3808769627713</v>
      </c>
      <c r="W61" s="14">
        <f>W43*Inputs!$H53</f>
        <v>7614.3808769627713</v>
      </c>
      <c r="X61" s="188">
        <f>X43*Inputs!$H53</f>
        <v>7614.3817518801407</v>
      </c>
      <c r="Y61" s="14">
        <f>Y43*Inputs!$H53</f>
        <v>7614.3808769627713</v>
      </c>
      <c r="Z61" s="14">
        <f>Z43*Inputs!$H53</f>
        <v>7614.3817518801407</v>
      </c>
      <c r="AA61" s="14">
        <f>AA43*Inputs!$H53</f>
        <v>7614.3817518801407</v>
      </c>
      <c r="AB61" s="14">
        <f>AB43*Inputs!$H53</f>
        <v>7614.3817518801407</v>
      </c>
      <c r="AC61" s="14">
        <f>AC43*Inputs!$H53</f>
        <v>7614.3817518801407</v>
      </c>
      <c r="AD61" s="14">
        <f>AD43*Inputs!$H53</f>
        <v>7653.426853375985</v>
      </c>
      <c r="AE61" s="14">
        <f>AE43*Inputs!$H53</f>
        <v>7663.0456402539721</v>
      </c>
      <c r="AF61" s="14">
        <f>AF43*Inputs!$H53</f>
        <v>7663.0448200189394</v>
      </c>
      <c r="AG61" s="14">
        <f>AG43*Inputs!$H53</f>
        <v>7705.6777936001108</v>
      </c>
      <c r="AH61" s="14">
        <f>AH43*Inputs!$H53</f>
        <v>7714.679982461942</v>
      </c>
    </row>
    <row r="62" spans="1:34" ht="15">
      <c r="A62" s="8" t="s">
        <v>121</v>
      </c>
      <c r="B62" s="34">
        <v>1</v>
      </c>
      <c r="C62" s="336">
        <f>C44*Inputs!$H46</f>
        <v>304.47899999999998</v>
      </c>
      <c r="D62" s="336">
        <f>D44*Inputs!$H46</f>
        <v>329.238</v>
      </c>
      <c r="E62" s="336">
        <f>E44*Inputs!$H46</f>
        <v>329.33207465115981</v>
      </c>
      <c r="F62" s="336">
        <f>F44*Inputs!$H46</f>
        <v>347.11102391853103</v>
      </c>
      <c r="G62" s="336">
        <f>G44*Inputs!$H46</f>
        <v>391.83475972025258</v>
      </c>
      <c r="H62" s="14">
        <f>H44*Inputs!$H46</f>
        <v>397.32342805698903</v>
      </c>
      <c r="I62" s="14">
        <f>I44*Inputs!$H46</f>
        <v>405.80653177596946</v>
      </c>
      <c r="J62" s="14">
        <f>J44*Inputs!$H46</f>
        <v>643.61455030538582</v>
      </c>
      <c r="K62" s="14">
        <f>K44*Inputs!$H46</f>
        <v>575.68256227951895</v>
      </c>
      <c r="L62" s="14">
        <f>L44*Inputs!$H46</f>
        <v>594.15786682028045</v>
      </c>
      <c r="M62" s="14">
        <f>M44*Inputs!$H46</f>
        <v>664.90429338263561</v>
      </c>
      <c r="N62" s="191">
        <f>N44*Inputs!$H46</f>
        <v>850.27202706815342</v>
      </c>
      <c r="O62" s="14">
        <f>O44*Inputs!$H46</f>
        <v>1135.7715435425127</v>
      </c>
      <c r="P62" s="14">
        <f>P44*Inputs!$H46</f>
        <v>1157.9086212959812</v>
      </c>
      <c r="Q62" s="14">
        <f>Q44*Inputs!$H46</f>
        <v>1202.2805997982884</v>
      </c>
      <c r="R62" s="14">
        <f>R44*Inputs!$H46</f>
        <v>1209.7464457363978</v>
      </c>
      <c r="S62" s="14">
        <f>S44*Inputs!$H46</f>
        <v>1221.0041998823506</v>
      </c>
      <c r="T62" s="14">
        <f>T44*Inputs!$H46</f>
        <v>1222.2632908065691</v>
      </c>
      <c r="U62" s="14">
        <f>U44*Inputs!$H46</f>
        <v>1211.9258584421889</v>
      </c>
      <c r="V62" s="14">
        <f>V44*Inputs!$H46</f>
        <v>1217.5636688327477</v>
      </c>
      <c r="W62" s="14">
        <f>W44*Inputs!$H46</f>
        <v>1221.9710889577038</v>
      </c>
      <c r="X62" s="188">
        <f>X44*Inputs!$H46</f>
        <v>1211.621935573801</v>
      </c>
      <c r="Y62" s="14">
        <f>Y44*Inputs!$H46</f>
        <v>1218.5658476803947</v>
      </c>
      <c r="Z62" s="14">
        <f>Z44*Inputs!$H46</f>
        <v>1214.9652138397942</v>
      </c>
      <c r="AA62" s="14">
        <f>AA44*Inputs!$H46</f>
        <v>1217.2549308428258</v>
      </c>
      <c r="AB62" s="14">
        <f>AB44*Inputs!$H46</f>
        <v>1225.733092726548</v>
      </c>
      <c r="AC62" s="14">
        <f>AC44*Inputs!$H46</f>
        <v>1231.299246505861</v>
      </c>
      <c r="AD62" s="14">
        <f>AD44*Inputs!$H46</f>
        <v>1238.317349498192</v>
      </c>
      <c r="AE62" s="14">
        <f>AE44*Inputs!$H46</f>
        <v>1244.2540775650182</v>
      </c>
      <c r="AF62" s="14">
        <f>AF44*Inputs!$H46</f>
        <v>1242.3610378767617</v>
      </c>
      <c r="AG62" s="14">
        <f>AG44*Inputs!$H46</f>
        <v>1248.9045979705675</v>
      </c>
      <c r="AH62" s="14">
        <f>AH44*Inputs!$H46</f>
        <v>1254.5854910274807</v>
      </c>
    </row>
    <row r="63" spans="1:34" ht="15">
      <c r="A63" s="8" t="s">
        <v>50</v>
      </c>
      <c r="B63" s="34">
        <v>1</v>
      </c>
      <c r="C63" s="336">
        <f>C45*Inputs!$H49</f>
        <v>0</v>
      </c>
      <c r="D63" s="336">
        <f>D45*Inputs!$H49</f>
        <v>0</v>
      </c>
      <c r="E63" s="336">
        <f>E45*Inputs!$H49</f>
        <v>2.2500000000000001E-5</v>
      </c>
      <c r="F63" s="336">
        <f>F45*Inputs!$H49</f>
        <v>2.2500000000000001E-5</v>
      </c>
      <c r="G63" s="336">
        <f>G45*Inputs!$H49</f>
        <v>2.2500000000000001E-5</v>
      </c>
      <c r="H63" s="14">
        <f>H45*Inputs!$H49</f>
        <v>2.2500000000000001E-5</v>
      </c>
      <c r="I63" s="14">
        <f>I45*Inputs!$H49</f>
        <v>2.2500000000000001E-5</v>
      </c>
      <c r="J63" s="14">
        <f>J45*Inputs!$H49</f>
        <v>2.2500000000000001E-5</v>
      </c>
      <c r="K63" s="14">
        <f>K45*Inputs!$H49</f>
        <v>2.2500000000000001E-5</v>
      </c>
      <c r="L63" s="14">
        <f>L45*Inputs!$H49</f>
        <v>2.2500000000000001E-5</v>
      </c>
      <c r="M63" s="14">
        <f>M45*Inputs!$H49</f>
        <v>2.2500000000000001E-5</v>
      </c>
      <c r="N63" s="191">
        <f>N45*Inputs!$H49</f>
        <v>2.2500000000000001E-5</v>
      </c>
      <c r="O63" s="14">
        <f>O45*Inputs!$H49</f>
        <v>2.2500000000000001E-5</v>
      </c>
      <c r="P63" s="14">
        <f>P45*Inputs!$H49</f>
        <v>2.2500000000000001E-5</v>
      </c>
      <c r="Q63" s="14">
        <f>Q45*Inputs!$H49</f>
        <v>2.2500000000000001E-5</v>
      </c>
      <c r="R63" s="14">
        <f>R45*Inputs!$H49</f>
        <v>2.2500000000000001E-5</v>
      </c>
      <c r="S63" s="14">
        <f>S45*Inputs!$H49</f>
        <v>2.2500000000000001E-5</v>
      </c>
      <c r="T63" s="14">
        <f>T45*Inputs!$H49</f>
        <v>2.2500000000000001E-5</v>
      </c>
      <c r="U63" s="14">
        <f>U45*Inputs!$H49</f>
        <v>2.2500000000000001E-5</v>
      </c>
      <c r="V63" s="14">
        <f>V45*Inputs!$H49</f>
        <v>2.2500000000000001E-5</v>
      </c>
      <c r="W63" s="14">
        <f>W45*Inputs!$H49</f>
        <v>2.2500000000000001E-5</v>
      </c>
      <c r="X63" s="188">
        <f>X45*Inputs!$H49</f>
        <v>2.2500000000000001E-5</v>
      </c>
      <c r="Y63" s="14">
        <f>Y45*Inputs!$H49</f>
        <v>2.2500000000000001E-5</v>
      </c>
      <c r="Z63" s="14">
        <f>Z45*Inputs!$H49</f>
        <v>2.2500000000000001E-5</v>
      </c>
      <c r="AA63" s="14">
        <f>AA45*Inputs!$H49</f>
        <v>2.2500000000000001E-5</v>
      </c>
      <c r="AB63" s="14">
        <f>AB45*Inputs!$H49</f>
        <v>2.2500000000000001E-5</v>
      </c>
      <c r="AC63" s="14">
        <f>AC45*Inputs!$H49</f>
        <v>2.2500000000000001E-5</v>
      </c>
      <c r="AD63" s="14">
        <f>AD45*Inputs!$H49</f>
        <v>2.2500000000000001E-5</v>
      </c>
      <c r="AE63" s="14">
        <f>AE45*Inputs!$H49</f>
        <v>2.2500000000000001E-5</v>
      </c>
      <c r="AF63" s="14">
        <f>AF45*Inputs!$H49</f>
        <v>2.2500000000000001E-5</v>
      </c>
      <c r="AG63" s="14">
        <f>AG45*Inputs!$H49</f>
        <v>2.2500000000000001E-5</v>
      </c>
      <c r="AH63" s="14">
        <f>AH45*Inputs!$H49</f>
        <v>2.2500000000000001E-5</v>
      </c>
    </row>
    <row r="64" spans="1:34" ht="15">
      <c r="A64" s="8" t="s">
        <v>51</v>
      </c>
      <c r="B64" s="34">
        <v>1</v>
      </c>
      <c r="C64" s="336">
        <f>C46*Inputs!$H52</f>
        <v>18.495000000000001</v>
      </c>
      <c r="D64" s="336">
        <f>D46*Inputs!$H52</f>
        <v>17.684999999999999</v>
      </c>
      <c r="E64" s="336">
        <f>E46*Inputs!$H52</f>
        <v>21.533517114859261</v>
      </c>
      <c r="F64" s="336">
        <f>F46*Inputs!$H52</f>
        <v>25.446873392159645</v>
      </c>
      <c r="G64" s="336">
        <f>G46*Inputs!$H52</f>
        <v>18.628212470153592</v>
      </c>
      <c r="H64" s="14">
        <f>H46*Inputs!$H52</f>
        <v>19.783663853398142</v>
      </c>
      <c r="I64" s="14">
        <f>I46*Inputs!$H52</f>
        <v>19.794256955369228</v>
      </c>
      <c r="J64" s="14">
        <f>J46*Inputs!$H52</f>
        <v>19.982606659452326</v>
      </c>
      <c r="K64" s="14">
        <f>K46*Inputs!$H52</f>
        <v>20.054884080326147</v>
      </c>
      <c r="L64" s="14">
        <f>L46*Inputs!$H52</f>
        <v>20.063050642351257</v>
      </c>
      <c r="M64" s="14">
        <f>M46*Inputs!$H52</f>
        <v>20.049779979060457</v>
      </c>
      <c r="N64" s="191">
        <f>N46*Inputs!$H52</f>
        <v>20.007507979725592</v>
      </c>
      <c r="O64" s="14">
        <f>O46*Inputs!$H52</f>
        <v>19.982271964287364</v>
      </c>
      <c r="P64" s="14">
        <f>P46*Inputs!$H52</f>
        <v>19.960851473729708</v>
      </c>
      <c r="Q64" s="14">
        <f>Q46*Inputs!$H52</f>
        <v>19.940769763831913</v>
      </c>
      <c r="R64" s="14">
        <f>R46*Inputs!$H52</f>
        <v>19.920805197241851</v>
      </c>
      <c r="S64" s="14">
        <f>S46*Inputs!$H52</f>
        <v>19.897292861903178</v>
      </c>
      <c r="T64" s="14">
        <f>T46*Inputs!$H52</f>
        <v>19.871069495728307</v>
      </c>
      <c r="U64" s="14">
        <f>U46*Inputs!$H52</f>
        <v>19.844477964871974</v>
      </c>
      <c r="V64" s="14">
        <f>V46*Inputs!$H52</f>
        <v>19.803745563295937</v>
      </c>
      <c r="W64" s="14">
        <f>W46*Inputs!$H52</f>
        <v>19.77191605310793</v>
      </c>
      <c r="X64" s="188">
        <f>X46*Inputs!$H52</f>
        <v>19.728154660288979</v>
      </c>
      <c r="Y64" s="14">
        <f>Y46*Inputs!$H52</f>
        <v>19.685196535865938</v>
      </c>
      <c r="Z64" s="14">
        <f>Z46*Inputs!$H52</f>
        <v>19.641870246761439</v>
      </c>
      <c r="AA64" s="14">
        <f>AA46*Inputs!$H52</f>
        <v>19.600183963965261</v>
      </c>
      <c r="AB64" s="14">
        <f>AB46*Inputs!$H52</f>
        <v>19.563702190984259</v>
      </c>
      <c r="AC64" s="14">
        <f>AC46*Inputs!$H52</f>
        <v>19.52449265240881</v>
      </c>
      <c r="AD64" s="14">
        <f>AD46*Inputs!$H52</f>
        <v>19.489667620494377</v>
      </c>
      <c r="AE64" s="14">
        <f>AE46*Inputs!$H52</f>
        <v>19.458323418295567</v>
      </c>
      <c r="AF64" s="14">
        <f>AF46*Inputs!$H52</f>
        <v>19.430058411614414</v>
      </c>
      <c r="AG64" s="14">
        <f>AG46*Inputs!$H52</f>
        <v>19.40037095048217</v>
      </c>
      <c r="AH64" s="14">
        <f>AH46*Inputs!$H52</f>
        <v>19.371018184514888</v>
      </c>
    </row>
    <row r="65" spans="1:34" ht="15">
      <c r="A65" s="8" t="s">
        <v>347</v>
      </c>
      <c r="B65" s="34">
        <v>1</v>
      </c>
      <c r="C65" s="336">
        <f>C47*Inputs!$H54</f>
        <v>0</v>
      </c>
      <c r="D65" s="336">
        <f>D47*Inputs!$H54</f>
        <v>0</v>
      </c>
      <c r="E65" s="336">
        <f>E47*Inputs!$H54</f>
        <v>0.14220000000000002</v>
      </c>
      <c r="F65" s="336">
        <f>F47*Inputs!$H54</f>
        <v>0.14220000000000002</v>
      </c>
      <c r="G65" s="336">
        <f>G47*Inputs!$H54</f>
        <v>0.14220000000000002</v>
      </c>
      <c r="H65" s="14">
        <f>H47*Inputs!$H54</f>
        <v>0.14220000000000002</v>
      </c>
      <c r="I65" s="14">
        <f>I47*Inputs!$H54</f>
        <v>0.14220000000000002</v>
      </c>
      <c r="J65" s="14">
        <f>J47*Inputs!$H54</f>
        <v>0.14220000000000002</v>
      </c>
      <c r="K65" s="14">
        <f>K47*Inputs!$H54</f>
        <v>0.14220000000000002</v>
      </c>
      <c r="L65" s="14">
        <f>L47*Inputs!$H54</f>
        <v>0.14220000000000002</v>
      </c>
      <c r="M65" s="14">
        <f>M47*Inputs!$H54</f>
        <v>0.14220000000000002</v>
      </c>
      <c r="N65" s="191">
        <f>N47*Inputs!$H54</f>
        <v>0.14220000000000002</v>
      </c>
      <c r="O65" s="14">
        <f>O47*Inputs!$H54</f>
        <v>0.14220000000000002</v>
      </c>
      <c r="P65" s="14">
        <f>P47*Inputs!$H54</f>
        <v>0.14220000000000002</v>
      </c>
      <c r="Q65" s="14">
        <f>Q47*Inputs!$H54</f>
        <v>0.14220000000000002</v>
      </c>
      <c r="R65" s="14">
        <f>R47*Inputs!$H54</f>
        <v>0.14220000000000002</v>
      </c>
      <c r="S65" s="14">
        <f>S47*Inputs!$H54</f>
        <v>0.14220000000000002</v>
      </c>
      <c r="T65" s="14">
        <f>T47*Inputs!$H54</f>
        <v>0.14220000000000002</v>
      </c>
      <c r="U65" s="14">
        <f>U47*Inputs!$H54</f>
        <v>0.14220000000000002</v>
      </c>
      <c r="V65" s="14">
        <f>V47*Inputs!$H54</f>
        <v>0.14220000000000002</v>
      </c>
      <c r="W65" s="14">
        <f>W47*Inputs!$H54</f>
        <v>0.14220000000000002</v>
      </c>
      <c r="X65" s="188">
        <f>X47*Inputs!$H54</f>
        <v>0.14220000000000002</v>
      </c>
      <c r="Y65" s="14">
        <f>Y47*Inputs!$H54</f>
        <v>0.14220000000000002</v>
      </c>
      <c r="Z65" s="14">
        <f>Z47*Inputs!$H54</f>
        <v>0.14220000000000002</v>
      </c>
      <c r="AA65" s="14">
        <f>AA47*Inputs!$H54</f>
        <v>0.14220000000000002</v>
      </c>
      <c r="AB65" s="14">
        <f>AB47*Inputs!$H54</f>
        <v>0.14220000000000002</v>
      </c>
      <c r="AC65" s="14">
        <f>AC47*Inputs!$H54</f>
        <v>0.14220000000000002</v>
      </c>
      <c r="AD65" s="14">
        <f>AD47*Inputs!$H54</f>
        <v>0.14220000000000002</v>
      </c>
      <c r="AE65" s="14">
        <f>AE47*Inputs!$H54</f>
        <v>0.14220000000000002</v>
      </c>
      <c r="AF65" s="14">
        <f>AF47*Inputs!$H54</f>
        <v>0.14220000000000002</v>
      </c>
      <c r="AG65" s="14">
        <f>AG47*Inputs!$H54</f>
        <v>0.14220000000000002</v>
      </c>
      <c r="AH65" s="14">
        <f>AH47*Inputs!$H54</f>
        <v>0</v>
      </c>
    </row>
    <row r="66" spans="1:34" ht="15">
      <c r="A66" s="8" t="s">
        <v>348</v>
      </c>
      <c r="B66" s="34">
        <v>1</v>
      </c>
      <c r="C66" s="336">
        <f>C48*Inputs!$H55</f>
        <v>0</v>
      </c>
      <c r="D66" s="336">
        <f>D48*Inputs!$H55</f>
        <v>0</v>
      </c>
      <c r="E66" s="336">
        <f>E48*Inputs!$H55</f>
        <v>2.0700000000000003E-2</v>
      </c>
      <c r="F66" s="336">
        <f>F48*Inputs!$H55</f>
        <v>2.0700000000000003E-2</v>
      </c>
      <c r="G66" s="336">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1">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8">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6">
        <f>C49*Inputs!$H51</f>
        <v>2.4300000000000003E-3</v>
      </c>
      <c r="D67" s="336">
        <f>D49*Inputs!$H51</f>
        <v>2.4300000000000003E-3</v>
      </c>
      <c r="E67" s="336">
        <f>E49*Inputs!$H51</f>
        <v>2.4300000000000003E-3</v>
      </c>
      <c r="F67" s="336">
        <f>F49*Inputs!$H51</f>
        <v>2.4300000000000003E-3</v>
      </c>
      <c r="G67" s="336">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1">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8">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6">
        <f>C50*Inputs!$H57</f>
        <v>0</v>
      </c>
      <c r="D68" s="336">
        <f>D50*Inputs!$H57</f>
        <v>0</v>
      </c>
      <c r="E68" s="336">
        <f>E50*Inputs!$H57</f>
        <v>9.1800000000000004E-10</v>
      </c>
      <c r="F68" s="336">
        <f>F50*Inputs!$H57</f>
        <v>9.1800000000000004E-10</v>
      </c>
      <c r="G68" s="336">
        <f>G50*Inputs!$H57</f>
        <v>9.1800000000000004E-10</v>
      </c>
      <c r="H68" s="14">
        <f>H50*Inputs!$H57</f>
        <v>9.1800000000000004E-10</v>
      </c>
      <c r="I68" s="14">
        <f>I50*Inputs!$H57</f>
        <v>4.27709358E-4</v>
      </c>
      <c r="J68" s="14">
        <f>J50*Inputs!$H57</f>
        <v>5.8311222299999997E-4</v>
      </c>
      <c r="K68" s="14">
        <f>K50*Inputs!$H57</f>
        <v>5.8311222299999997E-4</v>
      </c>
      <c r="L68" s="14">
        <f>L50*Inputs!$H57</f>
        <v>5.8319499600000002E-4</v>
      </c>
      <c r="M68" s="14">
        <f>M50*Inputs!$H57</f>
        <v>5.8316760899999995E-4</v>
      </c>
      <c r="N68" s="191">
        <f>N50*Inputs!$H57</f>
        <v>5.8318015500000001E-4</v>
      </c>
      <c r="O68" s="14">
        <f>O50*Inputs!$H57</f>
        <v>5.8316378400000005E-4</v>
      </c>
      <c r="P68" s="14">
        <f>P50*Inputs!$H57</f>
        <v>5.8316378400000005E-4</v>
      </c>
      <c r="Q68" s="14">
        <f>Q50*Inputs!$H57</f>
        <v>5.8289373899999999E-4</v>
      </c>
      <c r="R68" s="14">
        <f>R50*Inputs!$H57</f>
        <v>5.8291699500000009E-4</v>
      </c>
      <c r="S68" s="14">
        <f>S50*Inputs!$H57</f>
        <v>5.8676372099999996E-4</v>
      </c>
      <c r="T68" s="14">
        <f>T50*Inputs!$H57</f>
        <v>5.9506947900000008E-4</v>
      </c>
      <c r="U68" s="14">
        <f>U50*Inputs!$H57</f>
        <v>5.9862290400000001E-4</v>
      </c>
      <c r="V68" s="14">
        <f>V50*Inputs!$H57</f>
        <v>6.0300589499999999E-4</v>
      </c>
      <c r="W68" s="14">
        <f>W50*Inputs!$H57</f>
        <v>6.13052487E-4</v>
      </c>
      <c r="X68" s="188">
        <f>X50*Inputs!$H57</f>
        <v>6.2653117500000011E-4</v>
      </c>
      <c r="Y68" s="14">
        <f>Y50*Inputs!$H57</f>
        <v>6.4561318199999977E-4</v>
      </c>
      <c r="Z68" s="14">
        <f>Z50*Inputs!$H57</f>
        <v>6.5457133200000003E-4</v>
      </c>
      <c r="AA68" s="14">
        <f>AA50*Inputs!$H57</f>
        <v>6.5914496100000013E-4</v>
      </c>
      <c r="AB68" s="14">
        <f>AB50*Inputs!$H57</f>
        <v>6.7396851900000014E-4</v>
      </c>
      <c r="AC68" s="14">
        <f>AC50*Inputs!$H57</f>
        <v>6.817280670000001E-4</v>
      </c>
      <c r="AD68" s="14">
        <f>AD50*Inputs!$H57</f>
        <v>6.8189483700000007E-4</v>
      </c>
      <c r="AE68" s="14">
        <f>AE50*Inputs!$H57</f>
        <v>7.0065799200000009E-4</v>
      </c>
      <c r="AF68" s="14">
        <f>AF50*Inputs!$H57</f>
        <v>7.1358343200000006E-4</v>
      </c>
      <c r="AG68" s="14">
        <f>AG50*Inputs!$H57</f>
        <v>7.4020420800000009E-4</v>
      </c>
      <c r="AH68" s="14">
        <f>AH50*Inputs!$H57</f>
        <v>7.7659892999999995E-4</v>
      </c>
    </row>
    <row r="69" spans="1:34" s="20" customFormat="1" ht="15">
      <c r="A69" s="8" t="s">
        <v>128</v>
      </c>
      <c r="B69" s="38"/>
      <c r="C69" s="339">
        <f t="shared" ref="C69:AH69" si="25">SUMPRODUCT($B60:$B68,C60:C68)</f>
        <v>322.97642999999999</v>
      </c>
      <c r="D69" s="339">
        <f t="shared" si="25"/>
        <v>346.92543000000001</v>
      </c>
      <c r="E69" s="339">
        <f t="shared" si="25"/>
        <v>351.03094426693707</v>
      </c>
      <c r="F69" s="339">
        <f t="shared" si="25"/>
        <v>372.7232498116087</v>
      </c>
      <c r="G69" s="339">
        <f t="shared" si="25"/>
        <v>410.62832469132417</v>
      </c>
      <c r="H69" s="19">
        <f t="shared" si="25"/>
        <v>417.27244441130517</v>
      </c>
      <c r="I69" s="19">
        <f t="shared" si="25"/>
        <v>425.76656894069669</v>
      </c>
      <c r="J69" s="19">
        <f t="shared" si="25"/>
        <v>663.76309257706123</v>
      </c>
      <c r="K69" s="19">
        <f t="shared" si="25"/>
        <v>595.90338197206813</v>
      </c>
      <c r="L69" s="19">
        <f t="shared" si="25"/>
        <v>614.3868531576278</v>
      </c>
      <c r="M69" s="19">
        <f t="shared" si="25"/>
        <v>685.12000902930504</v>
      </c>
      <c r="N69" s="191">
        <f t="shared" si="25"/>
        <v>870.44547072803402</v>
      </c>
      <c r="O69" s="19">
        <f t="shared" si="25"/>
        <v>1155.9197511705843</v>
      </c>
      <c r="P69" s="19">
        <f t="shared" si="25"/>
        <v>1178.0354084334951</v>
      </c>
      <c r="Q69" s="19">
        <f t="shared" si="25"/>
        <v>1222.3873049558595</v>
      </c>
      <c r="R69" s="19">
        <f t="shared" si="25"/>
        <v>1229.8331863506348</v>
      </c>
      <c r="S69" s="19">
        <f t="shared" si="25"/>
        <v>1241.067432007975</v>
      </c>
      <c r="T69" s="19">
        <f t="shared" si="25"/>
        <v>1242.3003078717766</v>
      </c>
      <c r="U69" s="19">
        <f t="shared" si="25"/>
        <v>1231.9362875299648</v>
      </c>
      <c r="V69" s="19">
        <f t="shared" si="25"/>
        <v>1237.5333699019386</v>
      </c>
      <c r="W69" s="19">
        <f t="shared" si="25"/>
        <v>1241.9089705632989</v>
      </c>
      <c r="X69" s="183">
        <f t="shared" si="25"/>
        <v>1231.5160692652651</v>
      </c>
      <c r="Y69" s="19">
        <f t="shared" si="25"/>
        <v>1238.4170423294427</v>
      </c>
      <c r="Z69" s="19">
        <f t="shared" si="25"/>
        <v>1234.7730911578876</v>
      </c>
      <c r="AA69" s="19">
        <f t="shared" si="25"/>
        <v>1237.0211264517523</v>
      </c>
      <c r="AB69" s="19">
        <f t="shared" si="25"/>
        <v>1245.4628213860512</v>
      </c>
      <c r="AC69" s="19">
        <f t="shared" si="25"/>
        <v>1250.9897733863368</v>
      </c>
      <c r="AD69" s="19">
        <f t="shared" si="25"/>
        <v>1257.9730515135234</v>
      </c>
      <c r="AE69" s="19">
        <f t="shared" si="25"/>
        <v>1263.8784541413056</v>
      </c>
      <c r="AF69" s="19">
        <f t="shared" si="25"/>
        <v>1261.957162371808</v>
      </c>
      <c r="AG69" s="19">
        <f t="shared" si="25"/>
        <v>1268.4710616252576</v>
      </c>
      <c r="AH69" s="19">
        <f t="shared" si="25"/>
        <v>1273.9804383109256</v>
      </c>
    </row>
    <row r="70" spans="1:34" s="20" customFormat="1" ht="15">
      <c r="A70" s="27" t="s">
        <v>329</v>
      </c>
      <c r="B70" s="39"/>
      <c r="C70" s="339">
        <f>SUM(C58:C68)</f>
        <v>7208.6950800000004</v>
      </c>
      <c r="D70" s="339">
        <f t="shared" ref="D70:AH70" si="26">SUM(D58:D68)</f>
        <v>7218.1720800000003</v>
      </c>
      <c r="E70" s="339">
        <f t="shared" si="26"/>
        <v>7116.0773861845546</v>
      </c>
      <c r="F70" s="339">
        <f t="shared" si="26"/>
        <v>7141.2392533710945</v>
      </c>
      <c r="G70" s="339">
        <f t="shared" si="26"/>
        <v>7211.1373051881674</v>
      </c>
      <c r="H70" s="19">
        <f t="shared" si="26"/>
        <v>7236.9737614384449</v>
      </c>
      <c r="I70" s="19">
        <f t="shared" si="26"/>
        <v>7426.4320038775959</v>
      </c>
      <c r="J70" s="19">
        <f t="shared" si="26"/>
        <v>7726.1805077679246</v>
      </c>
      <c r="K70" s="19">
        <f t="shared" si="26"/>
        <v>7975.2519293618498</v>
      </c>
      <c r="L70" s="19">
        <f t="shared" si="26"/>
        <v>8301.8785181578369</v>
      </c>
      <c r="M70" s="19">
        <f t="shared" si="26"/>
        <v>8640.4196156124035</v>
      </c>
      <c r="N70" s="183">
        <f t="shared" si="26"/>
        <v>8887.3703196908064</v>
      </c>
      <c r="O70" s="19">
        <f t="shared" si="26"/>
        <v>9172.8454750507244</v>
      </c>
      <c r="P70" s="19">
        <f t="shared" si="26"/>
        <v>9194.9602573962675</v>
      </c>
      <c r="Q70" s="19">
        <f t="shared" si="26"/>
        <v>9239.3130288360007</v>
      </c>
      <c r="R70" s="19">
        <f t="shared" si="26"/>
        <v>9246.7589102307757</v>
      </c>
      <c r="S70" s="19">
        <f t="shared" si="26"/>
        <v>9257.9922809707459</v>
      </c>
      <c r="T70" s="19">
        <f t="shared" si="26"/>
        <v>9259.251896496653</v>
      </c>
      <c r="U70" s="19">
        <f t="shared" si="26"/>
        <v>9248.8611364927383</v>
      </c>
      <c r="V70" s="19">
        <f t="shared" si="26"/>
        <v>9254.4582188647109</v>
      </c>
      <c r="W70" s="19">
        <f t="shared" si="26"/>
        <v>9258.8338195260712</v>
      </c>
      <c r="X70" s="183">
        <f t="shared" si="26"/>
        <v>9248.4417931454063</v>
      </c>
      <c r="Y70" s="19">
        <f t="shared" si="26"/>
        <v>9255.3418912922134</v>
      </c>
      <c r="Z70" s="19">
        <f t="shared" si="26"/>
        <v>9255.2013630380279</v>
      </c>
      <c r="AA70" s="19">
        <f t="shared" si="26"/>
        <v>9257.4493983318935</v>
      </c>
      <c r="AB70" s="19">
        <f t="shared" si="26"/>
        <v>9265.8910932661929</v>
      </c>
      <c r="AC70" s="19">
        <f t="shared" si="26"/>
        <v>9271.4180452664768</v>
      </c>
      <c r="AD70" s="19">
        <f t="shared" si="26"/>
        <v>9317.4464248895074</v>
      </c>
      <c r="AE70" s="19">
        <f t="shared" si="26"/>
        <v>9332.970614395279</v>
      </c>
      <c r="AF70" s="19">
        <f t="shared" si="26"/>
        <v>9331.0485023907459</v>
      </c>
      <c r="AG70" s="19">
        <f t="shared" si="26"/>
        <v>9380.1953752253685</v>
      </c>
      <c r="AH70" s="19">
        <f t="shared" si="26"/>
        <v>9394.7069407728668</v>
      </c>
    </row>
    <row r="71" spans="1:34" s="20" customFormat="1" ht="15">
      <c r="A71" s="27" t="s">
        <v>142</v>
      </c>
      <c r="B71" s="39"/>
      <c r="C71" s="339">
        <f>C53*Inputs!$H$60</f>
        <v>3413.3220000000001</v>
      </c>
      <c r="D71" s="339">
        <f>D53*Inputs!$H$60</f>
        <v>3729.4290000000005</v>
      </c>
      <c r="E71" s="339">
        <f>E53*Inputs!$H$60</f>
        <v>3126.8878556696641</v>
      </c>
      <c r="F71" s="339">
        <f>F53*Inputs!$H$60</f>
        <v>2543.6213726524174</v>
      </c>
      <c r="G71" s="339">
        <f>G53*Inputs!$H$60</f>
        <v>2607.7879139865126</v>
      </c>
      <c r="H71" s="19">
        <f>H53*Inputs!$H$60</f>
        <v>2967.2297880322817</v>
      </c>
      <c r="I71" s="19">
        <f>I53*Inputs!$H$60</f>
        <v>2743.3943914809111</v>
      </c>
      <c r="J71" s="19">
        <f>J53*Inputs!$H$60</f>
        <v>2547.5027805550558</v>
      </c>
      <c r="K71" s="19">
        <f>K53*Inputs!$H$60</f>
        <v>2777.1638891842572</v>
      </c>
      <c r="L71" s="19">
        <f>L53*Inputs!$H$60</f>
        <v>3022.7839130941184</v>
      </c>
      <c r="M71" s="19">
        <f>M53*Inputs!$H$60</f>
        <v>3057.6133428889298</v>
      </c>
      <c r="N71" s="191">
        <f>N53*Inputs!$H$60</f>
        <v>2988.2545455944137</v>
      </c>
      <c r="O71" s="19">
        <f>O53*Inputs!$H$60</f>
        <v>3023.6161277527267</v>
      </c>
      <c r="P71" s="19">
        <f>P53*Inputs!$H$60</f>
        <v>3066.1310798192071</v>
      </c>
      <c r="Q71" s="19">
        <f>Q53*Inputs!$H$60</f>
        <v>3083.4150345855692</v>
      </c>
      <c r="R71" s="19">
        <f>R53*Inputs!$H$60</f>
        <v>3123.0056360801882</v>
      </c>
      <c r="S71" s="19">
        <f>S53*Inputs!$H$60</f>
        <v>3153.1124362082105</v>
      </c>
      <c r="T71" s="19">
        <f>T53*Inputs!$H$60</f>
        <v>3152.8625413963</v>
      </c>
      <c r="U71" s="19">
        <f>U53*Inputs!$H$60</f>
        <v>3165.3799306729065</v>
      </c>
      <c r="V71" s="19">
        <f>V53*Inputs!$H$60</f>
        <v>3162.6176032670255</v>
      </c>
      <c r="W71" s="19">
        <f>W53*Inputs!$H$60</f>
        <v>3172.8273406835192</v>
      </c>
      <c r="X71" s="183">
        <f>X53*Inputs!$H$60</f>
        <v>3180.1330982494105</v>
      </c>
      <c r="Y71" s="19">
        <f>Y53*Inputs!$H$60</f>
        <v>3179.9768878085201</v>
      </c>
      <c r="Z71" s="19">
        <f>Z53*Inputs!$H$60</f>
        <v>3187.2534770151833</v>
      </c>
      <c r="AA71" s="19">
        <f>AA53*Inputs!$H$60</f>
        <v>3189.9163335084017</v>
      </c>
      <c r="AB71" s="19">
        <f>AB53*Inputs!$H$60</f>
        <v>3194.3540872789654</v>
      </c>
      <c r="AC71" s="19">
        <f>AC53*Inputs!$H$60</f>
        <v>3193.4421702096847</v>
      </c>
      <c r="AD71" s="19">
        <f>AD53*Inputs!$H$60</f>
        <v>3196.3473283153744</v>
      </c>
      <c r="AE71" s="19">
        <f>AE53*Inputs!$H$60</f>
        <v>3194.2925561800566</v>
      </c>
      <c r="AF71" s="19">
        <f>AF53*Inputs!$H$60</f>
        <v>3195.7700095069285</v>
      </c>
      <c r="AG71" s="19">
        <f>AG53*Inputs!$H$60</f>
        <v>3194.9933299380159</v>
      </c>
      <c r="AH71" s="19">
        <f>AH53*Inputs!$H$60</f>
        <v>3193.0396520890331</v>
      </c>
    </row>
    <row r="72" spans="1:34" s="20" customFormat="1" ht="15">
      <c r="A72" s="27" t="s">
        <v>222</v>
      </c>
      <c r="B72" s="39"/>
      <c r="C72" s="339">
        <f>C54*Inputs!$H$61</f>
        <v>968.22</v>
      </c>
      <c r="D72" s="339">
        <f>D54*Inputs!$H$61</f>
        <v>1081.7730000000001</v>
      </c>
      <c r="E72" s="339">
        <f>E54*Inputs!$H$61</f>
        <v>1344.9297999041767</v>
      </c>
      <c r="F72" s="339">
        <f>F54*Inputs!$H$61</f>
        <v>1856.5455333167097</v>
      </c>
      <c r="G72" s="339">
        <f>G54*Inputs!$H$61</f>
        <v>1582.4425302642371</v>
      </c>
      <c r="H72" s="19">
        <f>H54*Inputs!$H$61</f>
        <v>1421.1024284790149</v>
      </c>
      <c r="I72" s="19">
        <f>I54*Inputs!$H$61</f>
        <v>1783.1462806177271</v>
      </c>
      <c r="J72" s="19">
        <f>J54*Inputs!$H$61</f>
        <v>1941.4868994613109</v>
      </c>
      <c r="K72" s="19">
        <f>K54*Inputs!$H$61</f>
        <v>1913.7934884863923</v>
      </c>
      <c r="L72" s="19">
        <f>L54*Inputs!$H$61</f>
        <v>1642.3212566136112</v>
      </c>
      <c r="M72" s="19">
        <f>M54*Inputs!$H$61</f>
        <v>1572.5527941144194</v>
      </c>
      <c r="N72" s="191">
        <f>N54*Inputs!$H$61</f>
        <v>1713.7798287627907</v>
      </c>
      <c r="O72" s="19">
        <f>O54*Inputs!$H$61</f>
        <v>1709.9318622319361</v>
      </c>
      <c r="P72" s="19">
        <f>P54*Inputs!$H$61</f>
        <v>1849.0226970311326</v>
      </c>
      <c r="Q72" s="19">
        <f>Q54*Inputs!$H$61</f>
        <v>1882.2598615825359</v>
      </c>
      <c r="R72" s="19">
        <f>R54*Inputs!$H$61</f>
        <v>2006.2242325568582</v>
      </c>
      <c r="S72" s="19">
        <f>S54*Inputs!$H$61</f>
        <v>2073.4284578500119</v>
      </c>
      <c r="T72" s="19">
        <f>T54*Inputs!$H$61</f>
        <v>2127.3605906961361</v>
      </c>
      <c r="U72" s="19">
        <f>U54*Inputs!$H$61</f>
        <v>2360.9287112174961</v>
      </c>
      <c r="V72" s="19">
        <f>V54*Inputs!$H$61</f>
        <v>2435.0773482458003</v>
      </c>
      <c r="W72" s="19">
        <f>W54*Inputs!$H$61</f>
        <v>2574.8573168104499</v>
      </c>
      <c r="X72" s="183">
        <f>X54*Inputs!$H$61</f>
        <v>2686.4820278333132</v>
      </c>
      <c r="Y72" s="19">
        <f>Y54*Inputs!$H$61</f>
        <v>2670.542548194248</v>
      </c>
      <c r="Z72" s="19">
        <f>Z54*Inputs!$H$61</f>
        <v>2700.8567789587423</v>
      </c>
      <c r="AA72" s="19">
        <f>AA54*Inputs!$H$61</f>
        <v>2771.7434013401662</v>
      </c>
      <c r="AB72" s="19">
        <f>AB54*Inputs!$H$61</f>
        <v>2887.0924520089952</v>
      </c>
      <c r="AC72" s="19">
        <f>AC54*Inputs!$H$61</f>
        <v>2912.9221143346144</v>
      </c>
      <c r="AD72" s="19">
        <f>AD54*Inputs!$H$61</f>
        <v>2959.631611163627</v>
      </c>
      <c r="AE72" s="19">
        <f>AE54*Inputs!$H$61</f>
        <v>3022.3562437129631</v>
      </c>
      <c r="AF72" s="19">
        <f>AF54*Inputs!$H$61</f>
        <v>3068.0169214357361</v>
      </c>
      <c r="AG72" s="19">
        <f>AG54*Inputs!$H$61</f>
        <v>3234.5831615962775</v>
      </c>
      <c r="AH72" s="19">
        <f>AH54*Inputs!$H$61</f>
        <v>3372.9252180802928</v>
      </c>
    </row>
    <row r="73" spans="1:34" ht="15">
      <c r="A73" s="27" t="s">
        <v>58</v>
      </c>
      <c r="C73" s="336">
        <f>SUM(C70:C72)</f>
        <v>11590.237080000001</v>
      </c>
      <c r="D73" s="336">
        <f t="shared" ref="D73:AH73" si="27">SUM(D70:D72)</f>
        <v>12029.374080000001</v>
      </c>
      <c r="E73" s="336">
        <f t="shared" si="27"/>
        <v>11587.895041758396</v>
      </c>
      <c r="F73" s="336">
        <f t="shared" si="27"/>
        <v>11541.406159340222</v>
      </c>
      <c r="G73" s="336">
        <f t="shared" si="27"/>
        <v>11401.367749438918</v>
      </c>
      <c r="H73" s="14">
        <f t="shared" si="27"/>
        <v>11625.305977949742</v>
      </c>
      <c r="I73" s="14">
        <f t="shared" si="27"/>
        <v>11952.972675976234</v>
      </c>
      <c r="J73" s="14">
        <f t="shared" si="27"/>
        <v>12215.170187784292</v>
      </c>
      <c r="K73" s="14">
        <f t="shared" si="27"/>
        <v>12666.209307032499</v>
      </c>
      <c r="L73" s="14">
        <f t="shared" si="27"/>
        <v>12966.983687865568</v>
      </c>
      <c r="M73" s="14">
        <f t="shared" si="27"/>
        <v>13270.585752615752</v>
      </c>
      <c r="N73" s="191">
        <f t="shared" si="27"/>
        <v>13589.404694048009</v>
      </c>
      <c r="O73" s="14">
        <f t="shared" si="27"/>
        <v>13906.393465035388</v>
      </c>
      <c r="P73" s="14">
        <f t="shared" si="27"/>
        <v>14110.114034246608</v>
      </c>
      <c r="Q73" s="14">
        <f t="shared" si="27"/>
        <v>14204.987925004105</v>
      </c>
      <c r="R73" s="14">
        <f t="shared" si="27"/>
        <v>14375.988778867822</v>
      </c>
      <c r="S73" s="14">
        <f t="shared" si="27"/>
        <v>14484.533175028968</v>
      </c>
      <c r="T73" s="14">
        <f t="shared" si="27"/>
        <v>14539.47502858909</v>
      </c>
      <c r="U73" s="14">
        <f t="shared" si="27"/>
        <v>14775.169778383141</v>
      </c>
      <c r="V73" s="14">
        <f t="shared" si="27"/>
        <v>14852.153170377538</v>
      </c>
      <c r="W73" s="14">
        <f t="shared" si="27"/>
        <v>15006.518477020041</v>
      </c>
      <c r="X73" s="188">
        <f t="shared" si="27"/>
        <v>15115.056919228131</v>
      </c>
      <c r="Y73" s="14">
        <f t="shared" si="27"/>
        <v>15105.861327294981</v>
      </c>
      <c r="Z73" s="14">
        <f t="shared" si="27"/>
        <v>15143.311619011954</v>
      </c>
      <c r="AA73" s="14">
        <f t="shared" si="27"/>
        <v>15219.10913318046</v>
      </c>
      <c r="AB73" s="14">
        <f t="shared" si="27"/>
        <v>15347.337632554154</v>
      </c>
      <c r="AC73" s="14">
        <f t="shared" si="27"/>
        <v>15377.782329810776</v>
      </c>
      <c r="AD73" s="14">
        <f t="shared" si="27"/>
        <v>15473.425364368508</v>
      </c>
      <c r="AE73" s="14">
        <f t="shared" si="27"/>
        <v>15549.6194142883</v>
      </c>
      <c r="AF73" s="14">
        <f t="shared" si="27"/>
        <v>15594.83543333341</v>
      </c>
      <c r="AG73" s="14">
        <f t="shared" si="27"/>
        <v>15809.771866759662</v>
      </c>
      <c r="AH73" s="14">
        <f t="shared" si="27"/>
        <v>15960.671810942193</v>
      </c>
    </row>
    <row r="75" spans="1:34">
      <c r="B75" s="89"/>
      <c r="H75" s="89"/>
      <c r="I75" s="89"/>
      <c r="J75" s="89"/>
      <c r="K75" s="89"/>
      <c r="L75" s="89"/>
      <c r="M75" s="89"/>
      <c r="N75" s="191"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40">
        <f>'backup - EIA liq_fuelS_aeo2014'!E46</f>
        <v>273.77869168296451</v>
      </c>
      <c r="D78" s="340">
        <f>'backup - EIA liq_fuelS_aeo2014'!F46</f>
        <v>330.59007454663532</v>
      </c>
      <c r="E78" s="340">
        <f>'backup - EIA liq_fuelS_aeo2014'!G46</f>
        <v>346.41273999999999</v>
      </c>
      <c r="F78" s="340">
        <f>'backup - EIA liq_fuelS_aeo2014'!H46</f>
        <v>332.23648773503913</v>
      </c>
      <c r="G78" s="340">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6">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7">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5" t="e">
        <f>C78*Inputs!$C58</f>
        <v>#REF!</v>
      </c>
      <c r="D83" s="335" t="e">
        <f>D78*Inputs!$C58</f>
        <v>#REF!</v>
      </c>
      <c r="E83" s="335" t="e">
        <f>E78*Inputs!$C58</f>
        <v>#REF!</v>
      </c>
      <c r="F83" s="335" t="e">
        <f>F78*Inputs!$C58</f>
        <v>#REF!</v>
      </c>
      <c r="G83" s="335" t="e">
        <f>G78*Inputs!$C58</f>
        <v>#REF!</v>
      </c>
      <c r="H83" s="50" t="e">
        <f>H78*Inputs!$C58</f>
        <v>#REF!</v>
      </c>
      <c r="I83" s="50" t="e">
        <f>I78*Inputs!$C58</f>
        <v>#REF!</v>
      </c>
      <c r="J83" s="50" t="e">
        <f>J78*Inputs!$C58</f>
        <v>#REF!</v>
      </c>
      <c r="K83" s="50" t="e">
        <f>K78*Inputs!$C58</f>
        <v>#REF!</v>
      </c>
      <c r="L83" s="50" t="e">
        <f>L78*Inputs!$C58</f>
        <v>#REF!</v>
      </c>
      <c r="M83" s="50" t="e">
        <f>M78*Inputs!$C58</f>
        <v>#REF!</v>
      </c>
      <c r="N83" s="394"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5"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1"/>
  <sheetViews>
    <sheetView tabSelected="1" zoomScale="85" zoomScaleNormal="85" zoomScalePageLayoutView="85" workbookViewId="0">
      <selection sqref="A1:XFD1048576"/>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23" customWidth="1"/>
    <col min="6" max="6" width="9" style="423" customWidth="1"/>
    <col min="7" max="7" width="9.6640625" style="81" customWidth="1"/>
    <col min="8" max="8" width="10.83203125" style="423" customWidth="1"/>
    <col min="9" max="9" width="5.6640625" style="423" bestFit="1" customWidth="1"/>
    <col min="10" max="10" width="9.33203125" style="423" customWidth="1"/>
    <col min="11" max="11" width="6.5" style="423" customWidth="1"/>
    <col min="12" max="12" width="9.6640625" style="423" customWidth="1"/>
    <col min="13" max="13" width="5.6640625" style="423"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33"/>
      <c r="B1" s="533"/>
      <c r="C1" s="533"/>
      <c r="D1" s="533"/>
      <c r="E1" s="533"/>
      <c r="F1" s="533"/>
      <c r="G1" s="533"/>
      <c r="H1" s="533"/>
      <c r="I1" s="533"/>
      <c r="J1" s="533"/>
      <c r="K1" s="533"/>
      <c r="L1" s="533"/>
      <c r="M1" s="533"/>
      <c r="N1" s="533"/>
      <c r="O1" s="533"/>
      <c r="P1" s="533"/>
    </row>
    <row r="2" spans="1:16">
      <c r="A2" s="533"/>
      <c r="B2" s="533"/>
      <c r="C2" s="533"/>
      <c r="D2" s="533"/>
      <c r="E2" s="533"/>
      <c r="F2" s="533"/>
      <c r="G2" s="533"/>
      <c r="H2" s="533"/>
      <c r="I2" s="533"/>
      <c r="J2" s="533"/>
      <c r="K2" s="533"/>
      <c r="L2" s="533"/>
      <c r="M2" s="533"/>
      <c r="N2" s="533"/>
      <c r="O2" s="533"/>
      <c r="P2" s="533"/>
    </row>
    <row r="3" spans="1:16">
      <c r="A3" s="533"/>
      <c r="B3" s="533"/>
      <c r="C3" s="533"/>
      <c r="D3" s="533"/>
      <c r="E3" s="533"/>
      <c r="F3" s="533"/>
      <c r="G3" s="533"/>
      <c r="H3" s="533"/>
      <c r="I3" s="533"/>
      <c r="J3" s="533"/>
      <c r="K3" s="533"/>
      <c r="L3" s="533"/>
      <c r="M3" s="533"/>
      <c r="N3" s="533"/>
      <c r="O3" s="533"/>
      <c r="P3" s="533"/>
    </row>
    <row r="4" spans="1:16">
      <c r="A4" s="533"/>
      <c r="B4" s="533"/>
      <c r="C4" s="533"/>
      <c r="D4" s="533"/>
      <c r="E4" s="533"/>
      <c r="F4" s="533"/>
      <c r="G4" s="533"/>
      <c r="H4" s="533"/>
      <c r="I4" s="533"/>
      <c r="J4" s="533"/>
      <c r="K4" s="533"/>
      <c r="L4" s="533"/>
      <c r="M4" s="533"/>
      <c r="N4" s="533"/>
      <c r="O4" s="533"/>
      <c r="P4" s="533"/>
    </row>
    <row r="5" spans="1:16">
      <c r="A5" s="533"/>
      <c r="B5" s="533"/>
      <c r="C5" s="533"/>
      <c r="D5" s="533"/>
      <c r="E5" s="533"/>
      <c r="F5" s="533"/>
      <c r="G5" s="533"/>
      <c r="H5" s="533"/>
      <c r="I5" s="533"/>
      <c r="J5" s="533"/>
      <c r="K5" s="533"/>
      <c r="L5" s="533"/>
      <c r="M5" s="533"/>
      <c r="N5" s="533"/>
      <c r="O5" s="533"/>
      <c r="P5" s="533"/>
    </row>
    <row r="6" spans="1:16">
      <c r="A6" s="533"/>
      <c r="B6" s="533"/>
      <c r="C6" s="533"/>
      <c r="D6" s="533"/>
      <c r="E6" s="533"/>
      <c r="F6" s="533"/>
      <c r="G6" s="533"/>
      <c r="H6" s="533"/>
      <c r="I6" s="533"/>
      <c r="J6" s="533"/>
      <c r="K6" s="533"/>
      <c r="L6" s="533"/>
      <c r="M6" s="533"/>
      <c r="N6" s="533"/>
      <c r="O6" s="533"/>
      <c r="P6" s="533"/>
    </row>
    <row r="7" spans="1:16">
      <c r="A7" s="533"/>
      <c r="B7" s="533"/>
      <c r="C7" s="533"/>
      <c r="D7" s="533"/>
      <c r="E7" s="533"/>
      <c r="F7" s="533"/>
      <c r="G7" s="533"/>
      <c r="H7" s="533"/>
      <c r="I7" s="533"/>
      <c r="J7" s="533"/>
      <c r="K7" s="533"/>
      <c r="L7" s="533"/>
      <c r="M7" s="533"/>
      <c r="N7" s="533"/>
      <c r="O7" s="533"/>
      <c r="P7" s="533"/>
    </row>
    <row r="8" spans="1:16">
      <c r="A8" s="533"/>
      <c r="B8" s="533"/>
      <c r="C8" s="533"/>
      <c r="D8" s="533"/>
      <c r="E8" s="533"/>
      <c r="F8" s="533"/>
      <c r="G8" s="533"/>
      <c r="H8" s="533"/>
      <c r="I8" s="533"/>
      <c r="J8" s="533"/>
      <c r="K8" s="533"/>
      <c r="L8" s="533"/>
      <c r="M8" s="533"/>
      <c r="N8" s="533"/>
      <c r="O8" s="533"/>
      <c r="P8" s="533"/>
    </row>
    <row r="9" spans="1:16" ht="2.25" customHeight="1">
      <c r="A9" s="533"/>
      <c r="B9" s="533"/>
      <c r="C9" s="533"/>
      <c r="D9" s="533"/>
      <c r="E9" s="533"/>
      <c r="F9" s="533"/>
      <c r="G9" s="533"/>
      <c r="H9" s="533"/>
      <c r="I9" s="533"/>
      <c r="J9" s="533"/>
      <c r="K9" s="533"/>
      <c r="L9" s="533"/>
      <c r="M9" s="533"/>
      <c r="N9" s="533"/>
      <c r="O9" s="533"/>
      <c r="P9" s="533"/>
    </row>
    <row r="10" spans="1:16" hidden="1">
      <c r="A10" s="533"/>
      <c r="B10" s="533"/>
      <c r="C10" s="533"/>
      <c r="D10" s="533"/>
      <c r="E10" s="533"/>
      <c r="F10" s="533"/>
      <c r="G10" s="533"/>
      <c r="H10" s="533"/>
      <c r="I10" s="533"/>
      <c r="J10" s="533"/>
      <c r="K10" s="533"/>
      <c r="L10" s="533"/>
      <c r="M10" s="533"/>
      <c r="N10" s="533"/>
      <c r="O10" s="533"/>
      <c r="P10" s="533"/>
    </row>
    <row r="11" spans="1:16">
      <c r="A11" s="534" t="s">
        <v>212</v>
      </c>
      <c r="B11" s="536">
        <v>2000</v>
      </c>
      <c r="C11" s="538" t="s">
        <v>219</v>
      </c>
      <c r="D11" s="538" t="s">
        <v>555</v>
      </c>
      <c r="E11" s="541" t="s">
        <v>213</v>
      </c>
      <c r="F11" s="542"/>
      <c r="G11" s="536"/>
      <c r="H11" s="545" t="s">
        <v>556</v>
      </c>
      <c r="I11" s="546"/>
      <c r="J11" s="546"/>
      <c r="K11" s="546"/>
      <c r="L11" s="546"/>
      <c r="M11" s="546"/>
      <c r="N11" s="546"/>
      <c r="O11" s="547"/>
    </row>
    <row r="12" spans="1:16">
      <c r="A12" s="535"/>
      <c r="B12" s="537"/>
      <c r="C12" s="539"/>
      <c r="D12" s="539"/>
      <c r="E12" s="543"/>
      <c r="F12" s="544"/>
      <c r="G12" s="537"/>
      <c r="H12" s="544" t="s">
        <v>214</v>
      </c>
      <c r="I12" s="537"/>
      <c r="J12" s="543" t="s">
        <v>215</v>
      </c>
      <c r="K12" s="537"/>
      <c r="L12" s="543" t="s">
        <v>216</v>
      </c>
      <c r="M12" s="544"/>
      <c r="N12" s="544"/>
      <c r="O12" s="537"/>
    </row>
    <row r="13" spans="1:16" ht="67" thickBot="1">
      <c r="A13" s="212" t="s">
        <v>217</v>
      </c>
      <c r="B13" s="212" t="s">
        <v>218</v>
      </c>
      <c r="C13" s="540"/>
      <c r="D13" s="540"/>
      <c r="E13" s="417" t="s">
        <v>557</v>
      </c>
      <c r="F13" s="441" t="s">
        <v>558</v>
      </c>
      <c r="G13" s="213" t="s">
        <v>308</v>
      </c>
      <c r="H13" s="429" t="s">
        <v>359</v>
      </c>
      <c r="I13" s="441" t="s">
        <v>559</v>
      </c>
      <c r="J13" s="417" t="s">
        <v>359</v>
      </c>
      <c r="K13" s="441" t="s">
        <v>559</v>
      </c>
      <c r="L13" s="417" t="s">
        <v>359</v>
      </c>
      <c r="M13" s="441" t="s">
        <v>559</v>
      </c>
      <c r="N13" s="213" t="s">
        <v>58</v>
      </c>
      <c r="O13" s="213" t="s">
        <v>560</v>
      </c>
    </row>
    <row r="14" spans="1:16" ht="13" thickTop="1">
      <c r="A14" s="449" t="s">
        <v>561</v>
      </c>
      <c r="B14" s="449" t="s">
        <v>562</v>
      </c>
      <c r="C14" s="450">
        <v>0.85</v>
      </c>
      <c r="D14" s="451">
        <v>40</v>
      </c>
      <c r="E14" s="439">
        <v>4.29</v>
      </c>
      <c r="F14" s="452">
        <v>1.53</v>
      </c>
      <c r="G14" s="440">
        <v>0</v>
      </c>
      <c r="H14" s="453">
        <f t="shared" ref="H14:H32" si="0">E14/D14</f>
        <v>0.10725</v>
      </c>
      <c r="I14" s="440">
        <f t="shared" ref="I14:I32" si="1">F14+G14*8760/1000*C14</f>
        <v>1.53</v>
      </c>
      <c r="J14" s="454">
        <f t="shared" ref="J14:J32" si="2">H14/C14</f>
        <v>0.12617647058823531</v>
      </c>
      <c r="K14" s="440">
        <f t="shared" ref="K14:K32" si="3">I14/C14</f>
        <v>1.8</v>
      </c>
      <c r="L14" s="454">
        <f t="shared" ref="L14:M31" si="4">J14/8760*1000</f>
        <v>1.4403706688154716E-2</v>
      </c>
      <c r="M14" s="440">
        <f t="shared" si="4"/>
        <v>0.20547945205479454</v>
      </c>
      <c r="N14" s="455">
        <f t="shared" ref="N14:N32" si="5">SUM(L14:M14)</f>
        <v>0.21988315874294925</v>
      </c>
      <c r="O14" s="556">
        <f>AVERAGE(N14:N15)</f>
        <v>0.20532702121944668</v>
      </c>
    </row>
    <row r="15" spans="1:16" ht="13" thickBot="1">
      <c r="A15" s="224" t="s">
        <v>563</v>
      </c>
      <c r="B15" s="224" t="s">
        <v>564</v>
      </c>
      <c r="C15" s="225">
        <v>0.85</v>
      </c>
      <c r="D15" s="226">
        <v>40</v>
      </c>
      <c r="E15" s="227">
        <v>8.5</v>
      </c>
      <c r="F15" s="438">
        <v>0.24</v>
      </c>
      <c r="G15" s="528">
        <v>0.13</v>
      </c>
      <c r="H15" s="420">
        <f t="shared" si="0"/>
        <v>0.21249999999999999</v>
      </c>
      <c r="I15" s="528">
        <f t="shared" si="1"/>
        <v>1.2079800000000001</v>
      </c>
      <c r="J15" s="433">
        <f t="shared" si="2"/>
        <v>0.25</v>
      </c>
      <c r="K15" s="528">
        <f t="shared" si="3"/>
        <v>1.4211529411764707</v>
      </c>
      <c r="L15" s="433">
        <f t="shared" si="4"/>
        <v>2.8538812785388126E-2</v>
      </c>
      <c r="M15" s="528">
        <f t="shared" si="4"/>
        <v>0.16223207091055603</v>
      </c>
      <c r="N15" s="425">
        <f t="shared" si="5"/>
        <v>0.19077088369594414</v>
      </c>
      <c r="O15" s="557"/>
    </row>
    <row r="16" spans="1:16">
      <c r="A16" s="228" t="s">
        <v>565</v>
      </c>
      <c r="B16" s="228" t="s">
        <v>566</v>
      </c>
      <c r="C16" s="229">
        <v>0.9</v>
      </c>
      <c r="D16" s="230">
        <v>40</v>
      </c>
      <c r="E16" s="231">
        <f>36000/5600</f>
        <v>6.4285714285714288</v>
      </c>
      <c r="F16" s="470">
        <f>10000/5600</f>
        <v>1.7857142857142858</v>
      </c>
      <c r="G16" s="231">
        <v>0</v>
      </c>
      <c r="H16" s="418">
        <f t="shared" si="0"/>
        <v>0.16071428571428573</v>
      </c>
      <c r="I16" s="529">
        <f t="shared" si="1"/>
        <v>1.7857142857142858</v>
      </c>
      <c r="J16" s="434">
        <f t="shared" si="2"/>
        <v>0.17857142857142858</v>
      </c>
      <c r="K16" s="529">
        <f t="shared" si="3"/>
        <v>1.9841269841269842</v>
      </c>
      <c r="L16" s="434">
        <f t="shared" si="4"/>
        <v>2.0384866275277233E-2</v>
      </c>
      <c r="M16" s="529">
        <f t="shared" si="4"/>
        <v>0.22649851416974706</v>
      </c>
      <c r="N16" s="427">
        <f t="shared" si="5"/>
        <v>0.24688338044502428</v>
      </c>
      <c r="O16" s="558">
        <f>AVERAGE(N16:N18)</f>
        <v>0.24750247638375492</v>
      </c>
    </row>
    <row r="17" spans="1:15">
      <c r="A17" s="218" t="s">
        <v>567</v>
      </c>
      <c r="B17" s="218" t="s">
        <v>312</v>
      </c>
      <c r="C17" s="219">
        <v>0.9</v>
      </c>
      <c r="D17" s="220">
        <v>40</v>
      </c>
      <c r="E17" s="217">
        <v>17.5</v>
      </c>
      <c r="F17" s="527">
        <v>1.7</v>
      </c>
      <c r="G17" s="217">
        <v>0</v>
      </c>
      <c r="H17" s="526">
        <f>E17/D17</f>
        <v>0.4375</v>
      </c>
      <c r="I17" s="530">
        <f>F17+G17*8760/1000*C17</f>
        <v>1.7</v>
      </c>
      <c r="J17" s="435">
        <f>H17/C17</f>
        <v>0.4861111111111111</v>
      </c>
      <c r="K17" s="530">
        <f>I17/C17</f>
        <v>1.8888888888888888</v>
      </c>
      <c r="L17" s="435">
        <f t="shared" si="4"/>
        <v>5.5492135971588023E-2</v>
      </c>
      <c r="M17" s="530">
        <f t="shared" si="4"/>
        <v>0.21562658548959918</v>
      </c>
      <c r="N17" s="426">
        <f>SUM(L17:M17)</f>
        <v>0.27111872146118721</v>
      </c>
      <c r="O17" s="559"/>
    </row>
    <row r="18" spans="1:15" ht="13" thickBot="1">
      <c r="A18" s="457" t="s">
        <v>568</v>
      </c>
      <c r="B18" s="457" t="s">
        <v>562</v>
      </c>
      <c r="C18" s="458">
        <v>0.9</v>
      </c>
      <c r="D18" s="459">
        <v>40</v>
      </c>
      <c r="E18" s="444">
        <v>4</v>
      </c>
      <c r="F18" s="456">
        <v>1.67</v>
      </c>
      <c r="G18" s="444">
        <v>0</v>
      </c>
      <c r="H18" s="460">
        <f>E18/D18</f>
        <v>0.1</v>
      </c>
      <c r="I18" s="445">
        <f>F18+G18*8760/1000*C18</f>
        <v>1.67</v>
      </c>
      <c r="J18" s="447">
        <f>H18/C18</f>
        <v>0.11111111111111112</v>
      </c>
      <c r="K18" s="445">
        <f>I18/C18</f>
        <v>1.8555555555555554</v>
      </c>
      <c r="L18" s="447">
        <f t="shared" si="4"/>
        <v>1.2683916793505836E-2</v>
      </c>
      <c r="M18" s="445">
        <f t="shared" si="4"/>
        <v>0.21182141045154743</v>
      </c>
      <c r="N18" s="448">
        <f>SUM(L18:M18)</f>
        <v>0.22450532724505326</v>
      </c>
      <c r="O18" s="557"/>
    </row>
    <row r="19" spans="1:15">
      <c r="A19" s="228" t="s">
        <v>569</v>
      </c>
      <c r="B19" s="228" t="s">
        <v>312</v>
      </c>
      <c r="C19" s="229">
        <v>0.85</v>
      </c>
      <c r="D19" s="230">
        <v>40</v>
      </c>
      <c r="E19" s="231">
        <v>21.3</v>
      </c>
      <c r="F19" s="470">
        <v>7.8</v>
      </c>
      <c r="G19" s="231">
        <v>0</v>
      </c>
      <c r="H19" s="418">
        <f>E19/D19</f>
        <v>0.53249999999999997</v>
      </c>
      <c r="I19" s="529">
        <f>F19+G19*8760/1000*C19</f>
        <v>7.8</v>
      </c>
      <c r="J19" s="434">
        <f>H19/C19</f>
        <v>0.62647058823529411</v>
      </c>
      <c r="K19" s="529">
        <f>I19/C19</f>
        <v>9.1764705882352935</v>
      </c>
      <c r="L19" s="434">
        <f t="shared" si="4"/>
        <v>7.1514907332796127E-2</v>
      </c>
      <c r="M19" s="529">
        <f t="shared" si="4"/>
        <v>1.0475423045930701</v>
      </c>
      <c r="N19" s="427">
        <f>SUM(L19:M19)</f>
        <v>1.1190572119258662</v>
      </c>
      <c r="O19" s="558">
        <f>AVERAGE(N19:N20)</f>
        <v>0.71885911899006172</v>
      </c>
    </row>
    <row r="20" spans="1:15" ht="13" thickBot="1">
      <c r="A20" s="457" t="s">
        <v>570</v>
      </c>
      <c r="B20" s="457" t="s">
        <v>562</v>
      </c>
      <c r="C20" s="458">
        <v>0.85</v>
      </c>
      <c r="D20" s="459">
        <v>40</v>
      </c>
      <c r="E20" s="444">
        <v>3.71</v>
      </c>
      <c r="F20" s="456">
        <v>2.2799999999999998</v>
      </c>
      <c r="G20" s="444">
        <v>0</v>
      </c>
      <c r="H20" s="460">
        <f t="shared" si="0"/>
        <v>9.2749999999999999E-2</v>
      </c>
      <c r="I20" s="445">
        <f t="shared" si="1"/>
        <v>2.2799999999999998</v>
      </c>
      <c r="J20" s="447">
        <f t="shared" si="2"/>
        <v>0.10911764705882353</v>
      </c>
      <c r="K20" s="445">
        <f t="shared" si="3"/>
        <v>2.6823529411764704</v>
      </c>
      <c r="L20" s="447">
        <f t="shared" si="4"/>
        <v>1.2456352403975288E-2</v>
      </c>
      <c r="M20" s="445">
        <f t="shared" si="4"/>
        <v>0.30620467365028203</v>
      </c>
      <c r="N20" s="448">
        <f t="shared" si="5"/>
        <v>0.31866102605425733</v>
      </c>
      <c r="O20" s="557"/>
    </row>
    <row r="21" spans="1:15" ht="13" thickBot="1">
      <c r="A21" s="232" t="s">
        <v>571</v>
      </c>
      <c r="B21" s="232" t="s">
        <v>562</v>
      </c>
      <c r="C21" s="233">
        <v>0.55000000000000004</v>
      </c>
      <c r="D21" s="234">
        <v>40</v>
      </c>
      <c r="E21" s="235">
        <v>5.71</v>
      </c>
      <c r="F21" s="468">
        <v>1.1399999999999999</v>
      </c>
      <c r="G21" s="235">
        <v>0</v>
      </c>
      <c r="H21" s="419">
        <f t="shared" si="0"/>
        <v>0.14274999999999999</v>
      </c>
      <c r="I21" s="236">
        <f t="shared" si="1"/>
        <v>1.1399999999999999</v>
      </c>
      <c r="J21" s="436">
        <f t="shared" si="2"/>
        <v>0.25954545454545452</v>
      </c>
      <c r="K21" s="236">
        <f t="shared" si="3"/>
        <v>2.0727272727272723</v>
      </c>
      <c r="L21" s="436">
        <f t="shared" si="4"/>
        <v>2.9628476546284761E-2</v>
      </c>
      <c r="M21" s="236">
        <f t="shared" si="4"/>
        <v>0.236612702366127</v>
      </c>
      <c r="N21" s="428">
        <f t="shared" si="5"/>
        <v>0.26624117891241178</v>
      </c>
      <c r="O21" s="236">
        <f>N21</f>
        <v>0.26624117891241178</v>
      </c>
    </row>
    <row r="22" spans="1:15">
      <c r="A22" s="237" t="s">
        <v>309</v>
      </c>
      <c r="B22" s="237" t="s">
        <v>572</v>
      </c>
      <c r="C22" s="238">
        <v>0.2</v>
      </c>
      <c r="D22" s="239">
        <v>25</v>
      </c>
      <c r="E22" s="240">
        <v>37</v>
      </c>
      <c r="F22" s="474">
        <v>1</v>
      </c>
      <c r="G22" s="240">
        <v>0</v>
      </c>
      <c r="H22" s="430">
        <f>E22/D22</f>
        <v>1.48</v>
      </c>
      <c r="I22" s="531">
        <f>F22+G22*8760/1000*C22</f>
        <v>1</v>
      </c>
      <c r="J22" s="437">
        <f>H22/C22</f>
        <v>7.3999999999999995</v>
      </c>
      <c r="K22" s="531">
        <f>I22/C22</f>
        <v>5</v>
      </c>
      <c r="L22" s="437">
        <f>J22/8760*1000</f>
        <v>0.84474885844748848</v>
      </c>
      <c r="M22" s="531">
        <f>K22/8760*1000</f>
        <v>0.57077625570776247</v>
      </c>
      <c r="N22" s="432">
        <f>SUM(L22:M22)</f>
        <v>1.415525114155251</v>
      </c>
      <c r="O22" s="563">
        <f>N39</f>
        <v>0.79313246811604099</v>
      </c>
    </row>
    <row r="23" spans="1:15">
      <c r="A23" s="461" t="s">
        <v>310</v>
      </c>
      <c r="B23" s="461" t="s">
        <v>221</v>
      </c>
      <c r="C23" s="462">
        <v>0.2</v>
      </c>
      <c r="D23" s="463">
        <v>25</v>
      </c>
      <c r="E23" s="464">
        <v>32.340000000000003</v>
      </c>
      <c r="F23" s="473">
        <v>0.37</v>
      </c>
      <c r="G23" s="464">
        <v>0</v>
      </c>
      <c r="H23" s="465">
        <f t="shared" si="0"/>
        <v>1.2936000000000001</v>
      </c>
      <c r="I23" s="525">
        <f t="shared" si="1"/>
        <v>0.37</v>
      </c>
      <c r="J23" s="466">
        <f t="shared" si="2"/>
        <v>6.468</v>
      </c>
      <c r="K23" s="525">
        <f t="shared" si="3"/>
        <v>1.8499999999999999</v>
      </c>
      <c r="L23" s="466">
        <f t="shared" si="4"/>
        <v>0.73835616438356166</v>
      </c>
      <c r="M23" s="525">
        <f t="shared" si="4"/>
        <v>0.21118721461187212</v>
      </c>
      <c r="N23" s="467">
        <f t="shared" si="5"/>
        <v>0.94954337899543373</v>
      </c>
      <c r="O23" s="564"/>
    </row>
    <row r="24" spans="1:15" ht="13" thickBot="1">
      <c r="A24" s="457" t="s">
        <v>311</v>
      </c>
      <c r="B24" s="457" t="s">
        <v>562</v>
      </c>
      <c r="C24" s="458">
        <v>0.2</v>
      </c>
      <c r="D24" s="457">
        <v>25</v>
      </c>
      <c r="E24" s="444">
        <v>7.14</v>
      </c>
      <c r="F24" s="456">
        <v>0.12</v>
      </c>
      <c r="G24" s="471">
        <v>0</v>
      </c>
      <c r="H24" s="460">
        <f t="shared" si="0"/>
        <v>0.28559999999999997</v>
      </c>
      <c r="I24" s="444">
        <f t="shared" si="1"/>
        <v>0.12</v>
      </c>
      <c r="J24" s="456">
        <f t="shared" si="2"/>
        <v>1.4279999999999997</v>
      </c>
      <c r="K24" s="444">
        <f t="shared" si="3"/>
        <v>0.6</v>
      </c>
      <c r="L24" s="456">
        <f t="shared" si="4"/>
        <v>0.16301369863013696</v>
      </c>
      <c r="M24" s="444">
        <f t="shared" si="4"/>
        <v>6.8493150684931503E-2</v>
      </c>
      <c r="N24" s="472">
        <f t="shared" si="5"/>
        <v>0.23150684931506846</v>
      </c>
      <c r="O24" s="565"/>
    </row>
    <row r="25" spans="1:15">
      <c r="A25" s="228" t="s">
        <v>433</v>
      </c>
      <c r="B25" s="228" t="s">
        <v>437</v>
      </c>
      <c r="C25" s="241">
        <v>0.4</v>
      </c>
      <c r="D25" s="230">
        <v>25</v>
      </c>
      <c r="E25" s="231">
        <f>10310/1000</f>
        <v>10.31</v>
      </c>
      <c r="F25" s="470">
        <v>1</v>
      </c>
      <c r="G25" s="231">
        <v>0</v>
      </c>
      <c r="H25" s="430">
        <f t="shared" si="0"/>
        <v>0.41240000000000004</v>
      </c>
      <c r="I25" s="531">
        <f t="shared" si="1"/>
        <v>1</v>
      </c>
      <c r="J25" s="437">
        <f t="shared" si="2"/>
        <v>1.0310000000000001</v>
      </c>
      <c r="K25" s="531">
        <f t="shared" si="3"/>
        <v>2.5</v>
      </c>
      <c r="L25" s="437">
        <f t="shared" si="4"/>
        <v>0.11769406392694066</v>
      </c>
      <c r="M25" s="531">
        <f t="shared" si="4"/>
        <v>0.28538812785388123</v>
      </c>
      <c r="N25" s="432">
        <f t="shared" si="5"/>
        <v>0.40308219178082189</v>
      </c>
      <c r="O25" s="558">
        <f>AVERAGE(N25:N26,N27)</f>
        <v>0.23028919330289191</v>
      </c>
    </row>
    <row r="26" spans="1:15">
      <c r="A26" s="215" t="s">
        <v>434</v>
      </c>
      <c r="B26" s="215" t="s">
        <v>436</v>
      </c>
      <c r="C26" s="221">
        <v>0.4</v>
      </c>
      <c r="D26" s="216">
        <v>25</v>
      </c>
      <c r="E26" s="217">
        <v>4.5</v>
      </c>
      <c r="F26" s="527">
        <v>0.38</v>
      </c>
      <c r="G26" s="530">
        <v>0</v>
      </c>
      <c r="H26" s="421">
        <f t="shared" si="0"/>
        <v>0.18</v>
      </c>
      <c r="I26" s="530">
        <f t="shared" si="1"/>
        <v>0.38</v>
      </c>
      <c r="J26" s="435">
        <f t="shared" si="2"/>
        <v>0.44999999999999996</v>
      </c>
      <c r="K26" s="530">
        <f t="shared" si="3"/>
        <v>0.95</v>
      </c>
      <c r="L26" s="435">
        <f t="shared" si="4"/>
        <v>5.1369863013698627E-2</v>
      </c>
      <c r="M26" s="530">
        <f t="shared" si="4"/>
        <v>0.10844748858447488</v>
      </c>
      <c r="N26" s="426">
        <f t="shared" si="5"/>
        <v>0.15981735159817351</v>
      </c>
      <c r="O26" s="559"/>
    </row>
    <row r="27" spans="1:15" ht="13" thickBot="1">
      <c r="A27" s="442" t="s">
        <v>435</v>
      </c>
      <c r="B27" s="442" t="s">
        <v>562</v>
      </c>
      <c r="C27" s="469">
        <v>0.4</v>
      </c>
      <c r="D27" s="442">
        <v>25</v>
      </c>
      <c r="E27" s="445">
        <v>5.71</v>
      </c>
      <c r="F27" s="447">
        <v>0.22</v>
      </c>
      <c r="G27" s="471">
        <v>0</v>
      </c>
      <c r="H27" s="446">
        <f t="shared" si="0"/>
        <v>0.22839999999999999</v>
      </c>
      <c r="I27" s="445">
        <f t="shared" si="1"/>
        <v>0.22</v>
      </c>
      <c r="J27" s="447">
        <f t="shared" si="2"/>
        <v>0.57099999999999995</v>
      </c>
      <c r="K27" s="445">
        <f t="shared" si="3"/>
        <v>0.54999999999999993</v>
      </c>
      <c r="L27" s="447">
        <f t="shared" si="4"/>
        <v>6.5182648401826485E-2</v>
      </c>
      <c r="M27" s="445">
        <f t="shared" si="4"/>
        <v>6.2785388127853878E-2</v>
      </c>
      <c r="N27" s="448">
        <f t="shared" si="5"/>
        <v>0.12796803652968036</v>
      </c>
      <c r="O27" s="557"/>
    </row>
    <row r="28" spans="1:15">
      <c r="A28" s="242" t="s">
        <v>573</v>
      </c>
      <c r="B28" s="242" t="s">
        <v>361</v>
      </c>
      <c r="C28" s="241">
        <v>0.35</v>
      </c>
      <c r="D28" s="230">
        <v>25</v>
      </c>
      <c r="E28" s="231">
        <v>10.1</v>
      </c>
      <c r="F28" s="470">
        <v>0.4</v>
      </c>
      <c r="G28" s="529">
        <v>0</v>
      </c>
      <c r="H28" s="431">
        <f t="shared" si="0"/>
        <v>0.40399999999999997</v>
      </c>
      <c r="I28" s="529">
        <f t="shared" si="1"/>
        <v>0.4</v>
      </c>
      <c r="J28" s="434">
        <f t="shared" si="2"/>
        <v>1.1542857142857144</v>
      </c>
      <c r="K28" s="529">
        <f t="shared" si="3"/>
        <v>1.142857142857143</v>
      </c>
      <c r="L28" s="434">
        <f t="shared" si="4"/>
        <v>0.13176777560339206</v>
      </c>
      <c r="M28" s="529">
        <f t="shared" si="4"/>
        <v>0.13046314416177432</v>
      </c>
      <c r="N28" s="427">
        <f t="shared" si="5"/>
        <v>0.26223091976516638</v>
      </c>
      <c r="O28" s="558">
        <f>AVERAGE(N28,N29,N30:N32)</f>
        <v>0.16974559686888452</v>
      </c>
    </row>
    <row r="29" spans="1:15">
      <c r="A29" s="215" t="s">
        <v>220</v>
      </c>
      <c r="B29" s="215" t="s">
        <v>221</v>
      </c>
      <c r="C29" s="221">
        <v>0.35</v>
      </c>
      <c r="D29" s="220">
        <v>25</v>
      </c>
      <c r="E29" s="217">
        <v>3.8</v>
      </c>
      <c r="F29" s="527">
        <v>0.14399999999999999</v>
      </c>
      <c r="G29" s="530">
        <v>0</v>
      </c>
      <c r="H29" s="421">
        <f t="shared" si="0"/>
        <v>0.152</v>
      </c>
      <c r="I29" s="530">
        <f t="shared" si="1"/>
        <v>0.14399999999999999</v>
      </c>
      <c r="J29" s="435">
        <f t="shared" si="2"/>
        <v>0.43428571428571427</v>
      </c>
      <c r="K29" s="530">
        <f t="shared" si="3"/>
        <v>0.41142857142857142</v>
      </c>
      <c r="L29" s="435">
        <f t="shared" si="4"/>
        <v>4.9575994781474238E-2</v>
      </c>
      <c r="M29" s="530">
        <f t="shared" si="4"/>
        <v>4.6966731898238752E-2</v>
      </c>
      <c r="N29" s="426">
        <f t="shared" si="5"/>
        <v>9.654272667971299E-2</v>
      </c>
      <c r="O29" s="559"/>
    </row>
    <row r="30" spans="1:15">
      <c r="A30" s="215" t="s">
        <v>360</v>
      </c>
      <c r="B30" s="215" t="s">
        <v>574</v>
      </c>
      <c r="C30" s="221">
        <v>0.35</v>
      </c>
      <c r="D30" s="216">
        <v>25</v>
      </c>
      <c r="E30" s="530">
        <v>10.96</v>
      </c>
      <c r="F30" s="435">
        <v>0.17499999999999999</v>
      </c>
      <c r="G30" s="530">
        <v>0</v>
      </c>
      <c r="H30" s="421">
        <f t="shared" si="0"/>
        <v>0.43840000000000001</v>
      </c>
      <c r="I30" s="530">
        <f t="shared" si="1"/>
        <v>0.17499999999999999</v>
      </c>
      <c r="J30" s="435">
        <f t="shared" si="2"/>
        <v>1.2525714285714287</v>
      </c>
      <c r="K30" s="530">
        <f t="shared" si="3"/>
        <v>0.5</v>
      </c>
      <c r="L30" s="435">
        <f t="shared" si="4"/>
        <v>0.14298760600130464</v>
      </c>
      <c r="M30" s="530">
        <f t="shared" si="4"/>
        <v>5.7077625570776253E-2</v>
      </c>
      <c r="N30" s="426">
        <f t="shared" si="5"/>
        <v>0.20006523157208089</v>
      </c>
      <c r="O30" s="559"/>
    </row>
    <row r="31" spans="1:15">
      <c r="A31" s="215" t="s">
        <v>575</v>
      </c>
      <c r="B31" s="215" t="s">
        <v>312</v>
      </c>
      <c r="C31" s="221">
        <v>0.35</v>
      </c>
      <c r="D31" s="216">
        <v>25</v>
      </c>
      <c r="E31" s="530">
        <v>7.4</v>
      </c>
      <c r="F31" s="435">
        <v>0.2</v>
      </c>
      <c r="G31" s="530">
        <v>0</v>
      </c>
      <c r="H31" s="421">
        <f t="shared" si="0"/>
        <v>0.29600000000000004</v>
      </c>
      <c r="I31" s="530">
        <f t="shared" si="1"/>
        <v>0.2</v>
      </c>
      <c r="J31" s="435">
        <f t="shared" si="2"/>
        <v>0.84571428571428586</v>
      </c>
      <c r="K31" s="530">
        <f t="shared" si="3"/>
        <v>0.57142857142857151</v>
      </c>
      <c r="L31" s="435">
        <f t="shared" si="4"/>
        <v>9.6542726679713003E-2</v>
      </c>
      <c r="M31" s="530">
        <f t="shared" si="4"/>
        <v>6.523157208088716E-2</v>
      </c>
      <c r="N31" s="426">
        <f t="shared" si="5"/>
        <v>0.16177429876060018</v>
      </c>
      <c r="O31" s="559"/>
    </row>
    <row r="32" spans="1:15" ht="13" thickBot="1">
      <c r="A32" s="442" t="s">
        <v>576</v>
      </c>
      <c r="B32" s="442" t="s">
        <v>562</v>
      </c>
      <c r="C32" s="469">
        <v>0.35</v>
      </c>
      <c r="D32" s="443">
        <v>25</v>
      </c>
      <c r="E32" s="445">
        <v>2.57</v>
      </c>
      <c r="F32" s="447">
        <v>0.28999999999999998</v>
      </c>
      <c r="G32" s="445">
        <v>0</v>
      </c>
      <c r="H32" s="446">
        <f t="shared" si="0"/>
        <v>0.10279999999999999</v>
      </c>
      <c r="I32" s="445">
        <f t="shared" si="1"/>
        <v>0.28999999999999998</v>
      </c>
      <c r="J32" s="447">
        <f t="shared" si="2"/>
        <v>0.29371428571428571</v>
      </c>
      <c r="K32" s="445">
        <f t="shared" si="3"/>
        <v>0.82857142857142851</v>
      </c>
      <c r="L32" s="447">
        <f>J32/8760*1000</f>
        <v>3.3529028049575992E-2</v>
      </c>
      <c r="M32" s="445">
        <f>K32/8760*1000</f>
        <v>9.4585779517286361E-2</v>
      </c>
      <c r="N32" s="448">
        <f t="shared" si="5"/>
        <v>0.12811480756686236</v>
      </c>
      <c r="O32" s="557"/>
    </row>
    <row r="33" spans="1:15" ht="23" thickBot="1">
      <c r="A33" s="232" t="s">
        <v>430</v>
      </c>
      <c r="B33" s="232" t="s">
        <v>431</v>
      </c>
      <c r="C33" s="233">
        <v>0.8</v>
      </c>
      <c r="D33" s="234">
        <v>40</v>
      </c>
      <c r="E33" s="235">
        <v>20.48</v>
      </c>
      <c r="F33" s="468">
        <v>0.31</v>
      </c>
      <c r="G33" s="235">
        <v>0.06</v>
      </c>
      <c r="H33" s="419">
        <v>0.51200000000000001</v>
      </c>
      <c r="I33" s="236">
        <v>0.73048000000000002</v>
      </c>
      <c r="J33" s="436">
        <v>0.64</v>
      </c>
      <c r="K33" s="236">
        <v>0.91310000000000002</v>
      </c>
      <c r="L33" s="436">
        <v>7.3059360730593603E-2</v>
      </c>
      <c r="M33" s="236">
        <v>0.10423515981735161</v>
      </c>
      <c r="N33" s="428">
        <v>0.1772945205479452</v>
      </c>
      <c r="O33" s="236">
        <f>N33</f>
        <v>0.1772945205479452</v>
      </c>
    </row>
    <row r="34" spans="1:15" ht="13" thickBot="1">
      <c r="A34" s="232" t="s">
        <v>225</v>
      </c>
      <c r="B34" s="232" t="s">
        <v>432</v>
      </c>
      <c r="C34" s="233">
        <v>0.9</v>
      </c>
      <c r="D34" s="234">
        <v>40</v>
      </c>
      <c r="E34" s="235">
        <v>15.2</v>
      </c>
      <c r="F34" s="468">
        <v>0.7</v>
      </c>
      <c r="G34" s="235">
        <v>0</v>
      </c>
      <c r="H34" s="422">
        <f>E34/D34</f>
        <v>0.38</v>
      </c>
      <c r="I34" s="236">
        <f>F34+G34*8760/1000*C34</f>
        <v>0.7</v>
      </c>
      <c r="J34" s="436">
        <f>H34/C34</f>
        <v>0.42222222222222222</v>
      </c>
      <c r="K34" s="236">
        <f>I34/C34</f>
        <v>0.77777777777777768</v>
      </c>
      <c r="L34" s="436">
        <f t="shared" ref="L34:M36" si="6">J34/8760*1000</f>
        <v>4.8198883815322169E-2</v>
      </c>
      <c r="M34" s="236">
        <f t="shared" si="6"/>
        <v>8.8787417554540837E-2</v>
      </c>
      <c r="N34" s="428">
        <f>SUM(L34:M34)</f>
        <v>0.13698630136986301</v>
      </c>
      <c r="O34" s="236">
        <f>N34</f>
        <v>0.13698630136986301</v>
      </c>
    </row>
    <row r="35" spans="1:15" ht="13" thickBot="1">
      <c r="A35" s="243" t="s">
        <v>142</v>
      </c>
      <c r="B35" s="243" t="s">
        <v>223</v>
      </c>
      <c r="C35" s="244">
        <v>0.8</v>
      </c>
      <c r="D35" s="245">
        <v>40</v>
      </c>
      <c r="E35" s="236">
        <v>8.5</v>
      </c>
      <c r="F35" s="436">
        <v>0.18</v>
      </c>
      <c r="G35" s="236">
        <v>5.8999999999999997E-2</v>
      </c>
      <c r="H35" s="422">
        <f>E35/D35</f>
        <v>0.21249999999999999</v>
      </c>
      <c r="I35" s="236">
        <v>0.59</v>
      </c>
      <c r="J35" s="436">
        <f>H35/C35</f>
        <v>0.265625</v>
      </c>
      <c r="K35" s="236">
        <f>I35/C35</f>
        <v>0.73749999999999993</v>
      </c>
      <c r="L35" s="436">
        <f t="shared" si="6"/>
        <v>3.0322488584474887E-2</v>
      </c>
      <c r="M35" s="236">
        <f t="shared" si="6"/>
        <v>8.4189497716894962E-2</v>
      </c>
      <c r="N35" s="428">
        <f>SUM(L35:M35)</f>
        <v>0.11451198630136986</v>
      </c>
      <c r="O35" s="236">
        <f>N35</f>
        <v>0.11451198630136986</v>
      </c>
    </row>
    <row r="36" spans="1:15" ht="13" thickBot="1">
      <c r="A36" s="243" t="s">
        <v>222</v>
      </c>
      <c r="B36" s="243" t="s">
        <v>312</v>
      </c>
      <c r="C36" s="244">
        <v>0.85</v>
      </c>
      <c r="D36" s="245">
        <v>40</v>
      </c>
      <c r="E36" s="236">
        <v>1.02</v>
      </c>
      <c r="F36" s="436">
        <v>0.1</v>
      </c>
      <c r="G36" s="236">
        <v>0.09</v>
      </c>
      <c r="H36" s="422">
        <f>E36/D36</f>
        <v>2.5500000000000002E-2</v>
      </c>
      <c r="I36" s="236">
        <f>F36+G36*8760/1000*C36</f>
        <v>0.77013999999999994</v>
      </c>
      <c r="J36" s="436">
        <f>H36/C36</f>
        <v>3.0000000000000002E-2</v>
      </c>
      <c r="K36" s="236">
        <f>I36/C36</f>
        <v>0.90604705882352932</v>
      </c>
      <c r="L36" s="436">
        <f t="shared" si="6"/>
        <v>3.4246575342465756E-3</v>
      </c>
      <c r="M36" s="236">
        <f t="shared" si="6"/>
        <v>0.10343002954606499</v>
      </c>
      <c r="N36" s="428">
        <f>SUM(L36:M36)</f>
        <v>0.10685468708031157</v>
      </c>
      <c r="O36" s="236">
        <f>N36</f>
        <v>0.10685468708031157</v>
      </c>
    </row>
    <row r="37" spans="1:15">
      <c r="A37" s="214" t="s">
        <v>426</v>
      </c>
      <c r="B37" s="214" t="s">
        <v>428</v>
      </c>
      <c r="C37" s="246">
        <v>1</v>
      </c>
      <c r="D37" s="223">
        <v>20</v>
      </c>
      <c r="E37" s="548" t="s">
        <v>0</v>
      </c>
      <c r="F37" s="549"/>
      <c r="G37" s="549"/>
      <c r="H37" s="549"/>
      <c r="I37" s="549"/>
      <c r="J37" s="549"/>
      <c r="K37" s="549"/>
      <c r="L37" s="549"/>
      <c r="M37" s="550"/>
      <c r="N37" s="424">
        <v>0.17</v>
      </c>
      <c r="O37" s="551">
        <f>AVERAGE(N37,N38)</f>
        <v>0.38</v>
      </c>
    </row>
    <row r="38" spans="1:15">
      <c r="A38" s="215" t="s">
        <v>427</v>
      </c>
      <c r="B38" s="215" t="s">
        <v>429</v>
      </c>
      <c r="C38" s="222">
        <v>1</v>
      </c>
      <c r="D38" s="216">
        <v>20</v>
      </c>
      <c r="E38" s="553" t="s">
        <v>0</v>
      </c>
      <c r="F38" s="554"/>
      <c r="G38" s="554"/>
      <c r="H38" s="554"/>
      <c r="I38" s="554"/>
      <c r="J38" s="554"/>
      <c r="K38" s="554"/>
      <c r="L38" s="554"/>
      <c r="M38" s="555"/>
      <c r="N38" s="426">
        <v>0.59</v>
      </c>
      <c r="O38" s="552"/>
    </row>
    <row r="39" spans="1:15">
      <c r="A39" s="81" t="s">
        <v>747</v>
      </c>
      <c r="B39" s="81" t="s">
        <v>748</v>
      </c>
      <c r="C39" s="566">
        <v>0.2</v>
      </c>
      <c r="D39" s="81">
        <v>25</v>
      </c>
      <c r="E39" s="423">
        <f>(97031+32490+15112+20185)/B40</f>
        <v>14.698366579021558</v>
      </c>
      <c r="F39" s="423">
        <f>(8989)/B40</f>
        <v>0.80163342097844159</v>
      </c>
      <c r="G39" s="81">
        <v>0</v>
      </c>
      <c r="H39" s="423">
        <f>E39/D39</f>
        <v>0.58793466316086229</v>
      </c>
      <c r="I39" s="423">
        <f>F39</f>
        <v>0.80163342097844159</v>
      </c>
      <c r="J39" s="423">
        <f>H39/C39</f>
        <v>2.9396733158043111</v>
      </c>
      <c r="K39" s="423">
        <f>I39/C39</f>
        <v>4.0081671048922081</v>
      </c>
      <c r="L39" s="423">
        <f>J39/8760*1000</f>
        <v>0.33557914563976154</v>
      </c>
      <c r="M39" s="423">
        <f>K39/8760*1000</f>
        <v>0.4575533224762795</v>
      </c>
      <c r="N39" s="81">
        <f>L39+M39</f>
        <v>0.79313246811604099</v>
      </c>
    </row>
    <row r="40" spans="1:15">
      <c r="B40" s="81">
        <f>173807/15.5</f>
        <v>11213.354838709678</v>
      </c>
    </row>
    <row r="41" spans="1:15">
      <c r="N41" s="567"/>
    </row>
  </sheetData>
  <mergeCells count="19">
    <mergeCell ref="E37:M37"/>
    <mergeCell ref="O37:O38"/>
    <mergeCell ref="E38:M38"/>
    <mergeCell ref="O14:O15"/>
    <mergeCell ref="O16:O18"/>
    <mergeCell ref="O19:O20"/>
    <mergeCell ref="O22:O24"/>
    <mergeCell ref="O25:O27"/>
    <mergeCell ref="O28:O32"/>
    <mergeCell ref="A1:P10"/>
    <mergeCell ref="A11:A12"/>
    <mergeCell ref="B11:B12"/>
    <mergeCell ref="C11:C13"/>
    <mergeCell ref="D11:D13"/>
    <mergeCell ref="E11:G12"/>
    <mergeCell ref="H11:O11"/>
    <mergeCell ref="H12:I12"/>
    <mergeCell ref="J12:K12"/>
    <mergeCell ref="L12:O12"/>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7" hidden="1" customWidth="1"/>
    <col min="2" max="2" width="6.83203125" style="158" customWidth="1"/>
    <col min="3" max="3" width="5.1640625" style="155" bestFit="1" customWidth="1"/>
    <col min="4" max="5" width="21.5" style="155" hidden="1" customWidth="1"/>
    <col min="6" max="6" width="28.83203125" style="155" customWidth="1"/>
    <col min="7" max="7" width="31.6640625" style="155" customWidth="1"/>
    <col min="8" max="8" width="40.83203125" style="157" customWidth="1"/>
    <col min="9" max="9" width="60.83203125" style="155" customWidth="1"/>
    <col min="10" max="10" width="86" style="155" customWidth="1"/>
    <col min="11" max="16384" width="8.83203125" style="155"/>
  </cols>
  <sheetData>
    <row r="1" spans="1:12">
      <c r="B1" s="560"/>
      <c r="C1" s="560"/>
      <c r="D1" s="560"/>
      <c r="E1" s="560"/>
      <c r="F1" s="560"/>
      <c r="G1" s="560"/>
      <c r="H1" s="560"/>
      <c r="I1" s="560"/>
      <c r="J1" s="560"/>
      <c r="K1" s="560"/>
      <c r="L1" s="560"/>
    </row>
    <row r="2" spans="1:12">
      <c r="B2" s="560"/>
      <c r="C2" s="560"/>
      <c r="D2" s="560"/>
      <c r="E2" s="560"/>
      <c r="F2" s="560"/>
      <c r="G2" s="560"/>
      <c r="H2" s="560"/>
      <c r="I2" s="560"/>
      <c r="J2" s="560"/>
      <c r="K2" s="560"/>
      <c r="L2" s="560"/>
    </row>
    <row r="3" spans="1:12">
      <c r="B3" s="560"/>
      <c r="C3" s="560"/>
      <c r="D3" s="560"/>
      <c r="E3" s="560"/>
      <c r="F3" s="560"/>
      <c r="G3" s="560"/>
      <c r="H3" s="560"/>
      <c r="I3" s="560"/>
      <c r="J3" s="560"/>
      <c r="K3" s="560"/>
      <c r="L3" s="560"/>
    </row>
    <row r="4" spans="1:12">
      <c r="B4" s="560"/>
      <c r="C4" s="560"/>
      <c r="D4" s="560"/>
      <c r="E4" s="560"/>
      <c r="F4" s="560"/>
      <c r="G4" s="560"/>
      <c r="H4" s="560"/>
      <c r="I4" s="560"/>
      <c r="J4" s="560"/>
      <c r="K4" s="560"/>
      <c r="L4" s="560"/>
    </row>
    <row r="5" spans="1:12">
      <c r="B5" s="560"/>
      <c r="C5" s="560"/>
      <c r="D5" s="560"/>
      <c r="E5" s="560"/>
      <c r="F5" s="560"/>
      <c r="G5" s="560"/>
      <c r="H5" s="560"/>
      <c r="I5" s="560"/>
      <c r="J5" s="560"/>
      <c r="K5" s="560"/>
      <c r="L5" s="560"/>
    </row>
    <row r="6" spans="1:12">
      <c r="B6" s="560"/>
      <c r="C6" s="560"/>
      <c r="D6" s="560"/>
      <c r="E6" s="560"/>
      <c r="F6" s="560"/>
      <c r="G6" s="560"/>
      <c r="H6" s="560"/>
      <c r="I6" s="560"/>
      <c r="J6" s="560"/>
      <c r="K6" s="560"/>
      <c r="L6" s="560"/>
    </row>
    <row r="7" spans="1:12">
      <c r="B7" s="560"/>
      <c r="C7" s="560"/>
      <c r="D7" s="560"/>
      <c r="E7" s="560"/>
      <c r="F7" s="560"/>
      <c r="G7" s="560"/>
      <c r="H7" s="560"/>
      <c r="I7" s="560"/>
      <c r="J7" s="560"/>
      <c r="K7" s="560"/>
      <c r="L7" s="560"/>
    </row>
    <row r="8" spans="1:12">
      <c r="B8" s="560"/>
      <c r="C8" s="560"/>
      <c r="D8" s="560"/>
      <c r="E8" s="560"/>
      <c r="F8" s="560"/>
      <c r="G8" s="560"/>
      <c r="H8" s="560"/>
      <c r="I8" s="560"/>
      <c r="J8" s="560"/>
      <c r="K8" s="560"/>
      <c r="L8" s="560"/>
    </row>
    <row r="9" spans="1:12" ht="48" customHeight="1">
      <c r="B9" s="560"/>
      <c r="C9" s="560"/>
      <c r="D9" s="560"/>
      <c r="E9" s="560"/>
      <c r="F9" s="560"/>
      <c r="G9" s="560"/>
      <c r="H9" s="560"/>
      <c r="I9" s="560"/>
      <c r="J9" s="560"/>
      <c r="K9" s="560"/>
      <c r="L9" s="560"/>
    </row>
    <row r="10" spans="1:12" s="145" customFormat="1" ht="15" thickBot="1">
      <c r="A10" s="140" t="s">
        <v>149</v>
      </c>
      <c r="B10" s="141" t="s">
        <v>459</v>
      </c>
      <c r="C10" s="142" t="s">
        <v>144</v>
      </c>
      <c r="D10" s="142" t="s">
        <v>460</v>
      </c>
      <c r="E10" s="142" t="s">
        <v>265</v>
      </c>
      <c r="F10" s="142" t="s">
        <v>460</v>
      </c>
      <c r="G10" s="142" t="s">
        <v>145</v>
      </c>
      <c r="H10" s="143" t="s">
        <v>146</v>
      </c>
      <c r="I10" s="142" t="s">
        <v>147</v>
      </c>
      <c r="J10" s="144" t="s">
        <v>263</v>
      </c>
    </row>
    <row r="11" spans="1:12" s="146" customFormat="1" ht="84">
      <c r="A11" s="146" t="s">
        <v>143</v>
      </c>
      <c r="B11" s="147">
        <v>1</v>
      </c>
      <c r="C11" s="148">
        <v>2009</v>
      </c>
      <c r="D11" s="148" t="s">
        <v>277</v>
      </c>
      <c r="E11" s="148" t="s">
        <v>275</v>
      </c>
      <c r="F11" s="148" t="str">
        <f>D11 &amp; " - " &amp; E11</f>
        <v>Isabel Blanco and Christian Kjaer - European Wind Energy Association</v>
      </c>
      <c r="G11" s="148" t="s">
        <v>276</v>
      </c>
      <c r="H11" s="148" t="s">
        <v>552</v>
      </c>
      <c r="I11" s="148" t="s">
        <v>461</v>
      </c>
      <c r="J11" s="146" t="s">
        <v>462</v>
      </c>
    </row>
    <row r="12" spans="1:12" s="146" customFormat="1" ht="28">
      <c r="B12" s="149">
        <f>B11+1</f>
        <v>2</v>
      </c>
      <c r="C12" s="150">
        <v>2009</v>
      </c>
      <c r="D12" s="150" t="s">
        <v>463</v>
      </c>
      <c r="E12" s="150" t="s">
        <v>464</v>
      </c>
      <c r="F12" s="148" t="str">
        <f t="shared" ref="F12:F26" si="0">D12 &amp; " - " &amp; E12</f>
        <v>Julio Friedmann - Lawrence Livermore National Laboratory</v>
      </c>
      <c r="G12" s="150" t="s">
        <v>465</v>
      </c>
      <c r="H12" s="150" t="s">
        <v>466</v>
      </c>
      <c r="I12" s="150" t="s">
        <v>467</v>
      </c>
    </row>
    <row r="13" spans="1:12" s="146" customFormat="1" ht="28">
      <c r="B13" s="149">
        <f>B12+1</f>
        <v>3</v>
      </c>
      <c r="C13" s="150">
        <v>2009</v>
      </c>
      <c r="D13" s="150" t="s">
        <v>468</v>
      </c>
      <c r="E13" s="150" t="s">
        <v>469</v>
      </c>
      <c r="F13" s="148" t="str">
        <f t="shared" si="0"/>
        <v>José Goldemberg  - State of São Paulo, Brazil</v>
      </c>
      <c r="G13" s="150" t="s">
        <v>470</v>
      </c>
      <c r="H13" s="150"/>
      <c r="I13" s="150"/>
    </row>
    <row r="14" spans="1:12" s="146" customFormat="1" ht="42">
      <c r="B14" s="151">
        <f>B13+1</f>
        <v>4</v>
      </c>
      <c r="C14" s="152">
        <v>2009</v>
      </c>
      <c r="D14" s="152" t="s">
        <v>471</v>
      </c>
      <c r="E14" s="152" t="s">
        <v>472</v>
      </c>
      <c r="F14" s="148" t="str">
        <f t="shared" si="0"/>
        <v xml:space="preserve">SkyFuels - National Renewable Energy Laboratory </v>
      </c>
      <c r="G14" s="152" t="s">
        <v>473</v>
      </c>
      <c r="H14" s="152" t="s">
        <v>474</v>
      </c>
      <c r="I14" s="152" t="s">
        <v>475</v>
      </c>
    </row>
    <row r="15" spans="1:12" s="153" customFormat="1" ht="93.75" customHeight="1">
      <c r="A15" s="150" t="s">
        <v>224</v>
      </c>
      <c r="B15" s="149">
        <f>B14+1</f>
        <v>5</v>
      </c>
      <c r="C15" s="150">
        <v>2008</v>
      </c>
      <c r="D15" s="150" t="s">
        <v>274</v>
      </c>
      <c r="E15" s="150" t="s">
        <v>272</v>
      </c>
      <c r="F15" s="148" t="str">
        <f t="shared" si="0"/>
        <v>John A. "Skip" Laitner and Vanessa McKinney - American Council for an Energy Efficient Economy</v>
      </c>
      <c r="G15" s="150" t="s">
        <v>273</v>
      </c>
      <c r="H15" s="150" t="s">
        <v>148</v>
      </c>
      <c r="I15" s="150" t="s">
        <v>476</v>
      </c>
      <c r="J15" s="146" t="s">
        <v>477</v>
      </c>
    </row>
    <row r="16" spans="1:12" s="153" customFormat="1" ht="42">
      <c r="A16" s="150"/>
      <c r="B16" s="149">
        <f>B15+1</f>
        <v>6</v>
      </c>
      <c r="C16" s="150">
        <v>2008</v>
      </c>
      <c r="D16" s="150" t="s">
        <v>478</v>
      </c>
      <c r="E16" s="150" t="s">
        <v>479</v>
      </c>
      <c r="F16" s="148" t="str">
        <f t="shared" si="0"/>
        <v>David Roland-Holst - University of California, Berkeley</v>
      </c>
      <c r="G16" s="150" t="s">
        <v>480</v>
      </c>
      <c r="H16" s="150" t="s">
        <v>481</v>
      </c>
      <c r="I16" s="150" t="s">
        <v>482</v>
      </c>
      <c r="J16" s="146"/>
    </row>
    <row r="17" spans="1:10" s="153" customFormat="1" ht="28">
      <c r="A17" s="150"/>
      <c r="B17" s="149">
        <v>7</v>
      </c>
      <c r="C17" s="150">
        <v>2007</v>
      </c>
      <c r="D17" s="150" t="s">
        <v>496</v>
      </c>
      <c r="E17" s="150" t="s">
        <v>0</v>
      </c>
      <c r="F17" s="148" t="str">
        <f>D17</f>
        <v>Vestas</v>
      </c>
      <c r="G17" s="150" t="s">
        <v>497</v>
      </c>
      <c r="H17" s="150" t="s">
        <v>498</v>
      </c>
      <c r="I17" s="150" t="s">
        <v>499</v>
      </c>
      <c r="J17" s="146"/>
    </row>
    <row r="18" spans="1:10" s="153" customFormat="1" ht="42">
      <c r="A18" s="150"/>
      <c r="B18" s="149">
        <v>8</v>
      </c>
      <c r="C18" s="150">
        <v>2006</v>
      </c>
      <c r="D18" s="150" t="s">
        <v>483</v>
      </c>
      <c r="E18" s="150" t="s">
        <v>484</v>
      </c>
      <c r="F18" s="148" t="str">
        <f t="shared" si="0"/>
        <v>Winfried Hoffman, Sven Teske - European Photovoltaic Industry Association (EPIA) and Greenpeace</v>
      </c>
      <c r="G18" s="150" t="s">
        <v>485</v>
      </c>
      <c r="H18" s="150" t="s">
        <v>486</v>
      </c>
      <c r="I18" s="150" t="s">
        <v>487</v>
      </c>
      <c r="J18" s="146"/>
    </row>
    <row r="19" spans="1:10" s="153" customFormat="1" ht="84" customHeight="1">
      <c r="A19" s="150" t="s">
        <v>262</v>
      </c>
      <c r="B19" s="149">
        <v>9</v>
      </c>
      <c r="C19" s="150">
        <v>2006</v>
      </c>
      <c r="D19" s="150" t="s">
        <v>278</v>
      </c>
      <c r="E19" s="150" t="s">
        <v>279</v>
      </c>
      <c r="F19" s="148" t="str">
        <f t="shared" si="0"/>
        <v>Frithjof Staiss, et al. - Forschungsvorhaben im Auftrag des Bundesministeriums für Umwelt, Naturschutz und Reaktorsicherheit, Federal Republic of Germany.</v>
      </c>
      <c r="G19" s="150" t="s">
        <v>532</v>
      </c>
      <c r="H19" s="150" t="s">
        <v>533</v>
      </c>
      <c r="I19" s="150"/>
      <c r="J19" s="146" t="s">
        <v>488</v>
      </c>
    </row>
    <row r="20" spans="1:10" s="153" customFormat="1" ht="42">
      <c r="A20" s="150" t="s">
        <v>314</v>
      </c>
      <c r="B20" s="149">
        <v>10</v>
      </c>
      <c r="C20" s="150">
        <v>2006</v>
      </c>
      <c r="D20" s="150" t="s">
        <v>323</v>
      </c>
      <c r="E20" s="150" t="s">
        <v>320</v>
      </c>
      <c r="F20" s="148" t="str">
        <f t="shared" si="0"/>
        <v>George Sterzinger - Renewable Energy Policy Project (REPP)</v>
      </c>
      <c r="G20" s="150" t="s">
        <v>324</v>
      </c>
      <c r="H20" s="150" t="s">
        <v>489</v>
      </c>
      <c r="I20" s="150" t="s">
        <v>0</v>
      </c>
      <c r="J20" s="146" t="s">
        <v>325</v>
      </c>
    </row>
    <row r="21" spans="1:10" s="153" customFormat="1" ht="70">
      <c r="A21" s="150" t="s">
        <v>490</v>
      </c>
      <c r="B21" s="149">
        <v>11</v>
      </c>
      <c r="C21" s="150">
        <v>2006</v>
      </c>
      <c r="D21" s="150" t="s">
        <v>491</v>
      </c>
      <c r="E21" s="150" t="s">
        <v>492</v>
      </c>
      <c r="F21" s="148" t="str">
        <f t="shared" si="0"/>
        <v>L. Stoddard, J. Abiecunas, R. O'Connell - National Renewable Energy Laboratory</v>
      </c>
      <c r="G21" s="150" t="s">
        <v>493</v>
      </c>
      <c r="H21" s="150" t="s">
        <v>553</v>
      </c>
      <c r="I21" s="150" t="s">
        <v>494</v>
      </c>
      <c r="J21" s="146" t="s">
        <v>495</v>
      </c>
    </row>
    <row r="22" spans="1:10" s="153" customFormat="1" ht="42">
      <c r="A22" s="150" t="s">
        <v>500</v>
      </c>
      <c r="B22" s="149">
        <v>12</v>
      </c>
      <c r="C22" s="150">
        <v>2005</v>
      </c>
      <c r="D22" s="150" t="s">
        <v>501</v>
      </c>
      <c r="E22" s="150" t="s">
        <v>502</v>
      </c>
      <c r="F22" s="148" t="str">
        <f t="shared" si="0"/>
        <v>Doug Arent, John Tschirhart, Dick Watsson - Western Governors' Association: Geothermal Task Force</v>
      </c>
      <c r="G22" s="150" t="s">
        <v>503</v>
      </c>
      <c r="H22" s="150" t="s">
        <v>504</v>
      </c>
      <c r="I22" s="150"/>
      <c r="J22" s="146" t="s">
        <v>505</v>
      </c>
    </row>
    <row r="23" spans="1:10" s="153" customFormat="1" ht="70">
      <c r="A23" s="154"/>
      <c r="B23" s="149">
        <v>13</v>
      </c>
      <c r="C23" s="150">
        <v>2005</v>
      </c>
      <c r="D23" s="150" t="s">
        <v>506</v>
      </c>
      <c r="E23" s="150" t="s">
        <v>507</v>
      </c>
      <c r="F23" s="148" t="str">
        <f t="shared" si="0"/>
        <v>Jose Gil and Hugo Lucas - Institute for Diversification and Saving of Energy (Instituto para la Diversificacion y Ahorro de la Energia, IDAE)</v>
      </c>
      <c r="G23" s="150" t="s">
        <v>508</v>
      </c>
      <c r="H23" s="150" t="s">
        <v>531</v>
      </c>
      <c r="I23" s="150" t="s">
        <v>529</v>
      </c>
      <c r="J23" s="146" t="s">
        <v>530</v>
      </c>
    </row>
    <row r="24" spans="1:10" s="153" customFormat="1" ht="56">
      <c r="A24" s="150" t="s">
        <v>269</v>
      </c>
      <c r="B24" s="149">
        <v>14</v>
      </c>
      <c r="C24" s="150">
        <v>2004</v>
      </c>
      <c r="D24" s="150" t="s">
        <v>266</v>
      </c>
      <c r="E24" s="150" t="s">
        <v>267</v>
      </c>
      <c r="F24" s="148" t="str">
        <f t="shared" si="0"/>
        <v xml:space="preserve">Daniel M. Kammen, Kamal Kapadia, and Matthias Fripp - Energy and Resources Group, Universtiy of California, Berkeley.  </v>
      </c>
      <c r="G24" s="150" t="s">
        <v>264</v>
      </c>
      <c r="H24" s="150" t="s">
        <v>270</v>
      </c>
      <c r="I24" s="150" t="s">
        <v>271</v>
      </c>
      <c r="J24" s="146" t="s">
        <v>509</v>
      </c>
    </row>
    <row r="25" spans="1:10" s="153" customFormat="1" ht="70.5" customHeight="1">
      <c r="A25" s="150" t="s">
        <v>225</v>
      </c>
      <c r="B25" s="149">
        <v>15</v>
      </c>
      <c r="C25" s="150">
        <v>2004</v>
      </c>
      <c r="D25" s="150" t="s">
        <v>268</v>
      </c>
      <c r="E25" s="150" t="s">
        <v>313</v>
      </c>
      <c r="F25" s="148" t="str">
        <f t="shared" si="0"/>
        <v>C.R. Kenley, et al.  - Idaho National Engineering and Environmental Laboratory (INEEL) and Bechtel BWXT Idaho, LLC</v>
      </c>
      <c r="G25" s="150" t="s">
        <v>510</v>
      </c>
      <c r="H25" s="150" t="s">
        <v>511</v>
      </c>
      <c r="I25" s="150" t="s">
        <v>512</v>
      </c>
      <c r="J25" s="146" t="s">
        <v>513</v>
      </c>
    </row>
    <row r="26" spans="1:10" s="153" customFormat="1" ht="70">
      <c r="A26" s="150" t="s">
        <v>314</v>
      </c>
      <c r="B26" s="149">
        <v>16</v>
      </c>
      <c r="C26" s="150">
        <v>2002</v>
      </c>
      <c r="D26" s="150" t="s">
        <v>315</v>
      </c>
      <c r="E26" s="150" t="s">
        <v>316</v>
      </c>
      <c r="F26" s="148" t="str">
        <f t="shared" si="0"/>
        <v>Heavner and Churchill - CALPIRG (California Public Interest Research Group) Charitable Trust</v>
      </c>
      <c r="G26" s="150" t="s">
        <v>317</v>
      </c>
      <c r="H26" s="150" t="s">
        <v>514</v>
      </c>
      <c r="I26" s="150" t="s">
        <v>515</v>
      </c>
      <c r="J26" s="146" t="s">
        <v>318</v>
      </c>
    </row>
    <row r="27" spans="1:10" s="153" customFormat="1" ht="112">
      <c r="A27" s="150" t="s">
        <v>314</v>
      </c>
      <c r="B27" s="149">
        <f>B26+1</f>
        <v>17</v>
      </c>
      <c r="C27" s="150">
        <v>2001</v>
      </c>
      <c r="D27" s="150" t="s">
        <v>319</v>
      </c>
      <c r="E27" s="150" t="s">
        <v>320</v>
      </c>
      <c r="F27" s="150" t="s">
        <v>535</v>
      </c>
      <c r="G27" s="150" t="s">
        <v>321</v>
      </c>
      <c r="H27" s="150" t="s">
        <v>516</v>
      </c>
      <c r="I27" s="150" t="s">
        <v>517</v>
      </c>
      <c r="J27" s="146" t="s">
        <v>322</v>
      </c>
    </row>
    <row r="28" spans="1:10">
      <c r="A28" s="150"/>
      <c r="B28" s="149"/>
      <c r="C28" s="150"/>
      <c r="D28" s="150"/>
      <c r="E28" s="150"/>
      <c r="F28" s="150"/>
      <c r="G28" s="150"/>
      <c r="H28" s="150"/>
      <c r="I28" s="150"/>
      <c r="J28" s="146"/>
    </row>
    <row r="29" spans="1:10">
      <c r="A29" s="150"/>
      <c r="B29" s="149"/>
      <c r="C29" s="150"/>
      <c r="D29" s="150"/>
      <c r="E29" s="150"/>
      <c r="F29" s="150"/>
      <c r="G29" s="150"/>
      <c r="H29" s="150"/>
      <c r="I29" s="150"/>
      <c r="J29" s="146"/>
    </row>
    <row r="30" spans="1:10">
      <c r="A30" s="150"/>
      <c r="B30" s="149"/>
      <c r="C30" s="150"/>
      <c r="D30" s="150"/>
      <c r="E30" s="150"/>
      <c r="F30" s="150"/>
      <c r="G30" s="150"/>
      <c r="H30" s="150"/>
      <c r="I30" s="150"/>
      <c r="J30" s="146"/>
    </row>
    <row r="31" spans="1:10" s="153" customFormat="1">
      <c r="A31" s="146"/>
      <c r="B31" s="156"/>
      <c r="C31" s="146"/>
      <c r="D31" s="146"/>
      <c r="E31" s="146"/>
      <c r="F31" s="146"/>
      <c r="G31" s="146"/>
      <c r="H31" s="146"/>
      <c r="I31" s="146"/>
      <c r="J31" s="146"/>
    </row>
    <row r="32" spans="1:10">
      <c r="A32" s="155"/>
      <c r="B32" s="156"/>
      <c r="C32" s="146"/>
      <c r="D32" s="146"/>
      <c r="E32" s="146"/>
      <c r="F32" s="146"/>
      <c r="G32" s="146"/>
      <c r="H32" s="146"/>
      <c r="I32" s="146"/>
      <c r="J32" s="146"/>
    </row>
    <row r="33" spans="1:10">
      <c r="A33" s="155"/>
      <c r="B33" s="156"/>
      <c r="C33" s="146"/>
      <c r="D33" s="146"/>
      <c r="E33" s="146"/>
      <c r="F33" s="146"/>
      <c r="G33" s="146"/>
      <c r="H33" s="146"/>
      <c r="I33" s="146"/>
      <c r="J33" s="146"/>
    </row>
    <row r="34" spans="1:10">
      <c r="A34" s="155"/>
      <c r="B34" s="156"/>
      <c r="C34" s="146"/>
      <c r="D34" s="146"/>
      <c r="E34" s="146"/>
      <c r="F34" s="146"/>
      <c r="G34" s="146"/>
      <c r="H34" s="146"/>
      <c r="I34" s="146"/>
      <c r="J34" s="146"/>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37"/>
  <sheetViews>
    <sheetView topLeftCell="A38" zoomScale="125" zoomScaleNormal="125" zoomScalePageLayoutView="125" workbookViewId="0">
      <selection activeCell="G54" sqref="G54"/>
    </sheetView>
  </sheetViews>
  <sheetFormatPr baseColWidth="10" defaultColWidth="12.5" defaultRowHeight="16" x14ac:dyDescent="0"/>
  <cols>
    <col min="1" max="1" width="47.33203125" style="5" customWidth="1"/>
    <col min="2" max="2" width="13.6640625" style="349" bestFit="1" customWidth="1"/>
    <col min="3" max="6" width="13.1640625" style="349" bestFit="1" customWidth="1"/>
    <col min="7" max="7" width="13.1640625" style="304" bestFit="1" customWidth="1"/>
    <col min="8" max="19" width="14.5" style="304" bestFit="1" customWidth="1"/>
    <col min="20" max="21" width="16.5" style="304" bestFit="1" customWidth="1"/>
    <col min="22" max="37" width="12.5" style="304"/>
    <col min="38" max="16384" width="12.5" style="5"/>
  </cols>
  <sheetData>
    <row r="1" spans="1:37">
      <c r="A1" s="269" t="s">
        <v>63</v>
      </c>
    </row>
    <row r="2" spans="1:37">
      <c r="A2" s="273" t="s">
        <v>704</v>
      </c>
    </row>
    <row r="3" spans="1:37">
      <c r="A3" s="273" t="s">
        <v>656</v>
      </c>
    </row>
    <row r="4" spans="1:37">
      <c r="A4" s="273" t="s">
        <v>591</v>
      </c>
    </row>
    <row r="6" spans="1:37">
      <c r="A6" s="6" t="s">
        <v>64</v>
      </c>
    </row>
    <row r="7" spans="1:37">
      <c r="A7" s="6" t="s">
        <v>65</v>
      </c>
    </row>
    <row r="8" spans="1:37">
      <c r="A8" s="78" t="s">
        <v>280</v>
      </c>
    </row>
    <row r="10" spans="1:37">
      <c r="AK10" s="305"/>
    </row>
    <row r="11" spans="1:37">
      <c r="B11" s="369" t="s">
        <v>7</v>
      </c>
      <c r="C11" s="369" t="s">
        <v>8</v>
      </c>
      <c r="D11" s="369" t="s">
        <v>9</v>
      </c>
      <c r="E11" s="369" t="s">
        <v>10</v>
      </c>
      <c r="F11" s="369" t="s">
        <v>11</v>
      </c>
      <c r="G11" s="324" t="s">
        <v>12</v>
      </c>
      <c r="H11" s="324" t="s">
        <v>13</v>
      </c>
      <c r="I11" s="324" t="s">
        <v>14</v>
      </c>
      <c r="J11" s="324" t="s">
        <v>15</v>
      </c>
      <c r="K11" s="324" t="s">
        <v>16</v>
      </c>
      <c r="L11" s="324" t="s">
        <v>17</v>
      </c>
      <c r="M11" s="324" t="s">
        <v>18</v>
      </c>
      <c r="N11" s="324" t="s">
        <v>19</v>
      </c>
      <c r="O11" s="324" t="s">
        <v>20</v>
      </c>
      <c r="P11" s="324" t="s">
        <v>21</v>
      </c>
      <c r="Q11" s="324" t="s">
        <v>22</v>
      </c>
      <c r="R11" s="324" t="s">
        <v>23</v>
      </c>
      <c r="S11" s="324" t="s">
        <v>24</v>
      </c>
      <c r="T11" s="324" t="s">
        <v>25</v>
      </c>
      <c r="U11" s="324" t="s">
        <v>26</v>
      </c>
      <c r="V11" s="324" t="s">
        <v>27</v>
      </c>
      <c r="W11" s="324" t="s">
        <v>28</v>
      </c>
      <c r="X11" s="324" t="s">
        <v>29</v>
      </c>
      <c r="Y11" s="324" t="s">
        <v>30</v>
      </c>
      <c r="Z11" s="324" t="s">
        <v>31</v>
      </c>
      <c r="AA11" s="324" t="s">
        <v>581</v>
      </c>
      <c r="AB11" s="324" t="s">
        <v>582</v>
      </c>
      <c r="AC11" s="324" t="s">
        <v>583</v>
      </c>
      <c r="AD11" s="324" t="s">
        <v>584</v>
      </c>
      <c r="AE11" s="324" t="s">
        <v>585</v>
      </c>
      <c r="AF11" s="324" t="s">
        <v>586</v>
      </c>
      <c r="AG11" s="324" t="s">
        <v>587</v>
      </c>
      <c r="AH11" s="324" t="s">
        <v>588</v>
      </c>
      <c r="AI11" s="324" t="s">
        <v>589</v>
      </c>
      <c r="AJ11" s="324" t="s">
        <v>590</v>
      </c>
      <c r="AK11" s="324" t="s">
        <v>593</v>
      </c>
    </row>
    <row r="14" spans="1:37">
      <c r="A14" s="6" t="s">
        <v>66</v>
      </c>
    </row>
    <row r="16" spans="1:37">
      <c r="A16" s="6" t="s">
        <v>32</v>
      </c>
    </row>
    <row r="17" spans="1:38" s="252" customFormat="1">
      <c r="A17" s="251" t="s">
        <v>67</v>
      </c>
      <c r="B17" s="349"/>
      <c r="C17" s="349"/>
      <c r="D17" s="349"/>
      <c r="E17" s="349"/>
      <c r="F17" s="349"/>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c r="AE17" s="321"/>
      <c r="AF17" s="321"/>
      <c r="AG17" s="321"/>
      <c r="AH17" s="321"/>
      <c r="AI17" s="321"/>
      <c r="AJ17" s="321"/>
      <c r="AK17" s="321"/>
    </row>
    <row r="18" spans="1:38" s="252" customFormat="1">
      <c r="A18" s="251"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2" customFormat="1">
      <c r="A19" s="251"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2" customFormat="1">
      <c r="A20" s="251"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2" customFormat="1">
      <c r="A21" s="251"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2" customFormat="1">
      <c r="A22" s="251"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2" customFormat="1">
      <c r="A23" s="251"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2" customFormat="1">
      <c r="A24" s="251"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2" customFormat="1">
      <c r="A25" s="251"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2" customFormat="1">
      <c r="A26" s="251"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2" customFormat="1">
      <c r="A27" s="251"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2" customFormat="1">
      <c r="A28" s="251"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2" customFormat="1">
      <c r="A29" s="251"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2" customFormat="1">
      <c r="A30" s="251"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2" customFormat="1">
      <c r="A31" s="251"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2" customFormat="1">
      <c r="A32" s="251"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38" s="252" customFormat="1">
      <c r="A33" s="251"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38" s="252"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row>
    <row r="35" spans="1:38" s="252" customFormat="1">
      <c r="A35" s="251" t="s">
        <v>727</v>
      </c>
      <c r="B35"/>
      <c r="C35"/>
      <c r="D35"/>
      <c r="E35"/>
      <c r="F35"/>
      <c r="G35"/>
      <c r="H35"/>
      <c r="I35"/>
      <c r="J35"/>
      <c r="K35"/>
      <c r="L35"/>
      <c r="M35"/>
      <c r="N35"/>
      <c r="O35"/>
      <c r="P35"/>
      <c r="Q35"/>
      <c r="R35"/>
      <c r="S35"/>
      <c r="T35"/>
      <c r="U35"/>
      <c r="V35"/>
      <c r="W35"/>
      <c r="X35"/>
      <c r="Y35"/>
      <c r="Z35"/>
      <c r="AA35"/>
      <c r="AB35"/>
      <c r="AC35"/>
      <c r="AD35"/>
      <c r="AE35"/>
      <c r="AF35"/>
      <c r="AG35"/>
      <c r="AH35"/>
      <c r="AI35"/>
      <c r="AJ35"/>
      <c r="AK35"/>
      <c r="AL35"/>
    </row>
    <row r="36" spans="1:38" s="252" customFormat="1">
      <c r="A36" s="507" t="s">
        <v>719</v>
      </c>
      <c r="G36" s="505">
        <v>119.422318</v>
      </c>
      <c r="H36" s="505">
        <v>97.146163999999999</v>
      </c>
      <c r="I36" s="505">
        <v>99.596817000000001</v>
      </c>
      <c r="J36" s="505">
        <v>113.324646</v>
      </c>
      <c r="K36" s="505">
        <v>104.775909</v>
      </c>
      <c r="L36" s="505">
        <v>97.294403000000003</v>
      </c>
      <c r="M36" s="505">
        <v>106.065636</v>
      </c>
      <c r="N36" s="505">
        <v>115.44637299999999</v>
      </c>
      <c r="O36" s="505">
        <v>116.77658099999999</v>
      </c>
      <c r="P36" s="505">
        <v>114.12762499999999</v>
      </c>
      <c r="Q36" s="505">
        <v>115.478157</v>
      </c>
      <c r="R36" s="505">
        <v>117.10189099999999</v>
      </c>
      <c r="S36" s="505">
        <v>117.762001</v>
      </c>
      <c r="T36" s="505">
        <v>119.27404799999999</v>
      </c>
      <c r="U36" s="505">
        <v>120.423889</v>
      </c>
      <c r="V36" s="505">
        <v>120.414345</v>
      </c>
      <c r="W36" s="505">
        <v>120.89241</v>
      </c>
      <c r="X36" s="505">
        <v>120.786911</v>
      </c>
      <c r="Y36" s="505">
        <v>121.17684199999999</v>
      </c>
      <c r="Z36" s="505">
        <v>121.45586400000001</v>
      </c>
      <c r="AA36" s="505">
        <v>121.449898</v>
      </c>
      <c r="AB36" s="505">
        <v>121.727806</v>
      </c>
      <c r="AC36" s="505">
        <v>121.82950599999999</v>
      </c>
      <c r="AD36" s="505">
        <v>121.998993</v>
      </c>
      <c r="AE36" s="505">
        <v>121.96416499999999</v>
      </c>
      <c r="AF36" s="505">
        <v>122.075119</v>
      </c>
      <c r="AG36" s="505">
        <v>121.99664300000001</v>
      </c>
      <c r="AH36" s="505">
        <v>122.05307000000001</v>
      </c>
      <c r="AI36" s="505">
        <v>122.02340700000001</v>
      </c>
      <c r="AJ36" s="505">
        <v>121.948792</v>
      </c>
      <c r="AK36" s="509">
        <v>8.0000000000000002E-3</v>
      </c>
      <c r="AL36"/>
    </row>
    <row r="37" spans="1:38" s="252" customFormat="1">
      <c r="A37" s="507" t="s">
        <v>720</v>
      </c>
      <c r="G37" s="505">
        <v>0.72999199999999997</v>
      </c>
      <c r="H37" s="505">
        <v>0.52198599999999995</v>
      </c>
      <c r="I37" s="505">
        <v>0.88637900000000003</v>
      </c>
      <c r="J37" s="505">
        <v>0.93574100000000004</v>
      </c>
      <c r="K37" s="505">
        <v>0.90872799999999998</v>
      </c>
      <c r="L37" s="505">
        <v>0.89195100000000005</v>
      </c>
      <c r="M37" s="505">
        <v>0.91010000000000002</v>
      </c>
      <c r="N37" s="505">
        <v>0.94341699999999995</v>
      </c>
      <c r="O37" s="505">
        <v>0.95231299999999997</v>
      </c>
      <c r="P37" s="505">
        <v>0.95503199999999999</v>
      </c>
      <c r="Q37" s="505">
        <v>0.97453000000000001</v>
      </c>
      <c r="R37" s="505">
        <v>0.98446900000000004</v>
      </c>
      <c r="S37" s="505">
        <v>0.98772099999999996</v>
      </c>
      <c r="T37" s="505">
        <v>0.99326499999999995</v>
      </c>
      <c r="U37" s="505">
        <v>0.90673300000000001</v>
      </c>
      <c r="V37" s="505">
        <v>0.73433099999999996</v>
      </c>
      <c r="W37" s="505">
        <v>0.65200100000000005</v>
      </c>
      <c r="X37" s="505">
        <v>0.611317</v>
      </c>
      <c r="Y37" s="505">
        <v>0.60940700000000003</v>
      </c>
      <c r="Z37" s="505">
        <v>0.60627900000000001</v>
      </c>
      <c r="AA37" s="505">
        <v>0.59982999999999997</v>
      </c>
      <c r="AB37" s="505">
        <v>0.59522399999999998</v>
      </c>
      <c r="AC37" s="505">
        <v>0.57520199999999999</v>
      </c>
      <c r="AD37" s="505">
        <v>0.57646799999999998</v>
      </c>
      <c r="AE37" s="505">
        <v>0.57510600000000001</v>
      </c>
      <c r="AF37" s="505">
        <v>0.57552999999999999</v>
      </c>
      <c r="AG37" s="505">
        <v>0.57625599999999999</v>
      </c>
      <c r="AH37" s="505">
        <v>0.575013</v>
      </c>
      <c r="AI37" s="505">
        <v>0.576457</v>
      </c>
      <c r="AJ37" s="505">
        <v>0.57467299999999999</v>
      </c>
      <c r="AK37" s="509">
        <v>3.0000000000000001E-3</v>
      </c>
      <c r="AL37"/>
    </row>
    <row r="38" spans="1:38" s="252" customFormat="1">
      <c r="A38" s="507" t="s">
        <v>721</v>
      </c>
      <c r="G38" s="505">
        <v>42.166781999999998</v>
      </c>
      <c r="H38" s="505">
        <v>58.207165000000003</v>
      </c>
      <c r="I38" s="505">
        <v>49.613377</v>
      </c>
      <c r="J38" s="505">
        <v>44.554977000000001</v>
      </c>
      <c r="K38" s="505">
        <v>55.905921999999997</v>
      </c>
      <c r="L38" s="505">
        <v>60.870280999999999</v>
      </c>
      <c r="M38" s="505">
        <v>60.002026000000001</v>
      </c>
      <c r="N38" s="505">
        <v>51.490718999999999</v>
      </c>
      <c r="O38" s="505">
        <v>49.303310000000003</v>
      </c>
      <c r="P38" s="505">
        <v>53.731116999999998</v>
      </c>
      <c r="Q38" s="505">
        <v>53.610474000000004</v>
      </c>
      <c r="R38" s="505">
        <v>57.971305999999998</v>
      </c>
      <c r="S38" s="505">
        <v>59.013370999999999</v>
      </c>
      <c r="T38" s="505">
        <v>62.899951999999999</v>
      </c>
      <c r="U38" s="505">
        <v>65.006966000000006</v>
      </c>
      <c r="V38" s="505">
        <v>66.697868</v>
      </c>
      <c r="W38" s="505">
        <v>74.020790000000005</v>
      </c>
      <c r="X38" s="505">
        <v>76.345528000000002</v>
      </c>
      <c r="Y38" s="505">
        <v>80.727965999999995</v>
      </c>
      <c r="Z38" s="505">
        <v>84.227669000000006</v>
      </c>
      <c r="AA38" s="505">
        <v>83.727928000000006</v>
      </c>
      <c r="AB38" s="505">
        <v>84.678352000000004</v>
      </c>
      <c r="AC38" s="505">
        <v>86.900818000000001</v>
      </c>
      <c r="AD38" s="505">
        <v>90.517287999999994</v>
      </c>
      <c r="AE38" s="505">
        <v>91.327110000000005</v>
      </c>
      <c r="AF38" s="505">
        <v>92.791565000000006</v>
      </c>
      <c r="AG38" s="505">
        <v>94.758133000000001</v>
      </c>
      <c r="AH38" s="505">
        <v>96.189705000000004</v>
      </c>
      <c r="AI38" s="505">
        <v>101.411957</v>
      </c>
      <c r="AJ38" s="505">
        <v>105.749313</v>
      </c>
      <c r="AK38" s="509">
        <v>2.1999999999999999E-2</v>
      </c>
      <c r="AL38"/>
    </row>
    <row r="39" spans="1:38" s="252" customFormat="1">
      <c r="A39" s="507" t="s">
        <v>722</v>
      </c>
      <c r="G39" s="505">
        <v>118.976997</v>
      </c>
      <c r="H39" s="505">
        <v>119.253998</v>
      </c>
      <c r="I39" s="505">
        <v>117.573662</v>
      </c>
      <c r="J39" s="505">
        <v>117.77639000000001</v>
      </c>
      <c r="K39" s="505">
        <v>120.93924699999999</v>
      </c>
      <c r="L39" s="505">
        <v>121.921547</v>
      </c>
      <c r="M39" s="505">
        <v>127.587891</v>
      </c>
      <c r="N39" s="505">
        <v>133.22305299999999</v>
      </c>
      <c r="O39" s="505">
        <v>138.120575</v>
      </c>
      <c r="P39" s="505">
        <v>139.24754300000001</v>
      </c>
      <c r="Q39" s="505">
        <v>139.247559</v>
      </c>
      <c r="R39" s="505">
        <v>139.24754300000001</v>
      </c>
      <c r="S39" s="505">
        <v>139.247559</v>
      </c>
      <c r="T39" s="505">
        <v>139.247559</v>
      </c>
      <c r="U39" s="505">
        <v>139.24754300000001</v>
      </c>
      <c r="V39" s="505">
        <v>139.24803199999999</v>
      </c>
      <c r="W39" s="505">
        <v>139.24754300000001</v>
      </c>
      <c r="X39" s="505">
        <v>139.24754300000001</v>
      </c>
      <c r="Y39" s="505">
        <v>139.24754300000001</v>
      </c>
      <c r="Z39" s="505">
        <v>139.247559</v>
      </c>
      <c r="AA39" s="505">
        <v>139.24754300000001</v>
      </c>
      <c r="AB39" s="505">
        <v>139.247559</v>
      </c>
      <c r="AC39" s="505">
        <v>139.247559</v>
      </c>
      <c r="AD39" s="505">
        <v>139.247559</v>
      </c>
      <c r="AE39" s="505">
        <v>139.247559</v>
      </c>
      <c r="AF39" s="505">
        <v>139.96159399999999</v>
      </c>
      <c r="AG39" s="505">
        <v>140.137497</v>
      </c>
      <c r="AH39" s="505">
        <v>140.13748200000001</v>
      </c>
      <c r="AI39" s="505">
        <v>140.91712999999999</v>
      </c>
      <c r="AJ39" s="505">
        <v>141.08175700000001</v>
      </c>
      <c r="AK39" s="509">
        <v>6.0000000000000001E-3</v>
      </c>
      <c r="AL39"/>
    </row>
    <row r="40" spans="1:38" s="252" customFormat="1">
      <c r="A40" s="507" t="s">
        <v>723</v>
      </c>
      <c r="G40" s="505">
        <v>-1.4766999999999999</v>
      </c>
      <c r="H40" s="505">
        <v>-1.4737</v>
      </c>
      <c r="I40" s="505">
        <v>-1.0969340000000001</v>
      </c>
      <c r="J40" s="505">
        <v>-1.096935</v>
      </c>
      <c r="K40" s="505">
        <v>-1.0947549999999999</v>
      </c>
      <c r="L40" s="505">
        <v>-1.0935109999999999</v>
      </c>
      <c r="M40" s="505">
        <v>-1.093512</v>
      </c>
      <c r="N40" s="505">
        <v>-1.093512</v>
      </c>
      <c r="O40" s="505">
        <v>-1.0935109999999999</v>
      </c>
      <c r="P40" s="505">
        <v>-1.0928960000000001</v>
      </c>
      <c r="Q40" s="505">
        <v>-1.09172</v>
      </c>
      <c r="R40" s="505">
        <v>-1.0916680000000001</v>
      </c>
      <c r="S40" s="505">
        <v>-1.0916680000000001</v>
      </c>
      <c r="T40" s="505">
        <v>-1.0916680000000001</v>
      </c>
      <c r="U40" s="505">
        <v>-1.0912500000000001</v>
      </c>
      <c r="V40" s="505">
        <v>-1.0912090000000001</v>
      </c>
      <c r="W40" s="505">
        <v>-1.0909009999999999</v>
      </c>
      <c r="X40" s="505">
        <v>-1.090862</v>
      </c>
      <c r="Y40" s="505">
        <v>-1.0907979999999999</v>
      </c>
      <c r="Z40" s="505">
        <v>-1.0906020000000001</v>
      </c>
      <c r="AA40" s="505">
        <v>-1.090476</v>
      </c>
      <c r="AB40" s="505">
        <v>-1.0903069999999999</v>
      </c>
      <c r="AC40" s="505">
        <v>-1.090247</v>
      </c>
      <c r="AD40" s="505">
        <v>-1.0900030000000001</v>
      </c>
      <c r="AE40" s="505">
        <v>-1.089869</v>
      </c>
      <c r="AF40" s="505">
        <v>-1.0898000000000001</v>
      </c>
      <c r="AG40" s="505">
        <v>-1.08945</v>
      </c>
      <c r="AH40" s="505">
        <v>-1.0893470000000001</v>
      </c>
      <c r="AI40" s="505">
        <v>-1.089294</v>
      </c>
      <c r="AJ40" s="505">
        <v>-1.0890470000000001</v>
      </c>
      <c r="AK40" s="509">
        <v>-1.0999999999999999E-2</v>
      </c>
      <c r="AL40"/>
    </row>
    <row r="41" spans="1:38" s="252" customFormat="1">
      <c r="A41" s="507" t="s">
        <v>724</v>
      </c>
      <c r="G41" s="505">
        <v>7.1661409999999997</v>
      </c>
      <c r="H41" s="505">
        <v>7.5904049999999996</v>
      </c>
      <c r="I41" s="505">
        <v>10.147888999999999</v>
      </c>
      <c r="J41" s="505">
        <v>10.515425</v>
      </c>
      <c r="K41" s="505">
        <v>13.716958</v>
      </c>
      <c r="L41" s="505">
        <v>19.010211999999999</v>
      </c>
      <c r="M41" s="505">
        <v>18.197227000000002</v>
      </c>
      <c r="N41" s="505">
        <v>18.438255000000002</v>
      </c>
      <c r="O41" s="505">
        <v>19.475401000000002</v>
      </c>
      <c r="P41" s="505">
        <v>22.293707000000001</v>
      </c>
      <c r="Q41" s="505">
        <v>26.678910999999999</v>
      </c>
      <c r="R41" s="505">
        <v>26.922118999999999</v>
      </c>
      <c r="S41" s="505">
        <v>27.519611000000001</v>
      </c>
      <c r="T41" s="505">
        <v>27.557182000000001</v>
      </c>
      <c r="U41" s="505">
        <v>27.701553000000001</v>
      </c>
      <c r="V41" s="505">
        <v>27.715686999999999</v>
      </c>
      <c r="W41" s="505">
        <v>27.508210999999999</v>
      </c>
      <c r="X41" s="505">
        <v>27.614253999999999</v>
      </c>
      <c r="Y41" s="505">
        <v>27.816343</v>
      </c>
      <c r="Z41" s="505">
        <v>27.852996999999998</v>
      </c>
      <c r="AA41" s="505">
        <v>28.268554999999999</v>
      </c>
      <c r="AB41" s="505">
        <v>28.387957</v>
      </c>
      <c r="AC41" s="505">
        <v>28.441918999999999</v>
      </c>
      <c r="AD41" s="505">
        <v>28.813364</v>
      </c>
      <c r="AE41" s="505">
        <v>29.220472000000001</v>
      </c>
      <c r="AF41" s="505">
        <v>29.730851999999999</v>
      </c>
      <c r="AG41" s="505">
        <v>30.856846000000001</v>
      </c>
      <c r="AH41" s="505">
        <v>32.838771999999999</v>
      </c>
      <c r="AI41" s="505">
        <v>34.683674000000003</v>
      </c>
      <c r="AJ41" s="505">
        <v>36.394348000000001</v>
      </c>
      <c r="AK41" s="509">
        <v>5.8000000000000003E-2</v>
      </c>
      <c r="AL41"/>
    </row>
    <row r="42" spans="1:38" s="252" customFormat="1">
      <c r="A42" s="507" t="s">
        <v>725</v>
      </c>
      <c r="G42" s="505">
        <v>0</v>
      </c>
      <c r="H42" s="505">
        <v>0</v>
      </c>
      <c r="I42" s="505">
        <v>0</v>
      </c>
      <c r="J42" s="505">
        <v>0</v>
      </c>
      <c r="K42" s="505">
        <v>0</v>
      </c>
      <c r="L42" s="505">
        <v>0</v>
      </c>
      <c r="M42" s="505">
        <v>0</v>
      </c>
      <c r="N42" s="505">
        <v>0</v>
      </c>
      <c r="O42" s="505">
        <v>0</v>
      </c>
      <c r="P42" s="505">
        <v>8.4309999999999993E-3</v>
      </c>
      <c r="Q42" s="505">
        <v>1.7389000000000002E-2</v>
      </c>
      <c r="R42" s="505">
        <v>1.7389000000000002E-2</v>
      </c>
      <c r="S42" s="505">
        <v>2.7011E-2</v>
      </c>
      <c r="T42" s="505">
        <v>2.7011E-2</v>
      </c>
      <c r="U42" s="505">
        <v>2.7011E-2</v>
      </c>
      <c r="V42" s="505">
        <v>2.7011E-2</v>
      </c>
      <c r="W42" s="505">
        <v>2.7011E-2</v>
      </c>
      <c r="X42" s="505">
        <v>2.7011E-2</v>
      </c>
      <c r="Y42" s="505">
        <v>2.7011E-2</v>
      </c>
      <c r="Z42" s="505">
        <v>2.7011E-2</v>
      </c>
      <c r="AA42" s="505">
        <v>2.7011E-2</v>
      </c>
      <c r="AB42" s="505">
        <v>2.7011E-2</v>
      </c>
      <c r="AC42" s="505">
        <v>2.7011E-2</v>
      </c>
      <c r="AD42" s="505">
        <v>2.7011E-2</v>
      </c>
      <c r="AE42" s="505">
        <v>2.7011E-2</v>
      </c>
      <c r="AF42" s="505">
        <v>2.7011E-2</v>
      </c>
      <c r="AG42" s="505">
        <v>3.6249000000000003E-2</v>
      </c>
      <c r="AH42" s="505">
        <v>4.5372000000000003E-2</v>
      </c>
      <c r="AI42" s="505">
        <v>5.4299E-2</v>
      </c>
      <c r="AJ42" s="505">
        <v>6.2770000000000006E-2</v>
      </c>
      <c r="AK42" s="505" t="s">
        <v>41</v>
      </c>
      <c r="AL42"/>
    </row>
    <row r="43" spans="1:38" s="252" customFormat="1">
      <c r="A43" s="508" t="s">
        <v>726</v>
      </c>
      <c r="G43" s="506">
        <v>286.98550399999999</v>
      </c>
      <c r="H43" s="506">
        <v>281.24603300000001</v>
      </c>
      <c r="I43" s="506">
        <v>276.72119099999998</v>
      </c>
      <c r="J43" s="506">
        <v>286.01025399999997</v>
      </c>
      <c r="K43" s="506">
        <v>295.15200800000002</v>
      </c>
      <c r="L43" s="506">
        <v>298.89489700000001</v>
      </c>
      <c r="M43" s="506">
        <v>311.66940299999999</v>
      </c>
      <c r="N43" s="506">
        <v>318.44833399999999</v>
      </c>
      <c r="O43" s="506">
        <v>323.53466800000001</v>
      </c>
      <c r="P43" s="506">
        <v>329.27056900000002</v>
      </c>
      <c r="Q43" s="506">
        <v>334.915344</v>
      </c>
      <c r="R43" s="506">
        <v>341.15304600000002</v>
      </c>
      <c r="S43" s="506">
        <v>343.46560699999998</v>
      </c>
      <c r="T43" s="506">
        <v>348.90734900000001</v>
      </c>
      <c r="U43" s="506">
        <v>352.222443</v>
      </c>
      <c r="V43" s="506">
        <v>353.74606299999999</v>
      </c>
      <c r="W43" s="506">
        <v>361.25704999999999</v>
      </c>
      <c r="X43" s="506">
        <v>363.541718</v>
      </c>
      <c r="Y43" s="506">
        <v>368.514343</v>
      </c>
      <c r="Z43" s="506">
        <v>372.326752</v>
      </c>
      <c r="AA43" s="506">
        <v>372.23028599999998</v>
      </c>
      <c r="AB43" s="506">
        <v>373.57360799999998</v>
      </c>
      <c r="AC43" s="506">
        <v>375.93179300000003</v>
      </c>
      <c r="AD43" s="506">
        <v>380.09066799999999</v>
      </c>
      <c r="AE43" s="506">
        <v>381.271545</v>
      </c>
      <c r="AF43" s="506">
        <v>384.07186899999999</v>
      </c>
      <c r="AG43" s="506">
        <v>387.272156</v>
      </c>
      <c r="AH43" s="506">
        <v>390.75006100000002</v>
      </c>
      <c r="AI43" s="506">
        <v>398.57763699999998</v>
      </c>
      <c r="AJ43" s="506">
        <v>404.72262599999999</v>
      </c>
      <c r="AK43" s="510">
        <v>1.2999999999999999E-2</v>
      </c>
      <c r="AL43"/>
    </row>
    <row r="44" spans="1:38" s="252" customFormat="1">
      <c r="A44" s="251"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row>
    <row r="45" spans="1:38" s="252" customFormat="1">
      <c r="A45" s="251"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38" s="252" customFormat="1">
      <c r="A46" s="251"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38" s="254" customFormat="1">
      <c r="B47" s="369" t="s">
        <v>7</v>
      </c>
      <c r="C47" s="369" t="s">
        <v>8</v>
      </c>
      <c r="D47" s="369" t="s">
        <v>9</v>
      </c>
      <c r="E47" s="369" t="s">
        <v>10</v>
      </c>
      <c r="F47" s="369" t="s">
        <v>11</v>
      </c>
      <c r="G47" s="328" t="s">
        <v>12</v>
      </c>
      <c r="H47" s="328" t="s">
        <v>13</v>
      </c>
      <c r="I47" s="328" t="s">
        <v>14</v>
      </c>
      <c r="J47" s="328" t="s">
        <v>15</v>
      </c>
      <c r="K47" s="328" t="s">
        <v>16</v>
      </c>
      <c r="L47" s="328" t="s">
        <v>17</v>
      </c>
      <c r="M47" s="328" t="s">
        <v>18</v>
      </c>
      <c r="N47" s="328" t="s">
        <v>19</v>
      </c>
      <c r="O47" s="328" t="s">
        <v>20</v>
      </c>
      <c r="P47" s="328" t="s">
        <v>21</v>
      </c>
      <c r="Q47" s="328" t="s">
        <v>22</v>
      </c>
      <c r="R47" s="328" t="s">
        <v>23</v>
      </c>
      <c r="S47" s="328" t="s">
        <v>24</v>
      </c>
      <c r="T47" s="328" t="s">
        <v>25</v>
      </c>
      <c r="U47" s="328" t="s">
        <v>26</v>
      </c>
      <c r="V47" s="328" t="s">
        <v>27</v>
      </c>
      <c r="W47" s="328" t="s">
        <v>28</v>
      </c>
      <c r="X47" s="328" t="s">
        <v>29</v>
      </c>
      <c r="Y47" s="328" t="s">
        <v>30</v>
      </c>
      <c r="Z47" s="328" t="s">
        <v>31</v>
      </c>
      <c r="AA47" s="328" t="s">
        <v>581</v>
      </c>
      <c r="AB47" s="328" t="s">
        <v>582</v>
      </c>
      <c r="AC47" s="328" t="s">
        <v>583</v>
      </c>
      <c r="AD47" s="328" t="s">
        <v>584</v>
      </c>
      <c r="AE47" s="328" t="s">
        <v>585</v>
      </c>
      <c r="AF47" s="328" t="s">
        <v>586</v>
      </c>
      <c r="AG47" s="328" t="s">
        <v>587</v>
      </c>
      <c r="AH47" s="328" t="s">
        <v>588</v>
      </c>
      <c r="AI47" s="328" t="s">
        <v>589</v>
      </c>
      <c r="AJ47" s="328" t="s">
        <v>590</v>
      </c>
      <c r="AK47" s="328" t="s">
        <v>593</v>
      </c>
      <c r="AL47" s="254" t="s">
        <v>744</v>
      </c>
    </row>
    <row r="48" spans="1:38" s="256" customFormat="1">
      <c r="A48" s="255" t="s">
        <v>745</v>
      </c>
      <c r="B48" s="370"/>
      <c r="C48" s="370"/>
      <c r="D48" s="370"/>
      <c r="E48" s="370"/>
      <c r="F48" s="370"/>
      <c r="G48" s="326"/>
      <c r="H48" s="326"/>
      <c r="I48" s="326"/>
      <c r="J48" s="326"/>
      <c r="K48" s="326"/>
      <c r="L48" s="326"/>
      <c r="M48" s="326"/>
      <c r="N48" s="326"/>
      <c r="O48" s="326"/>
      <c r="P48" s="326"/>
      <c r="Q48" s="326"/>
      <c r="R48" s="326"/>
      <c r="S48" s="326"/>
      <c r="T48" s="326"/>
      <c r="U48" s="326"/>
      <c r="V48" s="326"/>
      <c r="W48" s="326"/>
      <c r="X48" s="326"/>
      <c r="Y48" s="326"/>
      <c r="Z48" s="326"/>
      <c r="AA48" s="326"/>
      <c r="AB48" s="326"/>
      <c r="AC48" s="326"/>
      <c r="AD48" s="326"/>
      <c r="AE48" s="326"/>
      <c r="AF48" s="326"/>
      <c r="AG48" s="326"/>
      <c r="AH48" s="326"/>
      <c r="AI48" s="326"/>
      <c r="AJ48" s="326"/>
      <c r="AK48" s="326"/>
    </row>
    <row r="49" spans="1:38" s="256" customFormat="1">
      <c r="A49" s="255" t="s">
        <v>68</v>
      </c>
      <c r="B49" s="512">
        <v>39.472999999999999</v>
      </c>
      <c r="C49" s="512">
        <v>41.582999999999998</v>
      </c>
      <c r="D49" s="512">
        <v>41.54</v>
      </c>
      <c r="E49" s="512">
        <v>34.478000000000002</v>
      </c>
      <c r="F49" s="512">
        <v>37.670999999999999</v>
      </c>
      <c r="G49" s="490">
        <f>G36*$AL49</f>
        <v>31.58472581484509</v>
      </c>
      <c r="H49" s="490">
        <f t="shared" ref="H49:AJ52" si="0">H36*$AL49</f>
        <v>25.693145178307248</v>
      </c>
      <c r="I49" s="490">
        <f t="shared" si="0"/>
        <v>26.341292060469822</v>
      </c>
      <c r="J49" s="490">
        <f t="shared" si="0"/>
        <v>29.97201806093214</v>
      </c>
      <c r="K49" s="490">
        <f t="shared" si="0"/>
        <v>27.71105445940314</v>
      </c>
      <c r="L49" s="490">
        <f t="shared" si="0"/>
        <v>25.73235131873794</v>
      </c>
      <c r="M49" s="490">
        <f t="shared" si="0"/>
        <v>28.052160496810675</v>
      </c>
      <c r="N49" s="490">
        <f t="shared" si="0"/>
        <v>30.533170839334527</v>
      </c>
      <c r="O49" s="490">
        <f t="shared" si="0"/>
        <v>30.884983261504338</v>
      </c>
      <c r="P49" s="490">
        <f t="shared" si="0"/>
        <v>30.184389349438518</v>
      </c>
      <c r="Q49" s="490">
        <f t="shared" si="0"/>
        <v>30.541577048007341</v>
      </c>
      <c r="R49" s="490">
        <f t="shared" si="0"/>
        <v>30.971021008274818</v>
      </c>
      <c r="S49" s="490">
        <f t="shared" si="0"/>
        <v>31.145606409955242</v>
      </c>
      <c r="T49" s="490">
        <f t="shared" si="0"/>
        <v>31.545511475557458</v>
      </c>
      <c r="U49" s="490">
        <f t="shared" si="0"/>
        <v>31.849620567759704</v>
      </c>
      <c r="V49" s="490">
        <f t="shared" si="0"/>
        <v>31.847096377740403</v>
      </c>
      <c r="W49" s="490">
        <f t="shared" si="0"/>
        <v>31.973534653261684</v>
      </c>
      <c r="X49" s="490">
        <f t="shared" si="0"/>
        <v>31.945632356232579</v>
      </c>
      <c r="Y49" s="490">
        <f t="shared" si="0"/>
        <v>32.048761017005248</v>
      </c>
      <c r="Z49" s="490">
        <f t="shared" si="0"/>
        <v>32.122556547973844</v>
      </c>
      <c r="AA49" s="490">
        <f t="shared" si="0"/>
        <v>32.120978664732526</v>
      </c>
      <c r="AB49" s="490">
        <f t="shared" si="0"/>
        <v>32.194479565809928</v>
      </c>
      <c r="AC49" s="490">
        <f t="shared" si="0"/>
        <v>32.221377106145475</v>
      </c>
      <c r="AD49" s="490">
        <f t="shared" si="0"/>
        <v>32.266202901807731</v>
      </c>
      <c r="AE49" s="490">
        <f t="shared" si="0"/>
        <v>32.256991618279642</v>
      </c>
      <c r="AF49" s="490">
        <f t="shared" si="0"/>
        <v>32.286336649650245</v>
      </c>
      <c r="AG49" s="490">
        <f t="shared" si="0"/>
        <v>32.265581375556124</v>
      </c>
      <c r="AH49" s="490">
        <f t="shared" si="0"/>
        <v>32.28050514653463</v>
      </c>
      <c r="AI49" s="490">
        <f t="shared" si="0"/>
        <v>32.272659898363798</v>
      </c>
      <c r="AJ49" s="490">
        <f t="shared" si="0"/>
        <v>32.252925778677103</v>
      </c>
      <c r="AK49"/>
      <c r="AL49" s="511">
        <v>0.26447925600343053</v>
      </c>
    </row>
    <row r="50" spans="1:38" s="256" customFormat="1">
      <c r="A50" s="255" t="s">
        <v>69</v>
      </c>
      <c r="B50" s="513">
        <v>0.23699999999999999</v>
      </c>
      <c r="C50" s="513">
        <v>0.217</v>
      </c>
      <c r="D50" s="513">
        <v>0.18</v>
      </c>
      <c r="E50" s="513">
        <v>0.52300000000000002</v>
      </c>
      <c r="F50" s="513">
        <v>0.191</v>
      </c>
      <c r="G50" s="490">
        <f t="shared" ref="G50:V52" si="1">G37*$AL50</f>
        <v>0.26880220013350326</v>
      </c>
      <c r="H50" s="490">
        <f t="shared" si="1"/>
        <v>0.19220893549365858</v>
      </c>
      <c r="I50" s="490">
        <f t="shared" si="1"/>
        <v>0.32638799514533651</v>
      </c>
      <c r="J50" s="490">
        <f t="shared" si="1"/>
        <v>0.34456437817828756</v>
      </c>
      <c r="K50" s="490">
        <f t="shared" si="1"/>
        <v>0.33461748309970263</v>
      </c>
      <c r="L50" s="490">
        <f t="shared" si="1"/>
        <v>0.32843975168396145</v>
      </c>
      <c r="M50" s="490">
        <f t="shared" si="1"/>
        <v>0.33512268948358515</v>
      </c>
      <c r="N50" s="490">
        <f t="shared" si="1"/>
        <v>0.34739088269919288</v>
      </c>
      <c r="O50" s="490">
        <f t="shared" si="1"/>
        <v>0.3506666232174282</v>
      </c>
      <c r="P50" s="490">
        <f t="shared" si="1"/>
        <v>0.35166783032951027</v>
      </c>
      <c r="Q50" s="490">
        <f t="shared" si="1"/>
        <v>0.35884750530978821</v>
      </c>
      <c r="R50" s="490">
        <f t="shared" si="1"/>
        <v>0.36250730578311791</v>
      </c>
      <c r="S50" s="490">
        <f t="shared" si="1"/>
        <v>0.36370477747436131</v>
      </c>
      <c r="T50" s="490">
        <f t="shared" si="1"/>
        <v>0.36574622367862125</v>
      </c>
      <c r="U50" s="490">
        <f t="shared" si="1"/>
        <v>0.33388287177620002</v>
      </c>
      <c r="V50" s="490">
        <f t="shared" si="1"/>
        <v>0.27039993373384308</v>
      </c>
      <c r="W50" s="490">
        <f t="shared" si="0"/>
        <v>0.24008386843861887</v>
      </c>
      <c r="X50" s="490">
        <f t="shared" si="0"/>
        <v>0.22510295260634747</v>
      </c>
      <c r="Y50" s="490">
        <f t="shared" si="0"/>
        <v>0.22439964051216701</v>
      </c>
      <c r="Z50" s="490">
        <f t="shared" si="0"/>
        <v>0.22324782887311123</v>
      </c>
      <c r="AA50" s="490">
        <f t="shared" si="0"/>
        <v>0.22087313793312699</v>
      </c>
      <c r="AB50" s="490">
        <f t="shared" si="0"/>
        <v>0.21917708793009283</v>
      </c>
      <c r="AC50" s="490">
        <f t="shared" si="0"/>
        <v>0.21180446240669942</v>
      </c>
      <c r="AD50" s="490">
        <f t="shared" si="0"/>
        <v>0.21227063681048605</v>
      </c>
      <c r="AE50" s="490">
        <f t="shared" si="0"/>
        <v>0.21176911268887674</v>
      </c>
      <c r="AF50" s="490">
        <f t="shared" si="0"/>
        <v>0.21192524060926027</v>
      </c>
      <c r="AG50" s="490">
        <f t="shared" si="0"/>
        <v>0.2121925728502943</v>
      </c>
      <c r="AH50" s="490">
        <f t="shared" si="0"/>
        <v>0.21173486764973604</v>
      </c>
      <c r="AI50" s="490">
        <f t="shared" si="0"/>
        <v>0.21226658632198556</v>
      </c>
      <c r="AJ50" s="490">
        <f t="shared" si="0"/>
        <v>0.21160967073244735</v>
      </c>
      <c r="AK50"/>
      <c r="AL50" s="511">
        <v>0.3682262273196189</v>
      </c>
    </row>
    <row r="51" spans="1:38" s="256" customFormat="1">
      <c r="A51" s="255" t="s">
        <v>76</v>
      </c>
      <c r="B51" s="513">
        <v>6.0679999999999996</v>
      </c>
      <c r="C51" s="513">
        <v>5.9649999999999999</v>
      </c>
      <c r="D51" s="513">
        <v>5.7290000000000001</v>
      </c>
      <c r="E51" s="513">
        <v>9.7799999999999994</v>
      </c>
      <c r="F51" s="513">
        <v>10.927</v>
      </c>
      <c r="G51" s="490">
        <f t="shared" si="1"/>
        <v>13.585149493981584</v>
      </c>
      <c r="H51" s="490">
        <f t="shared" si="0"/>
        <v>18.752985185017266</v>
      </c>
      <c r="I51" s="490">
        <f t="shared" si="0"/>
        <v>15.984267982467042</v>
      </c>
      <c r="J51" s="490">
        <f t="shared" si="0"/>
        <v>14.354569984636512</v>
      </c>
      <c r="K51" s="490">
        <f t="shared" si="0"/>
        <v>18.011578592098253</v>
      </c>
      <c r="L51" s="490">
        <f t="shared" si="0"/>
        <v>19.610978782437485</v>
      </c>
      <c r="M51" s="490">
        <f t="shared" si="0"/>
        <v>19.331247358448408</v>
      </c>
      <c r="N51" s="490">
        <f t="shared" si="0"/>
        <v>16.589103602157689</v>
      </c>
      <c r="O51" s="490">
        <f t="shared" si="0"/>
        <v>15.88437165772141</v>
      </c>
      <c r="P51" s="490">
        <f t="shared" si="0"/>
        <v>17.310907361240307</v>
      </c>
      <c r="Q51" s="490">
        <f t="shared" si="0"/>
        <v>17.272039012443798</v>
      </c>
      <c r="R51" s="490">
        <f t="shared" si="0"/>
        <v>18.67699693970841</v>
      </c>
      <c r="S51" s="490">
        <f t="shared" si="0"/>
        <v>19.012725874571068</v>
      </c>
      <c r="T51" s="490">
        <f t="shared" si="0"/>
        <v>20.26489123794806</v>
      </c>
      <c r="U51" s="490">
        <f t="shared" si="0"/>
        <v>20.943721796464768</v>
      </c>
      <c r="V51" s="490">
        <f t="shared" si="0"/>
        <v>21.488490815112488</v>
      </c>
      <c r="W51" s="490">
        <f t="shared" si="0"/>
        <v>23.847764759772687</v>
      </c>
      <c r="X51" s="490">
        <f t="shared" si="0"/>
        <v>24.59674089137172</v>
      </c>
      <c r="Y51" s="490">
        <f t="shared" si="0"/>
        <v>26.008659765762122</v>
      </c>
      <c r="Z51" s="490">
        <f t="shared" si="0"/>
        <v>27.136182099326398</v>
      </c>
      <c r="AA51" s="490">
        <f t="shared" si="0"/>
        <v>26.975177254487352</v>
      </c>
      <c r="AB51" s="490">
        <f t="shared" si="0"/>
        <v>27.281381605643858</v>
      </c>
      <c r="AC51" s="490">
        <f t="shared" si="0"/>
        <v>27.997408094345115</v>
      </c>
      <c r="AD51" s="490">
        <f t="shared" si="0"/>
        <v>29.162550020292876</v>
      </c>
      <c r="AE51" s="490">
        <f t="shared" si="0"/>
        <v>29.423455700349642</v>
      </c>
      <c r="AF51" s="490">
        <f t="shared" si="0"/>
        <v>29.895268799632596</v>
      </c>
      <c r="AG51" s="490">
        <f t="shared" si="0"/>
        <v>30.528850946595586</v>
      </c>
      <c r="AH51" s="490">
        <f t="shared" si="0"/>
        <v>30.990069913492285</v>
      </c>
      <c r="AI51" s="490">
        <f t="shared" si="0"/>
        <v>32.672557187841186</v>
      </c>
      <c r="AJ51" s="490">
        <f t="shared" si="0"/>
        <v>34.069951697780738</v>
      </c>
      <c r="AK51"/>
      <c r="AL51" s="511">
        <v>0.32217657714505188</v>
      </c>
    </row>
    <row r="52" spans="1:38" s="256" customFormat="1">
      <c r="A52" s="255" t="s">
        <v>71</v>
      </c>
      <c r="B52" s="514">
        <v>50.796999999999997</v>
      </c>
      <c r="C52" s="514">
        <v>53.2</v>
      </c>
      <c r="D52" s="514">
        <v>51.762999999999998</v>
      </c>
      <c r="E52" s="514">
        <v>52.15</v>
      </c>
      <c r="F52" s="514">
        <v>51.988</v>
      </c>
      <c r="G52" s="490">
        <f t="shared" si="1"/>
        <v>51.634445062838232</v>
      </c>
      <c r="H52" s="490">
        <f t="shared" si="0"/>
        <v>51.754659837773687</v>
      </c>
      <c r="I52" s="490">
        <f t="shared" si="0"/>
        <v>51.025416210292406</v>
      </c>
      <c r="J52" s="490">
        <f t="shared" si="0"/>
        <v>51.113397484342379</v>
      </c>
      <c r="K52" s="490">
        <f t="shared" si="0"/>
        <v>52.486035642356342</v>
      </c>
      <c r="L52" s="490">
        <f t="shared" si="0"/>
        <v>52.91234086659415</v>
      </c>
      <c r="M52" s="490">
        <f t="shared" si="0"/>
        <v>55.371459312617318</v>
      </c>
      <c r="N52" s="490">
        <f t="shared" si="0"/>
        <v>57.817045182541342</v>
      </c>
      <c r="O52" s="490">
        <f t="shared" si="0"/>
        <v>59.942505036373781</v>
      </c>
      <c r="P52" s="490">
        <f t="shared" si="0"/>
        <v>60.431594261609284</v>
      </c>
      <c r="Q52" s="490">
        <f t="shared" si="0"/>
        <v>60.431601205397925</v>
      </c>
      <c r="R52" s="490">
        <f t="shared" si="0"/>
        <v>60.431594261609284</v>
      </c>
      <c r="S52" s="490">
        <f t="shared" si="0"/>
        <v>60.431601205397925</v>
      </c>
      <c r="T52" s="490">
        <f t="shared" si="0"/>
        <v>60.431601205397925</v>
      </c>
      <c r="U52" s="490">
        <f t="shared" si="0"/>
        <v>60.431594261609284</v>
      </c>
      <c r="V52" s="490">
        <f t="shared" si="0"/>
        <v>60.431806481149799</v>
      </c>
      <c r="W52" s="490">
        <f t="shared" si="0"/>
        <v>60.431594261609284</v>
      </c>
      <c r="X52" s="490">
        <f t="shared" si="0"/>
        <v>60.431594261609284</v>
      </c>
      <c r="Y52" s="490">
        <f t="shared" si="0"/>
        <v>60.431594261609284</v>
      </c>
      <c r="Z52" s="490">
        <f t="shared" si="0"/>
        <v>60.431601205397925</v>
      </c>
      <c r="AA52" s="490">
        <f t="shared" si="0"/>
        <v>60.431594261609284</v>
      </c>
      <c r="AB52" s="490">
        <f t="shared" si="0"/>
        <v>60.431601205397925</v>
      </c>
      <c r="AC52" s="490">
        <f t="shared" si="0"/>
        <v>60.431601205397925</v>
      </c>
      <c r="AD52" s="490">
        <f t="shared" si="0"/>
        <v>60.431601205397925</v>
      </c>
      <c r="AE52" s="490">
        <f t="shared" si="0"/>
        <v>60.431601205397925</v>
      </c>
      <c r="AF52" s="490">
        <f t="shared" si="0"/>
        <v>60.741482963301458</v>
      </c>
      <c r="AG52" s="490">
        <f t="shared" si="0"/>
        <v>60.817822541698185</v>
      </c>
      <c r="AH52" s="490">
        <f t="shared" si="0"/>
        <v>60.817816031896335</v>
      </c>
      <c r="AI52" s="490">
        <f t="shared" si="0"/>
        <v>61.156172965080238</v>
      </c>
      <c r="AJ52" s="490">
        <f t="shared" si="0"/>
        <v>61.227618908428106</v>
      </c>
      <c r="AK52"/>
      <c r="AL52" s="511">
        <v>0.43398679042839039</v>
      </c>
    </row>
    <row r="53" spans="1:38" s="256" customFormat="1">
      <c r="A53" s="255" t="s">
        <v>326</v>
      </c>
      <c r="B53" s="515"/>
      <c r="C53" s="515"/>
      <c r="D53" s="515"/>
      <c r="E53" s="515"/>
      <c r="F53" s="515"/>
      <c r="G53" s="490"/>
      <c r="H53" s="490"/>
      <c r="I53" s="490"/>
      <c r="J53" s="490"/>
      <c r="K53" s="490"/>
      <c r="L53" s="490"/>
      <c r="M53" s="490"/>
      <c r="N53" s="490"/>
      <c r="O53" s="490"/>
      <c r="P53" s="490"/>
      <c r="Q53" s="490"/>
      <c r="R53" s="490"/>
      <c r="S53" s="490"/>
      <c r="T53" s="490"/>
      <c r="U53" s="490"/>
      <c r="V53" s="490"/>
      <c r="W53" s="490"/>
      <c r="X53" s="490"/>
      <c r="Y53" s="490"/>
      <c r="Z53" s="490"/>
      <c r="AA53" s="490"/>
      <c r="AB53" s="490"/>
      <c r="AC53" s="490"/>
      <c r="AD53" s="490"/>
      <c r="AE53" s="490"/>
      <c r="AF53" s="490"/>
      <c r="AG53" s="490"/>
      <c r="AH53" s="490"/>
      <c r="AI53" s="490"/>
      <c r="AJ53" s="490"/>
      <c r="AK53"/>
      <c r="AL53" s="511"/>
    </row>
    <row r="54" spans="1:38" s="256" customFormat="1">
      <c r="A54" s="255" t="s">
        <v>627</v>
      </c>
      <c r="B54" s="514">
        <v>3.7170000000000001</v>
      </c>
      <c r="C54" s="514">
        <v>3.552</v>
      </c>
      <c r="D54" s="514">
        <v>2.9390000000000001</v>
      </c>
      <c r="E54" s="514">
        <v>4.08</v>
      </c>
      <c r="F54" s="514">
        <v>4.25</v>
      </c>
      <c r="G54" s="490">
        <f>EIA_RE_aeo2014!G79</f>
        <v>3.8213217836671789</v>
      </c>
      <c r="H54" s="490">
        <f>EIA_RE_aeo2014!H79</f>
        <v>3.8578781225856544</v>
      </c>
      <c r="I54" s="490">
        <f>EIA_RE_aeo2014!I79</f>
        <v>4.961615445923818</v>
      </c>
      <c r="J54" s="490">
        <f>EIA_RE_aeo2014!J79</f>
        <v>5.0592645182692086</v>
      </c>
      <c r="K54" s="490">
        <f>EIA_RE_aeo2014!K79</f>
        <v>5.1635759278324889</v>
      </c>
      <c r="L54" s="490">
        <f>EIA_RE_aeo2014!L79</f>
        <v>6.4827528108133237</v>
      </c>
      <c r="M54" s="490">
        <f>EIA_RE_aeo2014!M79</f>
        <v>6.1763204910427234</v>
      </c>
      <c r="N54" s="490">
        <f>EIA_RE_aeo2014!N79</f>
        <v>6.2741287187138637</v>
      </c>
      <c r="O54" s="490">
        <f>EIA_RE_aeo2014!O79</f>
        <v>6.6483501345864404</v>
      </c>
      <c r="P54" s="490">
        <f>EIA_RE_aeo2014!P79</f>
        <v>7.6288186684591759</v>
      </c>
      <c r="Q54" s="490">
        <f>EIA_RE_aeo2014!Q79</f>
        <v>9.1392111871497725</v>
      </c>
      <c r="R54" s="490">
        <f>EIA_RE_aeo2014!R79</f>
        <v>9.2561799123703423</v>
      </c>
      <c r="S54" s="490">
        <f>EIA_RE_aeo2014!S79</f>
        <v>9.4908035302267724</v>
      </c>
      <c r="T54" s="490">
        <f>EIA_RE_aeo2014!T79</f>
        <v>9.5301574750606957</v>
      </c>
      <c r="U54" s="490">
        <f>EIA_RE_aeo2014!U79</f>
        <v>9.5895481715068165</v>
      </c>
      <c r="V54" s="490">
        <f>EIA_RE_aeo2014!V79</f>
        <v>9.5960158353778606</v>
      </c>
      <c r="W54" s="490">
        <f>EIA_RE_aeo2014!W79</f>
        <v>9.5411234749648752</v>
      </c>
      <c r="X54" s="490">
        <f>EIA_RE_aeo2014!X79</f>
        <v>9.5706514667248523</v>
      </c>
      <c r="Y54" s="490">
        <f>EIA_RE_aeo2014!Y79</f>
        <v>9.5937354414401366</v>
      </c>
      <c r="Z54" s="490">
        <f>EIA_RE_aeo2014!Z79</f>
        <v>9.5386539457591581</v>
      </c>
      <c r="AA54" s="490">
        <f>EIA_RE_aeo2014!AA79</f>
        <v>9.5750761378453593</v>
      </c>
      <c r="AB54" s="490">
        <f>EIA_RE_aeo2014!AB79</f>
        <v>9.5816490882189225</v>
      </c>
      <c r="AC54" s="490">
        <f>EIA_RE_aeo2014!AC79</f>
        <v>9.5934552356098948</v>
      </c>
      <c r="AD54" s="490">
        <f>EIA_RE_aeo2014!AD79</f>
        <v>9.638043096525255</v>
      </c>
      <c r="AE54" s="490">
        <f>EIA_RE_aeo2014!AE79</f>
        <v>9.667203255311664</v>
      </c>
      <c r="AF54" s="490">
        <f>EIA_RE_aeo2014!AF79</f>
        <v>9.7040781132675402</v>
      </c>
      <c r="AG54" s="490">
        <f>EIA_RE_aeo2014!AG79</f>
        <v>9.7352573162398297</v>
      </c>
      <c r="AH54" s="490">
        <f>EIA_RE_aeo2014!AH79</f>
        <v>9.7250319472933224</v>
      </c>
      <c r="AI54" s="490">
        <f>EIA_RE_aeo2014!AI79</f>
        <v>9.7594342252441617</v>
      </c>
      <c r="AJ54" s="490">
        <f>EIA_RE_aeo2014!AJ79</f>
        <v>9.7892746704438718</v>
      </c>
      <c r="AK54"/>
      <c r="AL54" s="511">
        <v>0.27773576940792216</v>
      </c>
    </row>
    <row r="55" spans="1:38" s="256" customFormat="1">
      <c r="A55" s="255" t="s">
        <v>628</v>
      </c>
      <c r="B55" s="514">
        <v>9.5000000000000001E-2</v>
      </c>
      <c r="C55" s="514">
        <v>9.6000000000000002E-2</v>
      </c>
      <c r="D55" s="514">
        <v>9.4E-2</v>
      </c>
      <c r="E55" s="514">
        <v>9.0999999999999998E-2</v>
      </c>
      <c r="F55" s="514">
        <v>6.0999999999999999E-2</v>
      </c>
      <c r="G55" s="490">
        <f t="shared" ref="G55:V55" si="2">G42*$AL55</f>
        <v>0</v>
      </c>
      <c r="H55" s="490">
        <f t="shared" si="2"/>
        <v>0</v>
      </c>
      <c r="I55" s="490">
        <f t="shared" si="2"/>
        <v>0</v>
      </c>
      <c r="J55" s="490">
        <f t="shared" si="2"/>
        <v>0</v>
      </c>
      <c r="K55" s="490">
        <f t="shared" si="2"/>
        <v>0</v>
      </c>
      <c r="L55" s="490">
        <f t="shared" si="2"/>
        <v>0</v>
      </c>
      <c r="M55" s="490">
        <f t="shared" si="2"/>
        <v>0</v>
      </c>
      <c r="N55" s="490">
        <f t="shared" si="2"/>
        <v>0</v>
      </c>
      <c r="O55" s="490">
        <f t="shared" si="2"/>
        <v>0</v>
      </c>
      <c r="P55" s="490">
        <f t="shared" si="2"/>
        <v>8.68245993537626E-4</v>
      </c>
      <c r="Q55" s="490">
        <f t="shared" si="2"/>
        <v>1.7907637980815777E-3</v>
      </c>
      <c r="R55" s="490">
        <f t="shared" si="2"/>
        <v>1.7907637980815777E-3</v>
      </c>
      <c r="S55" s="490">
        <f t="shared" si="2"/>
        <v>2.7816620248422271E-3</v>
      </c>
      <c r="T55" s="490">
        <f t="shared" si="2"/>
        <v>2.7816620248422271E-3</v>
      </c>
      <c r="U55" s="490">
        <f t="shared" si="2"/>
        <v>2.7816620248422271E-3</v>
      </c>
      <c r="V55" s="490">
        <f t="shared" si="2"/>
        <v>2.7816620248422271E-3</v>
      </c>
      <c r="W55" s="490">
        <f t="shared" ref="W55:AJ55" si="3">W42*$AL55</f>
        <v>2.7816620248422271E-3</v>
      </c>
      <c r="X55" s="490">
        <f t="shared" si="3"/>
        <v>2.7816620248422271E-3</v>
      </c>
      <c r="Y55" s="490">
        <f t="shared" si="3"/>
        <v>2.7816620248422271E-3</v>
      </c>
      <c r="Z55" s="490">
        <f t="shared" si="3"/>
        <v>2.7816620248422271E-3</v>
      </c>
      <c r="AA55" s="490">
        <f t="shared" si="3"/>
        <v>2.7816620248422271E-3</v>
      </c>
      <c r="AB55" s="490">
        <f t="shared" si="3"/>
        <v>2.7816620248422271E-3</v>
      </c>
      <c r="AC55" s="490">
        <f t="shared" si="3"/>
        <v>2.7816620248422271E-3</v>
      </c>
      <c r="AD55" s="490">
        <f t="shared" si="3"/>
        <v>2.7816620248422271E-3</v>
      </c>
      <c r="AE55" s="490">
        <f t="shared" si="3"/>
        <v>2.7816620248422271E-3</v>
      </c>
      <c r="AF55" s="490">
        <f t="shared" si="3"/>
        <v>2.7816620248422271E-3</v>
      </c>
      <c r="AG55" s="490">
        <f t="shared" si="3"/>
        <v>3.7330149471884013E-3</v>
      </c>
      <c r="AH55" s="490">
        <f t="shared" si="3"/>
        <v>4.6725248747229477E-3</v>
      </c>
      <c r="AI55" s="490">
        <f t="shared" si="3"/>
        <v>5.591850219795939E-3</v>
      </c>
      <c r="AJ55" s="490">
        <f t="shared" si="3"/>
        <v>6.4642155158767403E-3</v>
      </c>
      <c r="AK55"/>
      <c r="AL55" s="511">
        <v>0.10298256357936497</v>
      </c>
    </row>
    <row r="56" spans="1:38" s="256" customFormat="1">
      <c r="A56" s="255" t="s">
        <v>82</v>
      </c>
      <c r="B56" s="516">
        <v>99.268000000000001</v>
      </c>
      <c r="C56" s="516">
        <v>103.402</v>
      </c>
      <c r="D56" s="516">
        <v>100.97799999999999</v>
      </c>
      <c r="E56" s="516">
        <v>100.125</v>
      </c>
      <c r="F56" s="516">
        <v>104.15300000000001</v>
      </c>
      <c r="G56" s="524">
        <f>G58</f>
        <v>100.89444435546558</v>
      </c>
      <c r="H56" s="524">
        <f t="shared" ref="H56:AJ56" si="4">H58</f>
        <v>100.25087725917753</v>
      </c>
      <c r="I56" s="524">
        <f t="shared" si="4"/>
        <v>98.638979694298413</v>
      </c>
      <c r="J56" s="524">
        <f t="shared" si="4"/>
        <v>100.84381442635852</v>
      </c>
      <c r="K56" s="524">
        <f t="shared" si="4"/>
        <v>103.70686210478992</v>
      </c>
      <c r="L56" s="524">
        <f t="shared" si="4"/>
        <v>105.06686353026686</v>
      </c>
      <c r="M56" s="524">
        <f t="shared" si="4"/>
        <v>109.26631034840273</v>
      </c>
      <c r="N56" s="524">
        <f t="shared" si="4"/>
        <v>111.56083922544663</v>
      </c>
      <c r="O56" s="524">
        <f t="shared" si="4"/>
        <v>113.71087671340339</v>
      </c>
      <c r="P56" s="524">
        <f t="shared" si="4"/>
        <v>115.90824571707034</v>
      </c>
      <c r="Q56" s="524">
        <f t="shared" si="4"/>
        <v>117.7450667221067</v>
      </c>
      <c r="R56" s="524">
        <f t="shared" si="4"/>
        <v>119.70009019154405</v>
      </c>
      <c r="S56" s="524">
        <f t="shared" si="4"/>
        <v>120.4472234596502</v>
      </c>
      <c r="T56" s="524">
        <f t="shared" si="4"/>
        <v>122.1406892796676</v>
      </c>
      <c r="U56" s="524">
        <f t="shared" si="4"/>
        <v>123.15114933114162</v>
      </c>
      <c r="V56" s="524">
        <f t="shared" si="4"/>
        <v>123.63659110513925</v>
      </c>
      <c r="W56" s="524">
        <f t="shared" si="4"/>
        <v>126.036882680072</v>
      </c>
      <c r="X56" s="524">
        <f t="shared" si="4"/>
        <v>126.77250359056963</v>
      </c>
      <c r="Y56" s="524">
        <f t="shared" si="4"/>
        <v>128.30993178835379</v>
      </c>
      <c r="Z56" s="524">
        <f t="shared" si="4"/>
        <v>129.45502328935527</v>
      </c>
      <c r="AA56" s="524">
        <f t="shared" si="4"/>
        <v>129.3264811186325</v>
      </c>
      <c r="AB56" s="524">
        <f t="shared" si="4"/>
        <v>129.71107021502556</v>
      </c>
      <c r="AC56" s="524">
        <f t="shared" si="4"/>
        <v>130.45842776592994</v>
      </c>
      <c r="AD56" s="524">
        <f t="shared" si="4"/>
        <v>131.71344952285909</v>
      </c>
      <c r="AE56" s="524">
        <f t="shared" si="4"/>
        <v>131.99380255405259</v>
      </c>
      <c r="AF56" s="524">
        <f t="shared" si="4"/>
        <v>132.84187342848594</v>
      </c>
      <c r="AG56" s="524">
        <f t="shared" si="4"/>
        <v>133.56343776788719</v>
      </c>
      <c r="AH56" s="524">
        <f t="shared" si="4"/>
        <v>134.02983043174106</v>
      </c>
      <c r="AI56" s="524">
        <f t="shared" si="4"/>
        <v>136.07868271307115</v>
      </c>
      <c r="AJ56" s="524">
        <f t="shared" si="4"/>
        <v>137.55784494157814</v>
      </c>
      <c r="AK56"/>
      <c r="AL56" s="511">
        <v>0.3381018543787363</v>
      </c>
    </row>
    <row r="57" spans="1:38" s="256" customFormat="1">
      <c r="B57" s="494"/>
      <c r="C57" s="494"/>
      <c r="D57" s="494"/>
      <c r="E57" s="494"/>
      <c r="F57" s="494"/>
      <c r="G57" s="495"/>
      <c r="H57" s="495"/>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row>
    <row r="58" spans="1:38" s="256" customFormat="1">
      <c r="A58" s="255" t="s">
        <v>83</v>
      </c>
      <c r="B58" s="489">
        <f>SUM(B49:B52,B54,B55)</f>
        <v>100.38699999999999</v>
      </c>
      <c r="C58" s="489">
        <f t="shared" ref="C58:AJ58" si="5">SUM(C49:C52,C54,C55)</f>
        <v>104.61300000000001</v>
      </c>
      <c r="D58" s="489">
        <f t="shared" si="5"/>
        <v>102.24499999999998</v>
      </c>
      <c r="E58" s="489">
        <f t="shared" si="5"/>
        <v>101.102</v>
      </c>
      <c r="F58" s="489">
        <f t="shared" si="5"/>
        <v>105.08800000000001</v>
      </c>
      <c r="G58" s="489">
        <f t="shared" si="5"/>
        <v>100.89444435546558</v>
      </c>
      <c r="H58" s="489">
        <f t="shared" si="5"/>
        <v>100.25087725917753</v>
      </c>
      <c r="I58" s="489">
        <f t="shared" si="5"/>
        <v>98.638979694298413</v>
      </c>
      <c r="J58" s="489">
        <f t="shared" si="5"/>
        <v>100.84381442635852</v>
      </c>
      <c r="K58" s="489">
        <f t="shared" si="5"/>
        <v>103.70686210478992</v>
      </c>
      <c r="L58" s="489">
        <f t="shared" si="5"/>
        <v>105.06686353026686</v>
      </c>
      <c r="M58" s="489">
        <f t="shared" si="5"/>
        <v>109.26631034840273</v>
      </c>
      <c r="N58" s="489">
        <f t="shared" si="5"/>
        <v>111.56083922544663</v>
      </c>
      <c r="O58" s="489">
        <f t="shared" si="5"/>
        <v>113.71087671340339</v>
      </c>
      <c r="P58" s="489">
        <f t="shared" si="5"/>
        <v>115.90824571707034</v>
      </c>
      <c r="Q58" s="489">
        <f t="shared" si="5"/>
        <v>117.7450667221067</v>
      </c>
      <c r="R58" s="489">
        <f t="shared" si="5"/>
        <v>119.70009019154405</v>
      </c>
      <c r="S58" s="489">
        <f t="shared" si="5"/>
        <v>120.4472234596502</v>
      </c>
      <c r="T58" s="489">
        <f t="shared" si="5"/>
        <v>122.1406892796676</v>
      </c>
      <c r="U58" s="489">
        <f t="shared" si="5"/>
        <v>123.15114933114162</v>
      </c>
      <c r="V58" s="489">
        <f t="shared" si="5"/>
        <v>123.63659110513925</v>
      </c>
      <c r="W58" s="489">
        <f t="shared" si="5"/>
        <v>126.036882680072</v>
      </c>
      <c r="X58" s="489">
        <f t="shared" si="5"/>
        <v>126.77250359056963</v>
      </c>
      <c r="Y58" s="489">
        <f t="shared" si="5"/>
        <v>128.30993178835379</v>
      </c>
      <c r="Z58" s="489">
        <f t="shared" si="5"/>
        <v>129.45502328935527</v>
      </c>
      <c r="AA58" s="489">
        <f t="shared" si="5"/>
        <v>129.3264811186325</v>
      </c>
      <c r="AB58" s="489">
        <f t="shared" si="5"/>
        <v>129.71107021502556</v>
      </c>
      <c r="AC58" s="489">
        <f t="shared" si="5"/>
        <v>130.45842776592994</v>
      </c>
      <c r="AD58" s="489">
        <f t="shared" si="5"/>
        <v>131.71344952285909</v>
      </c>
      <c r="AE58" s="489">
        <f t="shared" si="5"/>
        <v>131.99380255405259</v>
      </c>
      <c r="AF58" s="489">
        <f t="shared" si="5"/>
        <v>132.84187342848594</v>
      </c>
      <c r="AG58" s="489">
        <f t="shared" si="5"/>
        <v>133.56343776788719</v>
      </c>
      <c r="AH58" s="489">
        <f t="shared" si="5"/>
        <v>134.02983043174106</v>
      </c>
      <c r="AI58" s="489">
        <f t="shared" si="5"/>
        <v>136.07868271307115</v>
      </c>
      <c r="AJ58" s="489">
        <f t="shared" si="5"/>
        <v>137.55784494157814</v>
      </c>
      <c r="AK58" s="496">
        <v>8.9999999999999993E-3</v>
      </c>
    </row>
    <row r="59" spans="1:38">
      <c r="A59" s="6" t="s">
        <v>84</v>
      </c>
      <c r="B59" s="371">
        <v>3906.17822265625</v>
      </c>
      <c r="C59" s="371">
        <v>4003.6083984375</v>
      </c>
      <c r="D59" s="371">
        <v>4006.09130859375</v>
      </c>
      <c r="E59" s="371">
        <v>3992.21752929688</v>
      </c>
      <c r="F59" s="371">
        <v>4046.56079101563</v>
      </c>
      <c r="G59" s="249">
        <v>3975.9853520000001</v>
      </c>
      <c r="H59" s="249">
        <v>3914.8715820000002</v>
      </c>
      <c r="I59" s="249">
        <v>3921.3237300000001</v>
      </c>
      <c r="J59" s="249">
        <v>3939.0678710000002</v>
      </c>
      <c r="K59" s="249">
        <v>4009.0505370000001</v>
      </c>
      <c r="L59" s="249">
        <v>4063.0170899999998</v>
      </c>
      <c r="M59" s="249">
        <v>4119.9077150000003</v>
      </c>
      <c r="N59" s="249">
        <v>4166.5869140000004</v>
      </c>
      <c r="O59" s="249">
        <v>4198.9038090000004</v>
      </c>
      <c r="P59" s="249">
        <v>4219.6909180000002</v>
      </c>
      <c r="Q59" s="249">
        <v>4252.6411129999997</v>
      </c>
      <c r="R59" s="249">
        <v>4292.3344729999999</v>
      </c>
      <c r="S59" s="249">
        <v>4339.8535160000001</v>
      </c>
      <c r="T59" s="249">
        <v>4382.0117190000001</v>
      </c>
      <c r="U59" s="249">
        <v>4415.9643550000001</v>
      </c>
      <c r="V59" s="249">
        <v>4450.7382809999999</v>
      </c>
      <c r="W59" s="249">
        <v>4486.6025390000004</v>
      </c>
      <c r="X59" s="249">
        <v>4519.0146480000003</v>
      </c>
      <c r="Y59" s="249">
        <v>4546.845703</v>
      </c>
      <c r="Z59" s="249">
        <v>4573.2431640000004</v>
      </c>
      <c r="AA59" s="249">
        <v>4595.8320309999999</v>
      </c>
      <c r="AB59" s="249">
        <v>4620.3847660000001</v>
      </c>
      <c r="AC59" s="249">
        <v>4650.2163090000004</v>
      </c>
      <c r="AD59" s="249">
        <v>4684.017578</v>
      </c>
      <c r="AE59" s="249">
        <v>4715.7373049999997</v>
      </c>
      <c r="AF59" s="249">
        <v>4746.6293949999999</v>
      </c>
      <c r="AG59" s="249">
        <v>4780.0688479999999</v>
      </c>
      <c r="AH59" s="249">
        <v>4817.2851559999999</v>
      </c>
      <c r="AI59" s="249">
        <v>4853.5073240000002</v>
      </c>
      <c r="AJ59" s="249">
        <v>4888.0634769999997</v>
      </c>
      <c r="AK59" s="250">
        <v>8.0000000000000002E-3</v>
      </c>
    </row>
    <row r="60" spans="1:38" s="275" customFormat="1">
      <c r="A60" s="274" t="s">
        <v>331</v>
      </c>
      <c r="B60" s="372"/>
      <c r="C60" s="372"/>
      <c r="D60" s="372"/>
      <c r="E60" s="372">
        <f>E49/SUM(E49,E51)</f>
        <v>0.77902300149125581</v>
      </c>
      <c r="F60" s="372">
        <f t="shared" ref="F60:AJ60" si="6">F49/SUM(F49,F51)</f>
        <v>0.77515535618749742</v>
      </c>
      <c r="G60" s="329">
        <f t="shared" si="6"/>
        <v>0.69924314820220679</v>
      </c>
      <c r="H60" s="329">
        <f t="shared" si="6"/>
        <v>0.57807383833595527</v>
      </c>
      <c r="I60" s="329">
        <f t="shared" si="6"/>
        <v>0.62234952198501536</v>
      </c>
      <c r="J60" s="329">
        <f t="shared" si="6"/>
        <v>0.67616343559130432</v>
      </c>
      <c r="K60" s="329">
        <f t="shared" si="6"/>
        <v>0.60606864937523963</v>
      </c>
      <c r="L60" s="329">
        <f t="shared" si="6"/>
        <v>0.56750025331886433</v>
      </c>
      <c r="M60" s="329">
        <f t="shared" si="6"/>
        <v>0.59202496752662692</v>
      </c>
      <c r="N60" s="329">
        <f t="shared" si="6"/>
        <v>0.64795622030606803</v>
      </c>
      <c r="O60" s="329">
        <f t="shared" si="6"/>
        <v>0.66036795493213596</v>
      </c>
      <c r="P60" s="329">
        <f t="shared" si="6"/>
        <v>0.63552375582173948</v>
      </c>
      <c r="Q60" s="329">
        <f t="shared" si="6"/>
        <v>0.63876317175829955</v>
      </c>
      <c r="R60" s="329">
        <f t="shared" si="6"/>
        <v>0.62381183153622555</v>
      </c>
      <c r="S60" s="329">
        <f t="shared" si="6"/>
        <v>0.62094581281689798</v>
      </c>
      <c r="T60" s="329">
        <f t="shared" si="6"/>
        <v>0.60886443307522153</v>
      </c>
      <c r="U60" s="329">
        <f t="shared" si="6"/>
        <v>0.60328858036733568</v>
      </c>
      <c r="V60" s="329">
        <f t="shared" si="6"/>
        <v>0.59710782338603363</v>
      </c>
      <c r="W60" s="329">
        <f t="shared" si="6"/>
        <v>0.57278377589676477</v>
      </c>
      <c r="X60" s="329">
        <f t="shared" si="6"/>
        <v>0.56498570048235663</v>
      </c>
      <c r="Y60" s="329">
        <f t="shared" si="6"/>
        <v>0.5520183395146272</v>
      </c>
      <c r="Z60" s="329">
        <f t="shared" si="6"/>
        <v>0.54207290403467456</v>
      </c>
      <c r="AA60" s="329">
        <f t="shared" si="6"/>
        <v>0.54353753074293953</v>
      </c>
      <c r="AB60" s="329">
        <f t="shared" si="6"/>
        <v>0.54130329400361987</v>
      </c>
      <c r="AC60" s="329">
        <f t="shared" si="6"/>
        <v>0.53507185505102117</v>
      </c>
      <c r="AD60" s="329">
        <f t="shared" si="6"/>
        <v>0.52526221625767555</v>
      </c>
      <c r="AE60" s="329">
        <f t="shared" si="6"/>
        <v>0.52296948255978515</v>
      </c>
      <c r="AF60" s="329">
        <f t="shared" si="6"/>
        <v>0.51922648854706621</v>
      </c>
      <c r="AG60" s="329">
        <f t="shared" si="6"/>
        <v>0.51382869758301708</v>
      </c>
      <c r="AH60" s="329">
        <f t="shared" si="6"/>
        <v>0.51019775173386728</v>
      </c>
      <c r="AI60" s="329">
        <f t="shared" si="6"/>
        <v>0.49692127220895582</v>
      </c>
      <c r="AJ60" s="329">
        <f t="shared" si="6"/>
        <v>0.48630166551693554</v>
      </c>
      <c r="AK60" s="329"/>
      <c r="AL60" s="275" t="s">
        <v>0</v>
      </c>
    </row>
    <row r="61" spans="1:38" s="266" customFormat="1">
      <c r="A61" s="263" t="s">
        <v>107</v>
      </c>
      <c r="B61" s="363">
        <f>B54/B58</f>
        <v>3.7026706645282764E-2</v>
      </c>
      <c r="C61" s="363">
        <f t="shared" ref="C61:AJ61" si="7">C54/C58</f>
        <v>3.3953715121447618E-2</v>
      </c>
      <c r="D61" s="363">
        <f t="shared" si="7"/>
        <v>2.8744681891535045E-2</v>
      </c>
      <c r="E61" s="363">
        <f t="shared" si="7"/>
        <v>4.0355284761923599E-2</v>
      </c>
      <c r="F61" s="363">
        <f t="shared" si="7"/>
        <v>4.0442295980511571E-2</v>
      </c>
      <c r="G61" s="314">
        <f t="shared" si="7"/>
        <v>3.7874451939138638E-2</v>
      </c>
      <c r="H61" s="314">
        <f t="shared" si="7"/>
        <v>3.8482238041787138E-2</v>
      </c>
      <c r="I61" s="314">
        <f t="shared" si="7"/>
        <v>5.0300757989395671E-2</v>
      </c>
      <c r="J61" s="314">
        <f t="shared" si="7"/>
        <v>5.0169309313103691E-2</v>
      </c>
      <c r="K61" s="314">
        <f t="shared" si="7"/>
        <v>4.9790108610315367E-2</v>
      </c>
      <c r="L61" s="314">
        <f t="shared" si="7"/>
        <v>6.1701211904415722E-2</v>
      </c>
      <c r="M61" s="314">
        <f t="shared" si="7"/>
        <v>5.652538711473943E-2</v>
      </c>
      <c r="N61" s="314">
        <f t="shared" si="7"/>
        <v>5.6239526004594247E-2</v>
      </c>
      <c r="O61" s="314">
        <f t="shared" si="7"/>
        <v>5.8467143396870688E-2</v>
      </c>
      <c r="P61" s="314">
        <f t="shared" si="7"/>
        <v>6.5817739033691924E-2</v>
      </c>
      <c r="Q61" s="314">
        <f t="shared" si="7"/>
        <v>7.7618633557866773E-2</v>
      </c>
      <c r="R61" s="314">
        <f t="shared" si="7"/>
        <v>7.7328094720384974E-2</v>
      </c>
      <c r="S61" s="314">
        <f t="shared" si="7"/>
        <v>7.8796366222640163E-2</v>
      </c>
      <c r="T61" s="314">
        <f t="shared" si="7"/>
        <v>7.8026065934828095E-2</v>
      </c>
      <c r="U61" s="314">
        <f t="shared" si="7"/>
        <v>7.786811754165153E-2</v>
      </c>
      <c r="V61" s="314">
        <f t="shared" si="7"/>
        <v>7.761469116547795E-2</v>
      </c>
      <c r="W61" s="314">
        <f t="shared" si="7"/>
        <v>7.5701042996943677E-2</v>
      </c>
      <c r="X61" s="314">
        <f t="shared" si="7"/>
        <v>7.5494694793081255E-2</v>
      </c>
      <c r="Y61" s="314">
        <f t="shared" si="7"/>
        <v>7.4770014352941339E-2</v>
      </c>
      <c r="Z61" s="314">
        <f t="shared" si="7"/>
        <v>7.3683150359013502E-2</v>
      </c>
      <c r="AA61" s="314">
        <f t="shared" si="7"/>
        <v>7.4038016460542561E-2</v>
      </c>
      <c r="AB61" s="314">
        <f t="shared" si="7"/>
        <v>7.3869169935420032E-2</v>
      </c>
      <c r="AC61" s="314">
        <f t="shared" si="7"/>
        <v>7.3536492811507634E-2</v>
      </c>
      <c r="AD61" s="314">
        <f t="shared" si="7"/>
        <v>7.317432753784614E-2</v>
      </c>
      <c r="AE61" s="314">
        <f t="shared" si="7"/>
        <v>7.3239826933183941E-2</v>
      </c>
      <c r="AF61" s="314">
        <f t="shared" si="7"/>
        <v>7.3049843869385289E-2</v>
      </c>
      <c r="AG61" s="314">
        <f t="shared" si="7"/>
        <v>7.2888639877315947E-2</v>
      </c>
      <c r="AH61" s="314">
        <f t="shared" si="7"/>
        <v>7.2558712608728565E-2</v>
      </c>
      <c r="AI61" s="314">
        <f t="shared" si="7"/>
        <v>7.1719052761720414E-2</v>
      </c>
      <c r="AJ61" s="314">
        <f t="shared" si="7"/>
        <v>7.1164786527452881E-2</v>
      </c>
      <c r="AK61" s="314"/>
    </row>
    <row r="62" spans="1:38" s="276" customFormat="1">
      <c r="A62" s="265" t="s">
        <v>108</v>
      </c>
      <c r="B62" s="373">
        <f>(B54-EIA_RE_aeo2014!B73)/B56</f>
        <v>1.9240842970544385E-2</v>
      </c>
      <c r="C62" s="373">
        <f>(C54-EIA_RE_aeo2014!C73)/C56</f>
        <v>1.9303301676950154E-2</v>
      </c>
      <c r="D62" s="373">
        <f>(D54-EIA_RE_aeo2014!D73)/D56</f>
        <v>1.7984115351858822E-2</v>
      </c>
      <c r="E62" s="373">
        <f>(E54-EIA_RE_aeo2014!E73)/E56</f>
        <v>1.7458177278402001E-2</v>
      </c>
      <c r="F62" s="373">
        <f>(F54-EIA_RE_aeo2014!F73)/F56</f>
        <v>1.7992760650197306E-2</v>
      </c>
      <c r="G62" s="330">
        <f>(G54-EIA_RE_aeo2014!G73)/G56</f>
        <v>1.8851438211663483E-2</v>
      </c>
      <c r="H62" s="330">
        <f>(H54-EIA_RE_aeo2014!H73)/H56</f>
        <v>2.0199940169603543E-2</v>
      </c>
      <c r="I62" s="330">
        <f>(I54-EIA_RE_aeo2014!I73)/I56</f>
        <v>2.2416965917294765E-2</v>
      </c>
      <c r="J62" s="330">
        <f>(J54-EIA_RE_aeo2014!J73)/J56</f>
        <v>2.229969315481805E-2</v>
      </c>
      <c r="K62" s="330">
        <f>(K54-EIA_RE_aeo2014!K73)/K56</f>
        <v>2.2117644688880687E-2</v>
      </c>
      <c r="L62" s="330">
        <f>(L54-EIA_RE_aeo2014!L73)/L56</f>
        <v>3.3820284449527609E-2</v>
      </c>
      <c r="M62" s="330">
        <f>(M54-EIA_RE_aeo2014!M73)/M56</f>
        <v>2.9235892388576667E-2</v>
      </c>
      <c r="N62" s="330">
        <f>(N54-EIA_RE_aeo2014!N73)/N56</f>
        <v>2.9511354894530939E-2</v>
      </c>
      <c r="O62" s="330">
        <f>(O54-EIA_RE_aeo2014!O73)/O56</f>
        <v>3.2244346720037703E-2</v>
      </c>
      <c r="P62" s="330">
        <f>(P54-EIA_RE_aeo2014!P73)/P56</f>
        <v>4.0092069720409809E-2</v>
      </c>
      <c r="Q62" s="330">
        <f>(Q54-EIA_RE_aeo2014!Q73)/Q56</f>
        <v>5.2294284241071465E-2</v>
      </c>
      <c r="R62" s="330">
        <f>(R54-EIA_RE_aeo2014!R73)/R56</f>
        <v>5.2417359939579904E-2</v>
      </c>
      <c r="S62" s="330">
        <f>(S54-EIA_RE_aeo2014!S73)/S56</f>
        <v>5.4040152552020278E-2</v>
      </c>
      <c r="T62" s="330">
        <f>(T54-EIA_RE_aeo2014!T73)/T56</f>
        <v>5.3613094159529841E-2</v>
      </c>
      <c r="U62" s="330">
        <f>(U54-EIA_RE_aeo2014!U73)/U56</f>
        <v>5.3655455165418406E-2</v>
      </c>
      <c r="V62" s="330">
        <f>(V54-EIA_RE_aeo2014!V73)/V56</f>
        <v>5.3497096419887667E-2</v>
      </c>
      <c r="W62" s="330">
        <f>(W54-EIA_RE_aeo2014!W73)/W56</f>
        <v>5.2042752371262699E-2</v>
      </c>
      <c r="X62" s="330">
        <f>(X54-EIA_RE_aeo2014!X73)/X56</f>
        <v>5.1973685776566012E-2</v>
      </c>
      <c r="Y62" s="330">
        <f>(Y54-EIA_RE_aeo2014!Y73)/Y56</f>
        <v>5.1530837475203733E-2</v>
      </c>
      <c r="Z62" s="330">
        <f>(Z54-EIA_RE_aeo2014!Z73)/Z56</f>
        <v>5.0649535098405939E-2</v>
      </c>
      <c r="AA62" s="330">
        <f>(AA54-EIA_RE_aeo2014!AK73)/AA56</f>
        <v>7.4038016460542561E-2</v>
      </c>
      <c r="AB62" s="330">
        <f>(AB54-EIA_RE_aeo2014!AL73)/AB56</f>
        <v>7.3869169935420032E-2</v>
      </c>
      <c r="AC62" s="330">
        <f>(AC54-EIA_RE_aeo2014!AM73)/AC56</f>
        <v>7.3536492811507634E-2</v>
      </c>
      <c r="AD62" s="330">
        <f>(AD54-EIA_RE_aeo2014!AN73)/AD56</f>
        <v>7.317432753784614E-2</v>
      </c>
      <c r="AE62" s="330">
        <f>(AE54-EIA_RE_aeo2014!AO73)/AE56</f>
        <v>7.3239826933183941E-2</v>
      </c>
      <c r="AF62" s="330">
        <f>(AF54-EIA_RE_aeo2014!AP73)/AF56</f>
        <v>7.3049843869385289E-2</v>
      </c>
      <c r="AG62" s="330">
        <f>(AG54-EIA_RE_aeo2014!AQ73)/AG56</f>
        <v>7.2888639877315947E-2</v>
      </c>
      <c r="AH62" s="330">
        <f>(AH54-EIA_RE_aeo2014!AR73)/AH56</f>
        <v>7.2558712608728565E-2</v>
      </c>
      <c r="AI62" s="330">
        <f>(AI54-EIA_RE_aeo2014!AS73)/AI56</f>
        <v>7.1719052761720414E-2</v>
      </c>
      <c r="AJ62" s="330">
        <f>(AJ54-EIA_RE_aeo2014!AT73)/AJ56</f>
        <v>7.1164786527452881E-2</v>
      </c>
      <c r="AK62" s="330"/>
    </row>
    <row r="63" spans="1:38" s="481" customFormat="1">
      <c r="A63" s="481" t="s">
        <v>109</v>
      </c>
      <c r="C63" s="482"/>
      <c r="D63" s="482"/>
      <c r="E63" s="482"/>
      <c r="F63" s="482">
        <v>42094.619140625</v>
      </c>
      <c r="G63" s="483">
        <v>102605.04540000002</v>
      </c>
      <c r="H63" s="483">
        <v>163360.96875</v>
      </c>
      <c r="I63" s="483">
        <v>225974.68357199998</v>
      </c>
      <c r="J63" s="483">
        <v>289591.77345600002</v>
      </c>
      <c r="K63" s="483">
        <v>358569.27243000007</v>
      </c>
      <c r="L63" s="483">
        <v>428005.66654200002</v>
      </c>
      <c r="M63" s="483">
        <v>499509.19281199999</v>
      </c>
      <c r="N63" s="483">
        <v>571413.594774</v>
      </c>
      <c r="O63" s="483">
        <v>642582.21966400009</v>
      </c>
      <c r="P63" s="483">
        <v>712804.27253000019</v>
      </c>
      <c r="Q63" s="483">
        <v>785931.55672200024</v>
      </c>
      <c r="R63" s="483">
        <v>861455.63087200013</v>
      </c>
      <c r="S63" s="483">
        <v>939930.84375000035</v>
      </c>
      <c r="T63" s="483">
        <v>1018634.9062500005</v>
      </c>
      <c r="U63" s="483">
        <v>1096613.15925</v>
      </c>
      <c r="V63" s="484"/>
      <c r="W63" s="484"/>
      <c r="X63" s="484"/>
      <c r="Y63" s="484"/>
      <c r="Z63" s="484"/>
      <c r="AA63" s="484"/>
      <c r="AB63" s="484"/>
      <c r="AC63" s="484"/>
      <c r="AD63" s="484"/>
      <c r="AE63" s="484"/>
      <c r="AF63" s="484"/>
      <c r="AG63" s="484"/>
      <c r="AH63" s="484"/>
      <c r="AI63" s="484"/>
      <c r="AJ63" s="484"/>
      <c r="AK63" s="484"/>
    </row>
    <row r="64" spans="1:38" s="485" customFormat="1">
      <c r="A64" s="485" t="s">
        <v>110</v>
      </c>
      <c r="C64" s="486"/>
      <c r="D64" s="486"/>
      <c r="E64" s="486"/>
      <c r="F64" s="486"/>
      <c r="G64" s="487">
        <f>G63/1000/G58</f>
        <v>1.0169543631015772</v>
      </c>
      <c r="H64" s="487">
        <f t="shared" ref="H64:O64" si="8">H63/1000/H58</f>
        <v>1.6295215884013128</v>
      </c>
      <c r="I64" s="487">
        <f t="shared" si="8"/>
        <v>2.2909268148589934</v>
      </c>
      <c r="J64" s="487">
        <f t="shared" si="8"/>
        <v>2.8716860335293566</v>
      </c>
      <c r="K64" s="487">
        <f t="shared" si="8"/>
        <v>3.4575269673831812</v>
      </c>
      <c r="L64" s="487">
        <f t="shared" si="8"/>
        <v>4.0736503609313841</v>
      </c>
      <c r="M64" s="487">
        <f t="shared" si="8"/>
        <v>4.5714840303409394</v>
      </c>
      <c r="N64" s="487">
        <f t="shared" si="8"/>
        <v>5.121990823493757</v>
      </c>
      <c r="O64" s="487">
        <f t="shared" si="8"/>
        <v>5.6510180752854682</v>
      </c>
      <c r="P64" s="487">
        <f t="shared" ref="P64" si="9">P63/1000/P58</f>
        <v>6.1497287627831136</v>
      </c>
      <c r="Q64" s="487">
        <f t="shared" ref="Q64" si="10">Q63/1000/Q58</f>
        <v>6.6748576275972429</v>
      </c>
      <c r="R64" s="487">
        <f t="shared" ref="R64" si="11">R63/1000/R58</f>
        <v>7.1967834735420757</v>
      </c>
      <c r="S64" s="487">
        <f t="shared" ref="S64" si="12">S63/1000/S58</f>
        <v>7.803673814572214</v>
      </c>
      <c r="T64" s="487">
        <f t="shared" ref="T64" si="13">T63/1000/T58</f>
        <v>8.3398490073820923</v>
      </c>
      <c r="U64" s="487">
        <f t="shared" ref="U64" si="14">U63/1000/U58</f>
        <v>8.9046116516648368</v>
      </c>
      <c r="V64" s="487"/>
      <c r="W64" s="487"/>
      <c r="X64" s="487"/>
      <c r="Y64" s="487"/>
      <c r="Z64" s="487"/>
      <c r="AA64" s="487"/>
      <c r="AB64" s="487"/>
      <c r="AC64" s="487"/>
      <c r="AD64" s="487"/>
      <c r="AE64" s="487"/>
      <c r="AF64" s="487"/>
      <c r="AG64" s="487"/>
      <c r="AH64" s="487"/>
      <c r="AI64" s="487"/>
      <c r="AJ64" s="487"/>
      <c r="AK64" s="487"/>
    </row>
    <row r="65" spans="1:38" s="485" customFormat="1">
      <c r="A65" s="485" t="s">
        <v>113</v>
      </c>
      <c r="D65" s="486"/>
      <c r="E65" s="486"/>
      <c r="F65" s="486"/>
      <c r="G65" s="487"/>
      <c r="H65" s="487">
        <f t="shared" ref="H65:U65" si="15">(H64-G64)/G64</f>
        <v>0.60235468525006974</v>
      </c>
      <c r="I65" s="487">
        <f t="shared" si="15"/>
        <v>0.40588920770701203</v>
      </c>
      <c r="J65" s="487">
        <f t="shared" si="15"/>
        <v>0.25350404687899597</v>
      </c>
      <c r="K65" s="487">
        <f t="shared" si="15"/>
        <v>0.20400591395216525</v>
      </c>
      <c r="L65" s="487">
        <f t="shared" si="15"/>
        <v>0.17819771164778911</v>
      </c>
      <c r="M65" s="487">
        <f t="shared" si="15"/>
        <v>0.12220824697771374</v>
      </c>
      <c r="N65" s="487">
        <f t="shared" si="15"/>
        <v>0.12042190008739044</v>
      </c>
      <c r="O65" s="487">
        <f t="shared" si="15"/>
        <v>0.10328547434430131</v>
      </c>
      <c r="P65" s="487">
        <f t="shared" si="15"/>
        <v>8.8251476256772099E-2</v>
      </c>
      <c r="Q65" s="487">
        <f t="shared" si="15"/>
        <v>8.5390573319607282E-2</v>
      </c>
      <c r="R65" s="487">
        <f t="shared" si="15"/>
        <v>7.8192805759171091E-2</v>
      </c>
      <c r="S65" s="487">
        <f t="shared" si="15"/>
        <v>8.4327997814757388E-2</v>
      </c>
      <c r="T65" s="487">
        <f t="shared" si="15"/>
        <v>6.8708047715763054E-2</v>
      </c>
      <c r="U65" s="487">
        <f t="shared" si="15"/>
        <v>6.7718569458852282E-2</v>
      </c>
      <c r="V65" s="487"/>
      <c r="W65" s="487"/>
      <c r="X65" s="487"/>
      <c r="Y65" s="487"/>
      <c r="Z65" s="487"/>
      <c r="AA65" s="487"/>
      <c r="AB65" s="487"/>
      <c r="AC65" s="487"/>
      <c r="AD65" s="487"/>
      <c r="AE65" s="487"/>
      <c r="AF65" s="487"/>
      <c r="AG65" s="487"/>
      <c r="AH65" s="487"/>
      <c r="AI65" s="487"/>
      <c r="AJ65" s="487"/>
      <c r="AK65" s="487"/>
    </row>
    <row r="66" spans="1:38" s="266" customFormat="1">
      <c r="A66" s="266" t="s">
        <v>129</v>
      </c>
      <c r="B66" s="374">
        <f>B52/B58</f>
        <v>0.50601173458714777</v>
      </c>
      <c r="C66" s="374">
        <f t="shared" ref="C66:AJ66" si="16">C52/C58</f>
        <v>0.50854100350816811</v>
      </c>
      <c r="D66" s="374">
        <f t="shared" si="16"/>
        <v>0.50626436500562388</v>
      </c>
      <c r="E66" s="374">
        <f t="shared" si="16"/>
        <v>0.51581571086625388</v>
      </c>
      <c r="F66" s="374">
        <f t="shared" si="16"/>
        <v>0.49470919610231423</v>
      </c>
      <c r="G66" s="331">
        <f t="shared" si="16"/>
        <v>0.51176697976473995</v>
      </c>
      <c r="H66" s="331">
        <f t="shared" si="16"/>
        <v>0.51625144091231157</v>
      </c>
      <c r="I66" s="331">
        <f t="shared" si="16"/>
        <v>0.51729464729288765</v>
      </c>
      <c r="J66" s="331">
        <f t="shared" si="16"/>
        <v>0.50685704200199688</v>
      </c>
      <c r="K66" s="331">
        <f t="shared" si="16"/>
        <v>0.50609992990938413</v>
      </c>
      <c r="L66" s="331">
        <f t="shared" si="16"/>
        <v>0.50360636159422012</v>
      </c>
      <c r="M66" s="331">
        <f t="shared" si="16"/>
        <v>0.50675692385019522</v>
      </c>
      <c r="N66" s="331">
        <f t="shared" si="16"/>
        <v>0.51825573905644728</v>
      </c>
      <c r="O66" s="331">
        <f t="shared" si="16"/>
        <v>0.52714838517561269</v>
      </c>
      <c r="P66" s="331">
        <f t="shared" si="16"/>
        <v>0.52137441894446035</v>
      </c>
      <c r="Q66" s="331">
        <f t="shared" si="16"/>
        <v>0.51324104599663756</v>
      </c>
      <c r="R66" s="331">
        <f t="shared" si="16"/>
        <v>0.50485838536050109</v>
      </c>
      <c r="S66" s="331">
        <f t="shared" si="16"/>
        <v>0.50172681004674635</v>
      </c>
      <c r="T66" s="331">
        <f t="shared" si="16"/>
        <v>0.4947704287719113</v>
      </c>
      <c r="U66" s="331">
        <f t="shared" si="16"/>
        <v>0.4907107614490428</v>
      </c>
      <c r="V66" s="331">
        <f t="shared" si="16"/>
        <v>0.48878577078980795</v>
      </c>
      <c r="W66" s="331">
        <f t="shared" si="16"/>
        <v>0.47947547556382297</v>
      </c>
      <c r="X66" s="331">
        <f t="shared" si="16"/>
        <v>0.47669323039309824</v>
      </c>
      <c r="Y66" s="331">
        <f t="shared" si="16"/>
        <v>0.47098142302258189</v>
      </c>
      <c r="Z66" s="331">
        <f t="shared" si="16"/>
        <v>0.46681542106189594</v>
      </c>
      <c r="AA66" s="331">
        <f t="shared" si="16"/>
        <v>0.46727935175298529</v>
      </c>
      <c r="AB66" s="331">
        <f t="shared" si="16"/>
        <v>0.46589393723464639</v>
      </c>
      <c r="AC66" s="331">
        <f t="shared" si="16"/>
        <v>0.4632249693659119</v>
      </c>
      <c r="AD66" s="331">
        <f t="shared" si="16"/>
        <v>0.4588111648758384</v>
      </c>
      <c r="AE66" s="331">
        <f t="shared" si="16"/>
        <v>0.45783665623733105</v>
      </c>
      <c r="AF66" s="331">
        <f t="shared" si="16"/>
        <v>0.45724650967077041</v>
      </c>
      <c r="AG66" s="331">
        <f t="shared" si="16"/>
        <v>0.45534783738788043</v>
      </c>
      <c r="AH66" s="331">
        <f t="shared" si="16"/>
        <v>0.45376328415837053</v>
      </c>
      <c r="AI66" s="331">
        <f t="shared" si="16"/>
        <v>0.44941773204867919</v>
      </c>
      <c r="AJ66" s="331">
        <f t="shared" si="16"/>
        <v>0.44510452264232503</v>
      </c>
      <c r="AK66" s="331"/>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592</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592</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630</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629</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62" t="s">
        <v>631</v>
      </c>
      <c r="B109" s="562"/>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row>
    <row r="110" spans="1:38">
      <c r="A110" s="561" t="s">
        <v>632</v>
      </c>
      <c r="B110" s="561"/>
      <c r="C110" s="561"/>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1"/>
      <c r="AD110" s="561"/>
      <c r="AE110" s="561"/>
      <c r="AF110" s="561"/>
    </row>
    <row r="111" spans="1:38">
      <c r="A111" s="561" t="s">
        <v>633</v>
      </c>
      <c r="B111" s="561"/>
      <c r="C111" s="561"/>
      <c r="D111" s="561"/>
      <c r="E111" s="561"/>
      <c r="F111" s="561"/>
      <c r="G111" s="561"/>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row>
    <row r="112" spans="1:38">
      <c r="A112" s="561" t="s">
        <v>634</v>
      </c>
      <c r="B112" s="561"/>
      <c r="C112" s="561"/>
      <c r="D112" s="561"/>
      <c r="E112" s="561"/>
      <c r="F112" s="561"/>
      <c r="G112" s="561"/>
      <c r="H112" s="561"/>
      <c r="I112" s="561"/>
      <c r="J112" s="561"/>
      <c r="K112" s="561"/>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row>
    <row r="113" spans="1:32">
      <c r="A113" s="561" t="s">
        <v>635</v>
      </c>
      <c r="B113" s="561"/>
      <c r="C113" s="561"/>
      <c r="D113" s="561"/>
      <c r="E113" s="561"/>
      <c r="F113" s="561"/>
      <c r="G113" s="561"/>
      <c r="H113" s="561"/>
      <c r="I113" s="561"/>
      <c r="J113" s="561"/>
      <c r="K113" s="561"/>
      <c r="L113" s="561"/>
      <c r="M113" s="561"/>
      <c r="N113" s="561"/>
      <c r="O113" s="561"/>
      <c r="P113" s="561"/>
      <c r="Q113" s="561"/>
      <c r="R113" s="561"/>
      <c r="S113" s="561"/>
      <c r="T113" s="561"/>
      <c r="U113" s="561"/>
      <c r="V113" s="561"/>
      <c r="W113" s="561"/>
      <c r="X113" s="561"/>
      <c r="Y113" s="561"/>
      <c r="Z113" s="561"/>
      <c r="AA113" s="561"/>
      <c r="AB113" s="561"/>
      <c r="AC113" s="561"/>
      <c r="AD113" s="561"/>
      <c r="AE113" s="561"/>
      <c r="AF113" s="561"/>
    </row>
    <row r="114" spans="1:32">
      <c r="A114" s="561" t="s">
        <v>636</v>
      </c>
      <c r="B114" s="561"/>
      <c r="C114" s="561"/>
      <c r="D114" s="561"/>
      <c r="E114" s="561"/>
      <c r="F114" s="561"/>
      <c r="G114" s="561"/>
      <c r="H114" s="561"/>
      <c r="I114" s="561"/>
      <c r="J114" s="561"/>
      <c r="K114" s="561"/>
      <c r="L114" s="561"/>
      <c r="M114" s="561"/>
      <c r="N114" s="561"/>
      <c r="O114" s="561"/>
      <c r="P114" s="561"/>
      <c r="Q114" s="561"/>
      <c r="R114" s="561"/>
      <c r="S114" s="561"/>
      <c r="T114" s="561"/>
      <c r="U114" s="561"/>
      <c r="V114" s="561"/>
      <c r="W114" s="561"/>
      <c r="X114" s="561"/>
      <c r="Y114" s="561"/>
      <c r="Z114" s="561"/>
      <c r="AA114" s="561"/>
      <c r="AB114" s="561"/>
      <c r="AC114" s="561"/>
      <c r="AD114" s="561"/>
      <c r="AE114" s="561"/>
      <c r="AF114" s="561"/>
    </row>
    <row r="115" spans="1:32">
      <c r="A115" s="561" t="s">
        <v>637</v>
      </c>
      <c r="B115" s="561"/>
      <c r="C115" s="561"/>
      <c r="D115" s="561"/>
      <c r="E115" s="561"/>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row>
    <row r="116" spans="1:32">
      <c r="A116" s="561" t="s">
        <v>638</v>
      </c>
      <c r="B116" s="561"/>
      <c r="C116" s="561"/>
      <c r="D116" s="561"/>
      <c r="E116" s="561"/>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row>
    <row r="117" spans="1:32">
      <c r="A117" s="561" t="s">
        <v>639</v>
      </c>
      <c r="B117" s="561"/>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row>
    <row r="118" spans="1:32">
      <c r="A118" s="561" t="s">
        <v>640</v>
      </c>
      <c r="B118" s="561"/>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row>
    <row r="119" spans="1:32">
      <c r="A119" s="561" t="s">
        <v>641</v>
      </c>
      <c r="B119" s="561"/>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row>
    <row r="120" spans="1:32">
      <c r="A120" s="561" t="s">
        <v>642</v>
      </c>
      <c r="B120" s="561"/>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row>
    <row r="121" spans="1:32">
      <c r="A121" s="561" t="s">
        <v>643</v>
      </c>
      <c r="B121" s="561"/>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row>
    <row r="122" spans="1:32">
      <c r="A122" s="561" t="s">
        <v>644</v>
      </c>
      <c r="B122" s="561"/>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row>
    <row r="123" spans="1:32">
      <c r="A123" s="561" t="s">
        <v>645</v>
      </c>
      <c r="B123" s="561"/>
      <c r="C123" s="561"/>
      <c r="D123" s="561"/>
      <c r="E123" s="561"/>
      <c r="F123" s="561"/>
      <c r="G123" s="561"/>
      <c r="H123" s="561"/>
      <c r="I123" s="561"/>
      <c r="J123" s="561"/>
      <c r="K123" s="561"/>
      <c r="L123" s="561"/>
      <c r="M123" s="561"/>
      <c r="N123" s="561"/>
      <c r="O123" s="561"/>
      <c r="P123" s="561"/>
      <c r="Q123" s="561"/>
      <c r="R123" s="561"/>
      <c r="S123" s="561"/>
      <c r="T123" s="561"/>
      <c r="U123" s="561"/>
      <c r="V123" s="561"/>
      <c r="W123" s="561"/>
      <c r="X123" s="561"/>
      <c r="Y123" s="561"/>
      <c r="Z123" s="561"/>
      <c r="AA123" s="561"/>
      <c r="AB123" s="561"/>
      <c r="AC123" s="561"/>
      <c r="AD123" s="561"/>
      <c r="AE123" s="561"/>
      <c r="AF123" s="561"/>
    </row>
    <row r="124" spans="1:32">
      <c r="A124" s="561" t="s">
        <v>646</v>
      </c>
      <c r="B124" s="561"/>
      <c r="C124" s="561"/>
      <c r="D124" s="561"/>
      <c r="E124" s="561"/>
      <c r="F124" s="561"/>
      <c r="G124" s="561"/>
      <c r="H124" s="561"/>
      <c r="I124" s="561"/>
      <c r="J124" s="561"/>
      <c r="K124" s="561"/>
      <c r="L124" s="561"/>
      <c r="M124" s="561"/>
      <c r="N124" s="561"/>
      <c r="O124" s="561"/>
      <c r="P124" s="561"/>
      <c r="Q124" s="561"/>
      <c r="R124" s="561"/>
      <c r="S124" s="561"/>
      <c r="T124" s="561"/>
      <c r="U124" s="561"/>
      <c r="V124" s="561"/>
      <c r="W124" s="561"/>
      <c r="X124" s="561"/>
      <c r="Y124" s="561"/>
      <c r="Z124" s="561"/>
      <c r="AA124" s="561"/>
      <c r="AB124" s="561"/>
      <c r="AC124" s="561"/>
      <c r="AD124" s="561"/>
      <c r="AE124" s="561"/>
      <c r="AF124" s="561"/>
    </row>
    <row r="125" spans="1:32">
      <c r="A125" s="561" t="s">
        <v>639</v>
      </c>
      <c r="B125" s="561"/>
      <c r="C125" s="561"/>
      <c r="D125" s="561"/>
      <c r="E125" s="561"/>
      <c r="F125" s="561"/>
      <c r="G125" s="561"/>
      <c r="H125" s="561"/>
      <c r="I125" s="561"/>
      <c r="J125" s="561"/>
      <c r="K125" s="561"/>
      <c r="L125" s="561"/>
      <c r="M125" s="561"/>
      <c r="N125" s="561"/>
      <c r="O125" s="561"/>
      <c r="P125" s="561"/>
      <c r="Q125" s="561"/>
      <c r="R125" s="561"/>
      <c r="S125" s="561"/>
      <c r="T125" s="561"/>
      <c r="U125" s="561"/>
      <c r="V125" s="561"/>
      <c r="W125" s="561"/>
      <c r="X125" s="561"/>
      <c r="Y125" s="561"/>
      <c r="Z125" s="561"/>
      <c r="AA125" s="561"/>
      <c r="AB125" s="561"/>
      <c r="AC125" s="561"/>
      <c r="AD125" s="561"/>
      <c r="AE125" s="561"/>
      <c r="AF125" s="561"/>
    </row>
    <row r="126" spans="1:32">
      <c r="A126" s="561" t="s">
        <v>647</v>
      </c>
      <c r="B126" s="561"/>
      <c r="C126" s="561"/>
      <c r="D126" s="561"/>
      <c r="E126" s="561"/>
      <c r="F126" s="561"/>
      <c r="G126" s="561"/>
      <c r="H126" s="561"/>
      <c r="I126" s="561"/>
      <c r="J126" s="561"/>
      <c r="K126" s="561"/>
      <c r="L126" s="561"/>
      <c r="M126" s="561"/>
      <c r="N126" s="561"/>
      <c r="O126" s="561"/>
      <c r="P126" s="561"/>
      <c r="Q126" s="561"/>
      <c r="R126" s="561"/>
      <c r="S126" s="561"/>
      <c r="T126" s="561"/>
      <c r="U126" s="561"/>
      <c r="V126" s="561"/>
      <c r="W126" s="561"/>
      <c r="X126" s="561"/>
      <c r="Y126" s="561"/>
      <c r="Z126" s="561"/>
      <c r="AA126" s="561"/>
      <c r="AB126" s="561"/>
      <c r="AC126" s="561"/>
      <c r="AD126" s="561"/>
      <c r="AE126" s="561"/>
      <c r="AF126" s="561"/>
    </row>
    <row r="127" spans="1:32">
      <c r="A127" s="561" t="s">
        <v>648</v>
      </c>
      <c r="B127" s="561"/>
      <c r="C127" s="561"/>
      <c r="D127" s="561"/>
      <c r="E127" s="561"/>
      <c r="F127" s="561"/>
      <c r="G127" s="561"/>
      <c r="H127" s="561"/>
      <c r="I127" s="561"/>
      <c r="J127" s="561"/>
      <c r="K127" s="561"/>
      <c r="L127" s="561"/>
      <c r="M127" s="561"/>
      <c r="N127" s="561"/>
      <c r="O127" s="561"/>
      <c r="P127" s="561"/>
      <c r="Q127" s="561"/>
      <c r="R127" s="561"/>
      <c r="S127" s="561"/>
      <c r="T127" s="561"/>
      <c r="U127" s="561"/>
      <c r="V127" s="561"/>
      <c r="W127" s="561"/>
      <c r="X127" s="561"/>
      <c r="Y127" s="561"/>
      <c r="Z127" s="561"/>
      <c r="AA127" s="561"/>
      <c r="AB127" s="561"/>
      <c r="AC127" s="561"/>
      <c r="AD127" s="561"/>
      <c r="AE127" s="561"/>
      <c r="AF127" s="561"/>
    </row>
    <row r="128" spans="1:32">
      <c r="A128" s="561" t="s">
        <v>649</v>
      </c>
      <c r="B128" s="561"/>
      <c r="C128" s="561"/>
      <c r="D128" s="561"/>
      <c r="E128" s="561"/>
      <c r="F128" s="561"/>
      <c r="G128" s="561"/>
      <c r="H128" s="561"/>
      <c r="I128" s="561"/>
      <c r="J128" s="561"/>
      <c r="K128" s="561"/>
      <c r="L128" s="561"/>
      <c r="M128" s="561"/>
      <c r="N128" s="561"/>
      <c r="O128" s="561"/>
      <c r="P128" s="561"/>
      <c r="Q128" s="561"/>
      <c r="R128" s="561"/>
      <c r="S128" s="561"/>
      <c r="T128" s="561"/>
      <c r="U128" s="561"/>
      <c r="V128" s="561"/>
      <c r="W128" s="561"/>
      <c r="X128" s="561"/>
      <c r="Y128" s="561"/>
      <c r="Z128" s="561"/>
      <c r="AA128" s="561"/>
      <c r="AB128" s="561"/>
      <c r="AC128" s="561"/>
      <c r="AD128" s="561"/>
      <c r="AE128" s="561"/>
      <c r="AF128" s="561"/>
    </row>
    <row r="129" spans="1:32">
      <c r="A129" s="561" t="s">
        <v>619</v>
      </c>
      <c r="B129" s="561"/>
      <c r="C129" s="561"/>
      <c r="D129" s="561"/>
      <c r="E129" s="561"/>
      <c r="F129" s="561"/>
      <c r="G129" s="561"/>
      <c r="H129" s="561"/>
      <c r="I129" s="561"/>
      <c r="J129" s="561"/>
      <c r="K129" s="561"/>
      <c r="L129" s="561"/>
      <c r="M129" s="561"/>
      <c r="N129" s="561"/>
      <c r="O129" s="561"/>
      <c r="P129" s="561"/>
      <c r="Q129" s="561"/>
      <c r="R129" s="561"/>
      <c r="S129" s="561"/>
      <c r="T129" s="561"/>
      <c r="U129" s="561"/>
      <c r="V129" s="561"/>
      <c r="W129" s="561"/>
      <c r="X129" s="561"/>
      <c r="Y129" s="561"/>
      <c r="Z129" s="561"/>
      <c r="AA129" s="561"/>
      <c r="AB129" s="561"/>
      <c r="AC129" s="561"/>
      <c r="AD129" s="561"/>
      <c r="AE129" s="561"/>
      <c r="AF129" s="561"/>
    </row>
    <row r="130" spans="1:32">
      <c r="A130" s="561" t="s">
        <v>620</v>
      </c>
      <c r="B130" s="561"/>
      <c r="C130" s="561"/>
      <c r="D130" s="561"/>
      <c r="E130" s="561"/>
      <c r="F130" s="561"/>
      <c r="G130" s="561"/>
      <c r="H130" s="561"/>
      <c r="I130" s="561"/>
      <c r="J130" s="561"/>
      <c r="K130" s="561"/>
      <c r="L130" s="561"/>
      <c r="M130" s="561"/>
      <c r="N130" s="561"/>
      <c r="O130" s="561"/>
      <c r="P130" s="561"/>
      <c r="Q130" s="561"/>
      <c r="R130" s="561"/>
      <c r="S130" s="561"/>
      <c r="T130" s="561"/>
      <c r="U130" s="561"/>
      <c r="V130" s="561"/>
      <c r="W130" s="561"/>
      <c r="X130" s="561"/>
      <c r="Y130" s="561"/>
      <c r="Z130" s="561"/>
      <c r="AA130" s="561"/>
      <c r="AB130" s="561"/>
      <c r="AC130" s="561"/>
      <c r="AD130" s="561"/>
      <c r="AE130" s="561"/>
      <c r="AF130" s="561"/>
    </row>
    <row r="131" spans="1:32">
      <c r="A131" s="561" t="s">
        <v>621</v>
      </c>
      <c r="B131" s="561"/>
      <c r="C131" s="561"/>
      <c r="D131" s="561"/>
      <c r="E131" s="561"/>
      <c r="F131" s="561"/>
      <c r="G131" s="561"/>
      <c r="H131" s="561"/>
      <c r="I131" s="561"/>
      <c r="J131" s="561"/>
      <c r="K131" s="561"/>
      <c r="L131" s="561"/>
      <c r="M131" s="561"/>
      <c r="N131" s="561"/>
      <c r="O131" s="561"/>
      <c r="P131" s="561"/>
      <c r="Q131" s="561"/>
      <c r="R131" s="561"/>
      <c r="S131" s="561"/>
      <c r="T131" s="561"/>
      <c r="U131" s="561"/>
      <c r="V131" s="561"/>
      <c r="W131" s="561"/>
      <c r="X131" s="561"/>
      <c r="Y131" s="561"/>
      <c r="Z131" s="561"/>
      <c r="AA131" s="561"/>
      <c r="AB131" s="561"/>
      <c r="AC131" s="561"/>
      <c r="AD131" s="561"/>
      <c r="AE131" s="561"/>
      <c r="AF131" s="561"/>
    </row>
    <row r="132" spans="1:32">
      <c r="A132" s="561" t="s">
        <v>650</v>
      </c>
      <c r="B132" s="561"/>
      <c r="C132" s="561"/>
      <c r="D132" s="561"/>
      <c r="E132" s="561"/>
      <c r="F132" s="561"/>
      <c r="G132" s="561"/>
      <c r="H132" s="561"/>
      <c r="I132" s="561"/>
      <c r="J132" s="561"/>
      <c r="K132" s="561"/>
      <c r="L132" s="561"/>
      <c r="M132" s="561"/>
      <c r="N132" s="561"/>
      <c r="O132" s="561"/>
      <c r="P132" s="561"/>
      <c r="Q132" s="561"/>
      <c r="R132" s="561"/>
      <c r="S132" s="561"/>
      <c r="T132" s="561"/>
      <c r="U132" s="561"/>
      <c r="V132" s="561"/>
      <c r="W132" s="561"/>
      <c r="X132" s="561"/>
      <c r="Y132" s="561"/>
      <c r="Z132" s="561"/>
      <c r="AA132" s="561"/>
      <c r="AB132" s="561"/>
      <c r="AC132" s="561"/>
      <c r="AD132" s="561"/>
      <c r="AE132" s="561"/>
      <c r="AF132" s="561"/>
    </row>
    <row r="133" spans="1:32">
      <c r="A133" s="561" t="s">
        <v>651</v>
      </c>
      <c r="B133" s="561"/>
      <c r="C133" s="561"/>
      <c r="D133" s="561"/>
      <c r="E133" s="561"/>
      <c r="F133" s="561"/>
      <c r="G133" s="561"/>
      <c r="H133" s="561"/>
      <c r="I133" s="561"/>
      <c r="J133" s="561"/>
      <c r="K133" s="561"/>
      <c r="L133" s="561"/>
      <c r="M133" s="561"/>
      <c r="N133" s="561"/>
      <c r="O133" s="561"/>
      <c r="P133" s="561"/>
      <c r="Q133" s="561"/>
      <c r="R133" s="561"/>
      <c r="S133" s="561"/>
      <c r="T133" s="561"/>
      <c r="U133" s="561"/>
      <c r="V133" s="561"/>
      <c r="W133" s="561"/>
      <c r="X133" s="561"/>
      <c r="Y133" s="561"/>
      <c r="Z133" s="561"/>
      <c r="AA133" s="561"/>
      <c r="AB133" s="561"/>
      <c r="AC133" s="561"/>
      <c r="AD133" s="561"/>
      <c r="AE133" s="561"/>
      <c r="AF133" s="561"/>
    </row>
    <row r="134" spans="1:32">
      <c r="A134" s="561" t="s">
        <v>652</v>
      </c>
      <c r="B134" s="561"/>
      <c r="C134" s="561"/>
      <c r="D134" s="561"/>
      <c r="E134" s="561"/>
      <c r="F134" s="561"/>
      <c r="G134" s="561"/>
      <c r="H134" s="561"/>
      <c r="I134" s="561"/>
      <c r="J134" s="561"/>
      <c r="K134" s="561"/>
      <c r="L134" s="561"/>
      <c r="M134" s="561"/>
      <c r="N134" s="561"/>
      <c r="O134" s="561"/>
      <c r="P134" s="561"/>
      <c r="Q134" s="561"/>
      <c r="R134" s="561"/>
      <c r="S134" s="561"/>
      <c r="T134" s="561"/>
      <c r="U134" s="561"/>
      <c r="V134" s="561"/>
      <c r="W134" s="561"/>
      <c r="X134" s="561"/>
      <c r="Y134" s="561"/>
      <c r="Z134" s="561"/>
      <c r="AA134" s="561"/>
      <c r="AB134" s="561"/>
      <c r="AC134" s="561"/>
      <c r="AD134" s="561"/>
      <c r="AE134" s="561"/>
      <c r="AF134" s="561"/>
    </row>
    <row r="135" spans="1:32">
      <c r="A135" s="561" t="s">
        <v>653</v>
      </c>
      <c r="B135" s="561"/>
      <c r="C135" s="561"/>
      <c r="D135" s="561"/>
      <c r="E135" s="561"/>
      <c r="F135" s="561"/>
      <c r="G135" s="561"/>
      <c r="H135" s="561"/>
      <c r="I135" s="561"/>
      <c r="J135" s="561"/>
      <c r="K135" s="561"/>
      <c r="L135" s="561"/>
      <c r="M135" s="561"/>
      <c r="N135" s="561"/>
      <c r="O135" s="561"/>
      <c r="P135" s="561"/>
      <c r="Q135" s="561"/>
      <c r="R135" s="561"/>
      <c r="S135" s="561"/>
      <c r="T135" s="561"/>
      <c r="U135" s="561"/>
      <c r="V135" s="561"/>
      <c r="W135" s="561"/>
      <c r="X135" s="561"/>
      <c r="Y135" s="561"/>
      <c r="Z135" s="561"/>
      <c r="AA135" s="561"/>
      <c r="AB135" s="561"/>
      <c r="AC135" s="561"/>
      <c r="AD135" s="561"/>
      <c r="AE135" s="561"/>
      <c r="AF135" s="561"/>
    </row>
    <row r="136" spans="1:32">
      <c r="A136" s="561" t="s">
        <v>654</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row>
    <row r="137" spans="1:32">
      <c r="A137" s="561" t="s">
        <v>655</v>
      </c>
      <c r="B137" s="561"/>
      <c r="C137" s="561"/>
      <c r="D137" s="561"/>
      <c r="E137" s="561"/>
      <c r="F137" s="561"/>
      <c r="G137" s="561"/>
      <c r="H137" s="561"/>
      <c r="I137" s="561"/>
      <c r="J137" s="561"/>
      <c r="K137" s="561"/>
      <c r="L137" s="561"/>
      <c r="M137" s="561"/>
      <c r="N137" s="561"/>
      <c r="O137" s="561"/>
      <c r="P137" s="561"/>
      <c r="Q137" s="561"/>
      <c r="R137" s="561"/>
      <c r="S137" s="561"/>
      <c r="T137" s="561"/>
      <c r="U137" s="561"/>
      <c r="V137" s="561"/>
      <c r="W137" s="561"/>
      <c r="X137" s="561"/>
      <c r="Y137" s="561"/>
      <c r="Z137" s="561"/>
      <c r="AA137" s="561"/>
      <c r="AB137" s="561"/>
      <c r="AC137" s="561"/>
      <c r="AD137" s="561"/>
      <c r="AE137" s="561"/>
      <c r="AF137" s="561"/>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M122"/>
  <sheetViews>
    <sheetView topLeftCell="A56" zoomScale="125" zoomScaleNormal="125" zoomScalePageLayoutView="125" workbookViewId="0">
      <selection activeCell="G76" sqref="G76"/>
    </sheetView>
  </sheetViews>
  <sheetFormatPr baseColWidth="10" defaultColWidth="12.5" defaultRowHeight="16" x14ac:dyDescent="0"/>
  <cols>
    <col min="1" max="1" width="47.33203125" style="5" customWidth="1"/>
    <col min="2" max="2" width="23" style="252" bestFit="1" customWidth="1"/>
    <col min="3" max="6" width="12.5" style="252"/>
    <col min="7" max="37" width="12.5" style="304"/>
    <col min="38" max="16384" width="12.5" style="5"/>
  </cols>
  <sheetData>
    <row r="1" spans="1:37">
      <c r="A1" s="269" t="s">
        <v>4</v>
      </c>
    </row>
    <row r="2" spans="1:37">
      <c r="A2" s="273" t="s">
        <v>704</v>
      </c>
    </row>
    <row r="3" spans="1:37">
      <c r="A3" s="273" t="s">
        <v>656</v>
      </c>
    </row>
    <row r="4" spans="1:37">
      <c r="A4" s="273" t="s">
        <v>657</v>
      </c>
    </row>
    <row r="6" spans="1:37">
      <c r="A6" s="6" t="s">
        <v>5</v>
      </c>
    </row>
    <row r="7" spans="1:37">
      <c r="A7" s="6" t="s">
        <v>6</v>
      </c>
    </row>
    <row r="8" spans="1:37">
      <c r="A8" s="78" t="s">
        <v>281</v>
      </c>
    </row>
    <row r="10" spans="1:37">
      <c r="AK10" s="305" t="s">
        <v>714</v>
      </c>
    </row>
    <row r="11" spans="1:37">
      <c r="B11" s="475" t="s">
        <v>7</v>
      </c>
      <c r="C11" s="475" t="s">
        <v>8</v>
      </c>
      <c r="D11" s="475" t="s">
        <v>9</v>
      </c>
      <c r="E11" s="475" t="s">
        <v>10</v>
      </c>
      <c r="F11" s="475" t="s">
        <v>11</v>
      </c>
      <c r="G11" s="305" t="s">
        <v>12</v>
      </c>
      <c r="H11" s="305" t="s">
        <v>13</v>
      </c>
      <c r="I11" s="305" t="s">
        <v>14</v>
      </c>
      <c r="J11" s="305" t="s">
        <v>15</v>
      </c>
      <c r="K11" s="305" t="s">
        <v>16</v>
      </c>
      <c r="L11" s="305" t="s">
        <v>17</v>
      </c>
      <c r="M11" s="305" t="s">
        <v>18</v>
      </c>
      <c r="N11" s="305" t="s">
        <v>19</v>
      </c>
      <c r="O11" s="305" t="s">
        <v>20</v>
      </c>
      <c r="P11" s="305" t="s">
        <v>21</v>
      </c>
      <c r="Q11" s="305" t="s">
        <v>22</v>
      </c>
      <c r="R11" s="305" t="s">
        <v>23</v>
      </c>
      <c r="S11" s="305" t="s">
        <v>24</v>
      </c>
      <c r="T11" s="305" t="s">
        <v>25</v>
      </c>
      <c r="U11" s="305" t="s">
        <v>26</v>
      </c>
      <c r="V11" s="305" t="s">
        <v>27</v>
      </c>
      <c r="W11" s="305" t="s">
        <v>28</v>
      </c>
      <c r="X11" s="305" t="s">
        <v>29</v>
      </c>
      <c r="Y11" s="305" t="s">
        <v>30</v>
      </c>
      <c r="Z11" s="305" t="s">
        <v>31</v>
      </c>
      <c r="AA11" s="305" t="s">
        <v>581</v>
      </c>
      <c r="AB11" s="305" t="s">
        <v>582</v>
      </c>
      <c r="AC11" s="305" t="s">
        <v>583</v>
      </c>
      <c r="AD11" s="305" t="s">
        <v>584</v>
      </c>
      <c r="AE11" s="305" t="s">
        <v>585</v>
      </c>
      <c r="AF11" s="305" t="s">
        <v>586</v>
      </c>
      <c r="AG11" s="305" t="s">
        <v>587</v>
      </c>
      <c r="AH11" s="305" t="s">
        <v>588</v>
      </c>
      <c r="AI11" s="305" t="s">
        <v>589</v>
      </c>
      <c r="AJ11" s="305" t="s">
        <v>590</v>
      </c>
      <c r="AK11" s="305">
        <v>2040</v>
      </c>
    </row>
    <row r="12" spans="1:37">
      <c r="B12" s="476"/>
      <c r="C12" s="476"/>
      <c r="D12" s="476"/>
      <c r="E12" s="476"/>
      <c r="F12" s="476"/>
    </row>
    <row r="13" spans="1:37">
      <c r="B13" s="476"/>
      <c r="C13" s="476"/>
      <c r="D13" s="476"/>
      <c r="E13" s="476"/>
      <c r="F13" s="476"/>
    </row>
    <row r="14" spans="1:37">
      <c r="A14" s="6" t="s">
        <v>32</v>
      </c>
      <c r="B14" s="476"/>
      <c r="C14" s="476"/>
      <c r="D14" s="476"/>
      <c r="E14" s="476"/>
      <c r="F14" s="476"/>
    </row>
    <row r="15" spans="1:37">
      <c r="A15" s="6" t="s">
        <v>33</v>
      </c>
      <c r="B15" s="476"/>
      <c r="C15" s="476"/>
      <c r="D15" s="476"/>
      <c r="E15" s="476"/>
      <c r="F15" s="476"/>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658</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659</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660</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505">
        <v>1E-4</v>
      </c>
      <c r="H33" s="505">
        <v>1E-4</v>
      </c>
      <c r="I33" s="505">
        <v>1E-4</v>
      </c>
      <c r="J33" s="505">
        <v>1E-4</v>
      </c>
      <c r="K33" s="505">
        <v>1E-4</v>
      </c>
      <c r="L33" s="505">
        <v>1E-4</v>
      </c>
      <c r="M33" s="505">
        <v>1E-4</v>
      </c>
      <c r="N33" s="505">
        <v>1E-4</v>
      </c>
      <c r="O33" s="505">
        <v>1E-4</v>
      </c>
      <c r="P33" s="505">
        <v>1E-4</v>
      </c>
      <c r="Q33" s="505">
        <v>1E-4</v>
      </c>
      <c r="R33" s="505">
        <v>1E-4</v>
      </c>
      <c r="S33" s="505">
        <v>1E-4</v>
      </c>
      <c r="T33" s="505">
        <v>1E-4</v>
      </c>
      <c r="U33" s="505">
        <v>1E-4</v>
      </c>
      <c r="V33" s="505">
        <v>1E-4</v>
      </c>
      <c r="W33" s="505">
        <v>1E-4</v>
      </c>
      <c r="X33" s="505">
        <v>1E-4</v>
      </c>
      <c r="Y33" s="505">
        <v>1E-4</v>
      </c>
      <c r="Z33" s="505">
        <v>1E-4</v>
      </c>
      <c r="AA33" s="505">
        <v>1E-4</v>
      </c>
      <c r="AB33" s="505">
        <v>1E-4</v>
      </c>
      <c r="AC33" s="505">
        <v>1E-4</v>
      </c>
      <c r="AD33" s="505">
        <v>1E-4</v>
      </c>
      <c r="AE33" s="505">
        <v>1E-4</v>
      </c>
      <c r="AF33" s="505">
        <v>1E-4</v>
      </c>
      <c r="AG33" s="505">
        <v>1E-4</v>
      </c>
      <c r="AH33" s="505">
        <v>1E-4</v>
      </c>
      <c r="AI33" s="505">
        <v>1E-4</v>
      </c>
      <c r="AJ33" s="505">
        <v>1E-4</v>
      </c>
      <c r="AK33"/>
    </row>
    <row r="34" spans="1:39" s="18" customFormat="1">
      <c r="A34" s="17" t="s">
        <v>661</v>
      </c>
      <c r="B34"/>
      <c r="C34"/>
      <c r="D34"/>
      <c r="E34"/>
      <c r="F34"/>
      <c r="G34" s="505">
        <v>1E-4</v>
      </c>
      <c r="H34" s="505">
        <v>1E-4</v>
      </c>
      <c r="I34" s="505">
        <v>1E-4</v>
      </c>
      <c r="J34" s="505">
        <v>1E-4</v>
      </c>
      <c r="K34" s="505">
        <v>1E-4</v>
      </c>
      <c r="L34" s="505">
        <v>1E-4</v>
      </c>
      <c r="M34" s="505">
        <v>1E-4</v>
      </c>
      <c r="N34" s="505">
        <v>1E-4</v>
      </c>
      <c r="O34" s="505">
        <v>1E-4</v>
      </c>
      <c r="P34" s="505">
        <v>1E-4</v>
      </c>
      <c r="Q34" s="505">
        <v>1E-4</v>
      </c>
      <c r="R34" s="505">
        <v>1E-4</v>
      </c>
      <c r="S34" s="505">
        <v>1E-4</v>
      </c>
      <c r="T34" s="505">
        <v>1E-4</v>
      </c>
      <c r="U34" s="505">
        <v>1E-4</v>
      </c>
      <c r="V34" s="505">
        <v>1E-4</v>
      </c>
      <c r="W34" s="505">
        <v>1E-4</v>
      </c>
      <c r="X34" s="505">
        <v>1E-4</v>
      </c>
      <c r="Y34" s="505">
        <v>1E-4</v>
      </c>
      <c r="Z34" s="505">
        <v>1E-4</v>
      </c>
      <c r="AA34" s="505">
        <v>1E-4</v>
      </c>
      <c r="AB34" s="505">
        <v>1E-4</v>
      </c>
      <c r="AC34" s="505">
        <v>1E-4</v>
      </c>
      <c r="AD34" s="505">
        <v>1E-4</v>
      </c>
      <c r="AE34" s="505">
        <v>1E-4</v>
      </c>
      <c r="AF34" s="505">
        <v>1E-4</v>
      </c>
      <c r="AG34" s="505">
        <v>1E-4</v>
      </c>
      <c r="AH34" s="505">
        <v>1E-4</v>
      </c>
      <c r="AI34" s="505">
        <v>1E-4</v>
      </c>
      <c r="AJ34" s="505">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662</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663</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661</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663</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661</v>
      </c>
      <c r="B54"/>
      <c r="C54"/>
      <c r="D54"/>
      <c r="E54"/>
      <c r="F54"/>
      <c r="G54" s="505">
        <v>1E-4</v>
      </c>
      <c r="H54" s="505">
        <v>1E-4</v>
      </c>
      <c r="I54" s="505">
        <v>1E-4</v>
      </c>
      <c r="J54" s="505">
        <v>1E-4</v>
      </c>
      <c r="K54" s="505">
        <v>1E-4</v>
      </c>
      <c r="L54" s="505">
        <v>1E-4</v>
      </c>
      <c r="M54" s="505">
        <v>1E-4</v>
      </c>
      <c r="N54" s="505">
        <v>1E-4</v>
      </c>
      <c r="O54" s="505">
        <v>1E-4</v>
      </c>
      <c r="P54" s="505">
        <v>1E-4</v>
      </c>
      <c r="Q54" s="505">
        <v>1E-4</v>
      </c>
      <c r="R54" s="505">
        <v>1E-4</v>
      </c>
      <c r="S54" s="505">
        <v>1E-4</v>
      </c>
      <c r="T54" s="505">
        <v>1E-4</v>
      </c>
      <c r="U54" s="505">
        <v>1E-4</v>
      </c>
      <c r="V54" s="505">
        <v>1E-4</v>
      </c>
      <c r="W54" s="505">
        <v>1E-4</v>
      </c>
      <c r="X54" s="505">
        <v>1E-4</v>
      </c>
      <c r="Y54" s="505">
        <v>1E-4</v>
      </c>
      <c r="Z54" s="505">
        <v>1E-4</v>
      </c>
      <c r="AA54" s="505">
        <v>1E-4</v>
      </c>
      <c r="AB54" s="505">
        <v>1E-4</v>
      </c>
      <c r="AC54" s="505">
        <v>1E-4</v>
      </c>
      <c r="AD54" s="505">
        <v>1E-4</v>
      </c>
      <c r="AE54" s="505">
        <v>1E-4</v>
      </c>
      <c r="AF54" s="505">
        <v>1E-4</v>
      </c>
      <c r="AG54" s="505">
        <v>1E-4</v>
      </c>
      <c r="AH54" s="505">
        <v>1E-4</v>
      </c>
      <c r="AI54" s="505">
        <v>1E-4</v>
      </c>
      <c r="AJ54" s="505">
        <v>1E-4</v>
      </c>
      <c r="AK54" s="509">
        <v>9.9000000000000005E-2</v>
      </c>
      <c r="AL54" s="18" t="s">
        <v>742</v>
      </c>
      <c r="AM54" s="18" t="s">
        <v>743</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c r="AL55" s="517" t="s">
        <v>728</v>
      </c>
      <c r="AM55" s="29">
        <v>1.0000000000000001E-5</v>
      </c>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c r="AL56" s="517" t="s">
        <v>729</v>
      </c>
      <c r="AM56" s="29">
        <v>0.4</v>
      </c>
    </row>
    <row r="57" spans="1:39" s="252" customFormat="1">
      <c r="A57" s="252" t="s">
        <v>746</v>
      </c>
      <c r="B57"/>
      <c r="C57"/>
      <c r="D57"/>
      <c r="E57"/>
      <c r="F57"/>
      <c r="G57"/>
      <c r="H57"/>
      <c r="I57"/>
      <c r="J57"/>
      <c r="K57"/>
      <c r="L57"/>
      <c r="M57"/>
      <c r="N57"/>
      <c r="O57"/>
      <c r="P57"/>
      <c r="Q57"/>
      <c r="R57"/>
      <c r="S57"/>
      <c r="T57"/>
      <c r="U57"/>
      <c r="V57"/>
      <c r="W57"/>
      <c r="X57"/>
      <c r="Y57"/>
      <c r="Z57"/>
      <c r="AA57"/>
      <c r="AB57"/>
      <c r="AC57"/>
      <c r="AD57"/>
      <c r="AE57"/>
      <c r="AF57"/>
      <c r="AG57"/>
      <c r="AH57"/>
      <c r="AI57"/>
      <c r="AJ57"/>
      <c r="AK57"/>
      <c r="AL57" s="517" t="s">
        <v>730</v>
      </c>
      <c r="AM57" s="29">
        <v>0</v>
      </c>
    </row>
    <row r="58" spans="1:39" s="252" customFormat="1">
      <c r="A58" s="251" t="s">
        <v>349</v>
      </c>
      <c r="B58"/>
      <c r="C58"/>
      <c r="D58"/>
      <c r="E58"/>
      <c r="F58"/>
      <c r="G58"/>
      <c r="H58"/>
      <c r="I58"/>
      <c r="J58"/>
      <c r="K58"/>
      <c r="L58"/>
      <c r="M58"/>
      <c r="N58"/>
      <c r="O58"/>
      <c r="P58"/>
      <c r="Q58"/>
      <c r="R58"/>
      <c r="S58"/>
      <c r="T58"/>
      <c r="U58"/>
      <c r="V58"/>
      <c r="W58"/>
      <c r="X58"/>
      <c r="Y58"/>
      <c r="Z58"/>
      <c r="AA58"/>
      <c r="AB58"/>
      <c r="AC58"/>
      <c r="AD58"/>
      <c r="AE58"/>
      <c r="AF58"/>
      <c r="AG58"/>
      <c r="AH58"/>
      <c r="AI58"/>
      <c r="AJ58"/>
      <c r="AK58"/>
      <c r="AL58" s="517" t="s">
        <v>143</v>
      </c>
      <c r="AM58" s="29">
        <v>9.9999999999999995E-7</v>
      </c>
    </row>
    <row r="59" spans="1:39">
      <c r="A59" s="6" t="s">
        <v>741</v>
      </c>
      <c r="B59"/>
      <c r="C59"/>
      <c r="D59"/>
      <c r="E59"/>
      <c r="F59"/>
      <c r="G59"/>
      <c r="H59"/>
      <c r="I59"/>
      <c r="J59"/>
      <c r="K59"/>
      <c r="L59"/>
      <c r="M59"/>
      <c r="N59"/>
      <c r="O59"/>
      <c r="P59"/>
      <c r="Q59"/>
      <c r="R59"/>
      <c r="S59"/>
      <c r="T59"/>
      <c r="U59"/>
      <c r="V59"/>
      <c r="W59"/>
      <c r="X59"/>
      <c r="Y59"/>
      <c r="Z59"/>
      <c r="AA59"/>
      <c r="AB59"/>
      <c r="AC59"/>
      <c r="AD59"/>
      <c r="AE59"/>
      <c r="AF59"/>
      <c r="AG59"/>
      <c r="AH59"/>
      <c r="AI59"/>
      <c r="AJ59"/>
      <c r="AK59"/>
      <c r="AL59" s="517" t="s">
        <v>731</v>
      </c>
      <c r="AM59" s="29">
        <v>0.33522149357904013</v>
      </c>
    </row>
    <row r="60" spans="1:39">
      <c r="A60" s="507" t="s">
        <v>734</v>
      </c>
      <c r="G60" s="505">
        <v>4.7982909999999999</v>
      </c>
      <c r="H60" s="505">
        <v>4.5820410000000003</v>
      </c>
      <c r="I60" s="505">
        <v>6.8760719999999997</v>
      </c>
      <c r="J60" s="505">
        <v>7.0261959999999997</v>
      </c>
      <c r="K60" s="505">
        <v>7.1745609999999997</v>
      </c>
      <c r="L60" s="505">
        <v>7.323404</v>
      </c>
      <c r="M60" s="505">
        <v>7.4545560000000002</v>
      </c>
      <c r="N60" s="505">
        <v>7.4545430000000001</v>
      </c>
      <c r="O60" s="505">
        <v>7.4545430000000001</v>
      </c>
      <c r="P60" s="505">
        <v>7.4545430000000001</v>
      </c>
      <c r="Q60" s="505">
        <v>7.4545430000000001</v>
      </c>
      <c r="R60" s="505">
        <v>7.4545430000000001</v>
      </c>
      <c r="S60" s="505">
        <v>7.4545430000000001</v>
      </c>
      <c r="T60" s="505">
        <v>7.4545430000000001</v>
      </c>
      <c r="U60" s="505">
        <v>7.4545430000000001</v>
      </c>
      <c r="V60" s="505">
        <v>7.4545430000000001</v>
      </c>
      <c r="W60" s="505">
        <v>7.4545430000000001</v>
      </c>
      <c r="X60" s="505">
        <v>7.4545430000000001</v>
      </c>
      <c r="Y60" s="505">
        <v>7.4545430000000001</v>
      </c>
      <c r="Z60" s="505">
        <v>7.4545430000000001</v>
      </c>
      <c r="AA60" s="505">
        <v>7.4545430000000001</v>
      </c>
      <c r="AB60" s="505">
        <v>7.5194049999999999</v>
      </c>
      <c r="AC60" s="505">
        <v>7.5194049999999999</v>
      </c>
      <c r="AD60" s="505">
        <v>7.5194049999999999</v>
      </c>
      <c r="AE60" s="505">
        <v>7.5194049999999999</v>
      </c>
      <c r="AF60" s="505">
        <v>7.5194049999999999</v>
      </c>
      <c r="AG60" s="505">
        <v>7.5194049999999999</v>
      </c>
      <c r="AH60" s="505">
        <v>7.5194049999999999</v>
      </c>
      <c r="AI60" s="505">
        <v>7.5194049999999999</v>
      </c>
      <c r="AJ60" s="505">
        <v>7.5194049999999999</v>
      </c>
      <c r="AK60" s="509">
        <v>1.7999999999999999E-2</v>
      </c>
      <c r="AL60" s="517" t="s">
        <v>732</v>
      </c>
      <c r="AM60" s="29">
        <v>0.12396117220862937</v>
      </c>
    </row>
    <row r="61" spans="1:39">
      <c r="A61" s="507" t="s">
        <v>735</v>
      </c>
      <c r="G61" s="505">
        <v>0.01</v>
      </c>
      <c r="H61" s="505">
        <v>0.01</v>
      </c>
      <c r="I61" s="505">
        <v>0.01</v>
      </c>
      <c r="J61" s="505">
        <v>0.01</v>
      </c>
      <c r="K61" s="505">
        <v>0.01</v>
      </c>
      <c r="L61" s="505">
        <v>0.01</v>
      </c>
      <c r="M61" s="505">
        <v>0.01</v>
      </c>
      <c r="N61" s="505">
        <v>0.01</v>
      </c>
      <c r="O61" s="505">
        <v>0.01</v>
      </c>
      <c r="P61" s="505">
        <v>0.01</v>
      </c>
      <c r="Q61" s="505">
        <v>0.01</v>
      </c>
      <c r="R61" s="505">
        <v>0.01</v>
      </c>
      <c r="S61" s="505">
        <v>0.01</v>
      </c>
      <c r="T61" s="505">
        <v>0.01</v>
      </c>
      <c r="U61" s="505">
        <v>0.01</v>
      </c>
      <c r="V61" s="505">
        <v>0.01</v>
      </c>
      <c r="W61" s="505">
        <v>0.01</v>
      </c>
      <c r="X61" s="505">
        <v>0.01</v>
      </c>
      <c r="Y61" s="505">
        <v>0.01</v>
      </c>
      <c r="Z61" s="505">
        <v>0.01</v>
      </c>
      <c r="AA61" s="505">
        <v>0.01</v>
      </c>
      <c r="AB61" s="505">
        <v>0.01</v>
      </c>
      <c r="AC61" s="505">
        <v>0.01</v>
      </c>
      <c r="AD61" s="505">
        <v>0.01</v>
      </c>
      <c r="AE61" s="505">
        <v>0.01</v>
      </c>
      <c r="AF61" s="505">
        <v>0.01</v>
      </c>
      <c r="AG61" s="505">
        <v>0.01</v>
      </c>
      <c r="AH61" s="505">
        <v>0.01</v>
      </c>
      <c r="AI61" s="505">
        <v>0.01</v>
      </c>
      <c r="AJ61" s="505">
        <v>0.01</v>
      </c>
      <c r="AK61" s="505" t="s">
        <v>41</v>
      </c>
      <c r="AL61" s="517" t="s">
        <v>733</v>
      </c>
      <c r="AM61" s="29">
        <v>0</v>
      </c>
    </row>
    <row r="62" spans="1:39">
      <c r="A62" s="507" t="s">
        <v>736</v>
      </c>
      <c r="G62" s="505">
        <v>1.286754</v>
      </c>
      <c r="H62" s="505">
        <v>1.5206</v>
      </c>
      <c r="I62" s="505">
        <v>1.1131450000000001</v>
      </c>
      <c r="J62" s="505">
        <v>1.1821900000000001</v>
      </c>
      <c r="K62" s="505">
        <v>1.182823</v>
      </c>
      <c r="L62" s="505">
        <v>1.194078</v>
      </c>
      <c r="M62" s="505">
        <v>1.1983969999999999</v>
      </c>
      <c r="N62" s="505">
        <v>1.198885</v>
      </c>
      <c r="O62" s="505">
        <v>1.1980919999999999</v>
      </c>
      <c r="P62" s="505">
        <v>1.1955659999999999</v>
      </c>
      <c r="Q62" s="505">
        <v>1.1940580000000001</v>
      </c>
      <c r="R62" s="505">
        <v>1.1927779999999999</v>
      </c>
      <c r="S62" s="505">
        <v>1.191578</v>
      </c>
      <c r="T62" s="505">
        <v>1.190385</v>
      </c>
      <c r="U62" s="505">
        <v>1.1889799999999999</v>
      </c>
      <c r="V62" s="505">
        <v>1.1874130000000001</v>
      </c>
      <c r="W62" s="505">
        <v>1.185824</v>
      </c>
      <c r="X62" s="505">
        <v>1.1833899999999999</v>
      </c>
      <c r="Y62" s="505">
        <v>1.1814880000000001</v>
      </c>
      <c r="Z62" s="505">
        <v>1.1788730000000001</v>
      </c>
      <c r="AA62" s="505">
        <v>1.1763060000000001</v>
      </c>
      <c r="AB62" s="505">
        <v>1.1737169999999999</v>
      </c>
      <c r="AC62" s="505">
        <v>1.1712260000000001</v>
      </c>
      <c r="AD62" s="505">
        <v>1.169046</v>
      </c>
      <c r="AE62" s="505">
        <v>1.166703</v>
      </c>
      <c r="AF62" s="505">
        <v>1.164622</v>
      </c>
      <c r="AG62" s="505">
        <v>1.162749</v>
      </c>
      <c r="AH62" s="505">
        <v>1.16106</v>
      </c>
      <c r="AI62" s="505">
        <v>1.159286</v>
      </c>
      <c r="AJ62" s="505">
        <v>1.157532</v>
      </c>
      <c r="AK62" s="509">
        <v>-0.01</v>
      </c>
      <c r="AL62" s="518" t="s">
        <v>58</v>
      </c>
      <c r="AM62" s="29">
        <v>0.27773576940792216</v>
      </c>
    </row>
    <row r="63" spans="1:39">
      <c r="A63" s="507" t="s">
        <v>737</v>
      </c>
      <c r="G63" s="505">
        <v>5.1980490000000001</v>
      </c>
      <c r="H63" s="505">
        <v>5.4786650000000003</v>
      </c>
      <c r="I63" s="505">
        <v>6.1845670000000004</v>
      </c>
      <c r="J63" s="505">
        <v>6.2711980000000001</v>
      </c>
      <c r="K63" s="505">
        <v>6.4050919999999998</v>
      </c>
      <c r="L63" s="505">
        <v>10.158561000000001</v>
      </c>
      <c r="M63" s="505">
        <v>9.0863490000000002</v>
      </c>
      <c r="N63" s="505">
        <v>9.3779559999999993</v>
      </c>
      <c r="O63" s="505">
        <v>10.494590000000001</v>
      </c>
      <c r="P63" s="505">
        <v>13.420362000000001</v>
      </c>
      <c r="Q63" s="505">
        <v>17.926575</v>
      </c>
      <c r="R63" s="505">
        <v>18.275977999999999</v>
      </c>
      <c r="S63" s="505">
        <v>18.976327999999999</v>
      </c>
      <c r="T63" s="505">
        <v>19.094166000000001</v>
      </c>
      <c r="U63" s="505">
        <v>19.271854000000001</v>
      </c>
      <c r="V63" s="505">
        <v>19.291727000000002</v>
      </c>
      <c r="W63" s="505">
        <v>19.128564999999998</v>
      </c>
      <c r="X63" s="505">
        <v>19.217549999999999</v>
      </c>
      <c r="Y63" s="505">
        <v>19.287115</v>
      </c>
      <c r="Z63" s="505">
        <v>19.123767999999998</v>
      </c>
      <c r="AA63" s="505">
        <v>19.233367999999999</v>
      </c>
      <c r="AB63" s="505">
        <v>19.176537</v>
      </c>
      <c r="AC63" s="505">
        <v>19.212676999999999</v>
      </c>
      <c r="AD63" s="505">
        <v>19.346492999999999</v>
      </c>
      <c r="AE63" s="505">
        <v>19.434346999999999</v>
      </c>
      <c r="AF63" s="505">
        <v>19.545117999999999</v>
      </c>
      <c r="AG63" s="505">
        <v>19.638821</v>
      </c>
      <c r="AH63" s="505">
        <v>19.608941999999999</v>
      </c>
      <c r="AI63" s="505">
        <v>19.712223000000002</v>
      </c>
      <c r="AJ63" s="505">
        <v>19.801888000000002</v>
      </c>
      <c r="AK63" s="509">
        <v>4.7E-2</v>
      </c>
      <c r="AL63"/>
      <c r="AM63"/>
    </row>
    <row r="64" spans="1:39">
      <c r="A64" s="507" t="s">
        <v>738</v>
      </c>
      <c r="G64" s="505">
        <v>8.4653999999999993E-2</v>
      </c>
      <c r="H64" s="505">
        <v>0.281134</v>
      </c>
      <c r="I64" s="505">
        <v>0.49848700000000001</v>
      </c>
      <c r="J64" s="505">
        <v>0.74607599999999996</v>
      </c>
      <c r="K64" s="505">
        <v>1.209678</v>
      </c>
      <c r="L64" s="505">
        <v>1.9157759999999999</v>
      </c>
      <c r="M64" s="505">
        <v>2.1337199999999998</v>
      </c>
      <c r="N64" s="505">
        <v>2.141038</v>
      </c>
      <c r="O64" s="505">
        <v>2.1533150000000001</v>
      </c>
      <c r="P64" s="505">
        <v>2.1740370000000002</v>
      </c>
      <c r="Q64" s="505">
        <v>2.2009810000000001</v>
      </c>
      <c r="R64" s="505">
        <v>2.2301959999999998</v>
      </c>
      <c r="S64" s="505">
        <v>2.2617889999999998</v>
      </c>
      <c r="T64" s="505">
        <v>2.295912</v>
      </c>
      <c r="U64" s="505">
        <v>2.3545859999999998</v>
      </c>
      <c r="V64" s="505">
        <v>2.4380630000000001</v>
      </c>
      <c r="W64" s="505">
        <v>2.4986280000000001</v>
      </c>
      <c r="X64" s="505">
        <v>2.6137459999999999</v>
      </c>
      <c r="Y64" s="505">
        <v>2.8103940000000001</v>
      </c>
      <c r="Z64" s="505">
        <v>3.0602019999999999</v>
      </c>
      <c r="AA64" s="505">
        <v>3.3894690000000001</v>
      </c>
      <c r="AB64" s="505">
        <v>3.5715150000000002</v>
      </c>
      <c r="AC64" s="505">
        <v>3.7103060000000001</v>
      </c>
      <c r="AD64" s="505">
        <v>4.04732</v>
      </c>
      <c r="AE64" s="505">
        <v>4.5012660000000002</v>
      </c>
      <c r="AF64" s="505">
        <v>5.0900470000000002</v>
      </c>
      <c r="AG64" s="505">
        <v>6.202026</v>
      </c>
      <c r="AH64" s="505">
        <v>8.3394779999999997</v>
      </c>
      <c r="AI64" s="505">
        <v>10.122036</v>
      </c>
      <c r="AJ64" s="505">
        <v>11.716043000000001</v>
      </c>
      <c r="AK64" s="509">
        <v>0.14199999999999999</v>
      </c>
      <c r="AL64"/>
      <c r="AM64"/>
    </row>
    <row r="65" spans="1:39">
      <c r="A65" s="507" t="s">
        <v>739</v>
      </c>
      <c r="G65" s="505">
        <v>6.0000000000000002E-6</v>
      </c>
      <c r="H65" s="505">
        <v>6.0000000000000002E-6</v>
      </c>
      <c r="I65" s="505">
        <v>6.0000000000000002E-6</v>
      </c>
      <c r="J65" s="505">
        <v>6.0000000000000002E-6</v>
      </c>
      <c r="K65" s="505">
        <v>2.7954859999999999</v>
      </c>
      <c r="L65" s="505">
        <v>3.811191</v>
      </c>
      <c r="M65" s="505">
        <v>3.811191</v>
      </c>
      <c r="N65" s="505">
        <v>3.8117320000000001</v>
      </c>
      <c r="O65" s="505">
        <v>3.811553</v>
      </c>
      <c r="P65" s="505">
        <v>3.8116349999999999</v>
      </c>
      <c r="Q65" s="505">
        <v>3.811528</v>
      </c>
      <c r="R65" s="505">
        <v>3.811528</v>
      </c>
      <c r="S65" s="505">
        <v>3.8097629999999998</v>
      </c>
      <c r="T65" s="505">
        <v>3.8099150000000002</v>
      </c>
      <c r="U65" s="505">
        <v>3.8350569999999999</v>
      </c>
      <c r="V65" s="505">
        <v>3.8893430000000002</v>
      </c>
      <c r="W65" s="505">
        <v>3.9125679999999998</v>
      </c>
      <c r="X65" s="505">
        <v>3.9412150000000001</v>
      </c>
      <c r="Y65" s="505">
        <v>4.0068789999999996</v>
      </c>
      <c r="Z65" s="505">
        <v>4.0949749999999998</v>
      </c>
      <c r="AA65" s="505">
        <v>4.2196939999999996</v>
      </c>
      <c r="AB65" s="505">
        <v>4.2782439999999999</v>
      </c>
      <c r="AC65" s="505">
        <v>4.3081370000000003</v>
      </c>
      <c r="AD65" s="505">
        <v>4.4050229999999999</v>
      </c>
      <c r="AE65" s="505">
        <v>4.4557390000000003</v>
      </c>
      <c r="AF65" s="505">
        <v>4.4568289999999999</v>
      </c>
      <c r="AG65" s="505">
        <v>4.5794639999999998</v>
      </c>
      <c r="AH65" s="505">
        <v>4.6639439999999999</v>
      </c>
      <c r="AI65" s="505">
        <v>4.837936</v>
      </c>
      <c r="AJ65" s="505">
        <v>5.0758099999999997</v>
      </c>
      <c r="AK65" s="509">
        <v>0.626</v>
      </c>
      <c r="AL65"/>
      <c r="AM65"/>
    </row>
    <row r="66" spans="1:39">
      <c r="A66" s="508" t="s">
        <v>740</v>
      </c>
      <c r="G66" s="506">
        <v>11.367754</v>
      </c>
      <c r="H66" s="506">
        <v>11.862446</v>
      </c>
      <c r="I66" s="506">
        <v>14.672276</v>
      </c>
      <c r="J66" s="506">
        <v>15.225666</v>
      </c>
      <c r="K66" s="506">
        <v>18.767638999999999</v>
      </c>
      <c r="L66" s="506">
        <v>24.403010999999999</v>
      </c>
      <c r="M66" s="506">
        <v>23.684215999999999</v>
      </c>
      <c r="N66" s="506">
        <v>23.984154</v>
      </c>
      <c r="O66" s="506">
        <v>25.112093000000002</v>
      </c>
      <c r="P66" s="506">
        <v>28.056145000000001</v>
      </c>
      <c r="Q66" s="506">
        <v>32.587685</v>
      </c>
      <c r="R66" s="506">
        <v>32.965023000000002</v>
      </c>
      <c r="S66" s="506">
        <v>33.694000000000003</v>
      </c>
      <c r="T66" s="506">
        <v>33.844920999999999</v>
      </c>
      <c r="U66" s="506">
        <v>34.105018999999999</v>
      </c>
      <c r="V66" s="506">
        <v>34.261088999999998</v>
      </c>
      <c r="W66" s="506">
        <v>34.180129999999998</v>
      </c>
      <c r="X66" s="506">
        <v>34.410446</v>
      </c>
      <c r="Y66" s="506">
        <v>34.740417000000001</v>
      </c>
      <c r="Z66" s="506">
        <v>34.912360999999997</v>
      </c>
      <c r="AA66" s="506">
        <v>35.473381000000003</v>
      </c>
      <c r="AB66" s="506">
        <v>35.719417999999997</v>
      </c>
      <c r="AC66" s="506">
        <v>35.921753000000002</v>
      </c>
      <c r="AD66" s="506">
        <v>36.487285999999997</v>
      </c>
      <c r="AE66" s="506">
        <v>37.077457000000003</v>
      </c>
      <c r="AF66" s="506">
        <v>37.776020000000003</v>
      </c>
      <c r="AG66" s="506">
        <v>39.102466999999997</v>
      </c>
      <c r="AH66" s="506">
        <v>41.292828</v>
      </c>
      <c r="AI66" s="506">
        <v>43.350887</v>
      </c>
      <c r="AJ66" s="506">
        <v>45.270679000000001</v>
      </c>
      <c r="AK66" s="510">
        <v>4.9000000000000002E-2</v>
      </c>
      <c r="AL66"/>
      <c r="AM66"/>
    </row>
    <row r="67" spans="1:39">
      <c r="A67" s="519"/>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row>
    <row r="68" spans="1:39">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39">
      <c r="A69" s="6"/>
      <c r="B69" s="477"/>
      <c r="C69" s="477"/>
      <c r="D69" s="477"/>
      <c r="E69" s="477"/>
      <c r="F69" s="477"/>
      <c r="G69" s="322"/>
      <c r="H69" s="322"/>
      <c r="I69" s="322"/>
      <c r="J69" s="322"/>
      <c r="K69" s="322"/>
      <c r="L69" s="322"/>
      <c r="M69" s="322"/>
      <c r="N69" s="322"/>
      <c r="O69" s="322"/>
      <c r="P69" s="322"/>
      <c r="Q69" s="322"/>
      <c r="R69" s="322"/>
      <c r="S69" s="322"/>
      <c r="T69" s="322"/>
      <c r="U69" s="322"/>
      <c r="V69" s="322"/>
      <c r="W69" s="322"/>
      <c r="X69" s="322"/>
      <c r="Y69" s="322"/>
      <c r="Z69" s="322"/>
      <c r="AA69" s="322"/>
      <c r="AB69" s="322"/>
      <c r="AC69" s="322"/>
      <c r="AD69" s="322"/>
      <c r="AE69" s="322"/>
      <c r="AF69" s="322"/>
      <c r="AG69" s="322"/>
      <c r="AH69" s="322"/>
      <c r="AI69" s="322"/>
      <c r="AJ69" s="322"/>
      <c r="AK69" s="323"/>
    </row>
    <row r="70" spans="1:39" s="90" customFormat="1">
      <c r="B70" s="478" t="s">
        <v>7</v>
      </c>
      <c r="C70" s="478" t="s">
        <v>8</v>
      </c>
      <c r="D70" s="478" t="s">
        <v>9</v>
      </c>
      <c r="E70" s="478" t="s">
        <v>10</v>
      </c>
      <c r="F70" s="478" t="s">
        <v>11</v>
      </c>
      <c r="G70" s="324" t="s">
        <v>12</v>
      </c>
      <c r="H70" s="324" t="s">
        <v>13</v>
      </c>
      <c r="I70" s="324" t="s">
        <v>14</v>
      </c>
      <c r="J70" s="324" t="s">
        <v>15</v>
      </c>
      <c r="K70" s="324" t="s">
        <v>16</v>
      </c>
      <c r="L70" s="324" t="s">
        <v>17</v>
      </c>
      <c r="M70" s="324" t="s">
        <v>18</v>
      </c>
      <c r="N70" s="324" t="s">
        <v>19</v>
      </c>
      <c r="O70" s="324" t="s">
        <v>20</v>
      </c>
      <c r="P70" s="324" t="s">
        <v>21</v>
      </c>
      <c r="Q70" s="324" t="s">
        <v>22</v>
      </c>
      <c r="R70" s="324" t="s">
        <v>23</v>
      </c>
      <c r="S70" s="324" t="s">
        <v>24</v>
      </c>
      <c r="T70" s="324" t="s">
        <v>25</v>
      </c>
      <c r="U70" s="324" t="s">
        <v>26</v>
      </c>
      <c r="V70" s="324" t="s">
        <v>27</v>
      </c>
      <c r="W70" s="324" t="s">
        <v>28</v>
      </c>
      <c r="X70" s="324" t="s">
        <v>29</v>
      </c>
      <c r="Y70" s="324" t="s">
        <v>30</v>
      </c>
      <c r="Z70" s="324" t="s">
        <v>31</v>
      </c>
      <c r="AA70" s="324" t="s">
        <v>581</v>
      </c>
      <c r="AB70" s="324" t="s">
        <v>582</v>
      </c>
      <c r="AC70" s="324" t="s">
        <v>583</v>
      </c>
      <c r="AD70" s="324" t="s">
        <v>584</v>
      </c>
      <c r="AE70" s="324" t="s">
        <v>585</v>
      </c>
      <c r="AF70" s="324" t="s">
        <v>586</v>
      </c>
      <c r="AG70" s="324" t="s">
        <v>587</v>
      </c>
      <c r="AH70" s="324" t="s">
        <v>588</v>
      </c>
      <c r="AI70" s="324" t="s">
        <v>589</v>
      </c>
      <c r="AJ70" s="324" t="s">
        <v>590</v>
      </c>
      <c r="AK70" s="324" t="s">
        <v>593</v>
      </c>
    </row>
    <row r="71" spans="1:39">
      <c r="B71" s="476"/>
      <c r="C71" s="476"/>
      <c r="D71" s="476"/>
      <c r="E71" s="476"/>
      <c r="F71" s="476"/>
    </row>
    <row r="72" spans="1:39" s="18" customFormat="1">
      <c r="A72" s="17" t="s">
        <v>55</v>
      </c>
      <c r="B72" s="479"/>
      <c r="C72" s="479"/>
      <c r="D72" s="479"/>
      <c r="E72" s="479"/>
      <c r="F72" s="479"/>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row>
    <row r="73" spans="1:39" s="18" customFormat="1">
      <c r="A73" s="17" t="s">
        <v>49</v>
      </c>
      <c r="B73" s="497">
        <v>1.8069999999999999</v>
      </c>
      <c r="C73" s="497">
        <v>1.556</v>
      </c>
      <c r="D73" s="497">
        <v>1.123</v>
      </c>
      <c r="E73" s="497">
        <v>2.3319999999999999</v>
      </c>
      <c r="F73" s="497">
        <v>2.3759999999999999</v>
      </c>
      <c r="G73" s="490">
        <f>G60*$AM56</f>
        <v>1.9193164</v>
      </c>
      <c r="H73" s="490">
        <f t="shared" ref="H73:AJ73" si="0">H60*$AM56</f>
        <v>1.8328164000000002</v>
      </c>
      <c r="I73" s="490">
        <f t="shared" si="0"/>
        <v>2.7504287999999999</v>
      </c>
      <c r="J73" s="490">
        <f t="shared" si="0"/>
        <v>2.8104784</v>
      </c>
      <c r="K73" s="490">
        <f t="shared" si="0"/>
        <v>2.8698244000000002</v>
      </c>
      <c r="L73" s="490">
        <f t="shared" si="0"/>
        <v>2.9293616</v>
      </c>
      <c r="M73" s="490">
        <f t="shared" si="0"/>
        <v>2.9818224000000004</v>
      </c>
      <c r="N73" s="490">
        <f t="shared" si="0"/>
        <v>2.9818172000000001</v>
      </c>
      <c r="O73" s="490">
        <f t="shared" si="0"/>
        <v>2.9818172000000001</v>
      </c>
      <c r="P73" s="490">
        <f t="shared" si="0"/>
        <v>2.9818172000000001</v>
      </c>
      <c r="Q73" s="490">
        <f t="shared" si="0"/>
        <v>2.9818172000000001</v>
      </c>
      <c r="R73" s="490">
        <f t="shared" si="0"/>
        <v>2.9818172000000001</v>
      </c>
      <c r="S73" s="490">
        <f t="shared" si="0"/>
        <v>2.9818172000000001</v>
      </c>
      <c r="T73" s="490">
        <f t="shared" si="0"/>
        <v>2.9818172000000001</v>
      </c>
      <c r="U73" s="490">
        <f t="shared" si="0"/>
        <v>2.9818172000000001</v>
      </c>
      <c r="V73" s="490">
        <f t="shared" si="0"/>
        <v>2.9818172000000001</v>
      </c>
      <c r="W73" s="490">
        <f t="shared" si="0"/>
        <v>2.9818172000000001</v>
      </c>
      <c r="X73" s="490">
        <f t="shared" si="0"/>
        <v>2.9818172000000001</v>
      </c>
      <c r="Y73" s="490">
        <f t="shared" si="0"/>
        <v>2.9818172000000001</v>
      </c>
      <c r="Z73" s="490">
        <f t="shared" si="0"/>
        <v>2.9818172000000001</v>
      </c>
      <c r="AA73" s="490">
        <f t="shared" si="0"/>
        <v>2.9818172000000001</v>
      </c>
      <c r="AB73" s="490">
        <f t="shared" si="0"/>
        <v>3.007762</v>
      </c>
      <c r="AC73" s="490">
        <f t="shared" si="0"/>
        <v>3.007762</v>
      </c>
      <c r="AD73" s="490">
        <f t="shared" si="0"/>
        <v>3.007762</v>
      </c>
      <c r="AE73" s="490">
        <f t="shared" si="0"/>
        <v>3.007762</v>
      </c>
      <c r="AF73" s="490">
        <f t="shared" si="0"/>
        <v>3.007762</v>
      </c>
      <c r="AG73" s="490">
        <f t="shared" si="0"/>
        <v>3.007762</v>
      </c>
      <c r="AH73" s="490">
        <f t="shared" si="0"/>
        <v>3.007762</v>
      </c>
      <c r="AI73" s="490">
        <f t="shared" si="0"/>
        <v>3.007762</v>
      </c>
      <c r="AJ73" s="490">
        <f t="shared" si="0"/>
        <v>3.007762</v>
      </c>
      <c r="AK73" s="491"/>
    </row>
    <row r="74" spans="1:39" s="18" customFormat="1">
      <c r="A74" s="17" t="s">
        <v>50</v>
      </c>
      <c r="B74" s="497">
        <v>0</v>
      </c>
      <c r="C74" s="497">
        <v>0</v>
      </c>
      <c r="D74" s="497">
        <v>0</v>
      </c>
      <c r="E74" s="497">
        <v>0</v>
      </c>
      <c r="F74" s="497">
        <v>0</v>
      </c>
      <c r="G74" s="490">
        <f>G61*$AM55</f>
        <v>1.0000000000000001E-7</v>
      </c>
      <c r="H74" s="490">
        <f t="shared" ref="H74:AJ74" si="1">H61*$AM55</f>
        <v>1.0000000000000001E-7</v>
      </c>
      <c r="I74" s="490">
        <f t="shared" si="1"/>
        <v>1.0000000000000001E-7</v>
      </c>
      <c r="J74" s="490">
        <f t="shared" si="1"/>
        <v>1.0000000000000001E-7</v>
      </c>
      <c r="K74" s="490">
        <f t="shared" si="1"/>
        <v>1.0000000000000001E-7</v>
      </c>
      <c r="L74" s="490">
        <f t="shared" si="1"/>
        <v>1.0000000000000001E-7</v>
      </c>
      <c r="M74" s="490">
        <f t="shared" si="1"/>
        <v>1.0000000000000001E-7</v>
      </c>
      <c r="N74" s="490">
        <f t="shared" si="1"/>
        <v>1.0000000000000001E-7</v>
      </c>
      <c r="O74" s="490">
        <f t="shared" si="1"/>
        <v>1.0000000000000001E-7</v>
      </c>
      <c r="P74" s="490">
        <f t="shared" si="1"/>
        <v>1.0000000000000001E-7</v>
      </c>
      <c r="Q74" s="490">
        <f t="shared" si="1"/>
        <v>1.0000000000000001E-7</v>
      </c>
      <c r="R74" s="490">
        <f t="shared" si="1"/>
        <v>1.0000000000000001E-7</v>
      </c>
      <c r="S74" s="490">
        <f t="shared" si="1"/>
        <v>1.0000000000000001E-7</v>
      </c>
      <c r="T74" s="490">
        <f t="shared" si="1"/>
        <v>1.0000000000000001E-7</v>
      </c>
      <c r="U74" s="490">
        <f t="shared" si="1"/>
        <v>1.0000000000000001E-7</v>
      </c>
      <c r="V74" s="490">
        <f t="shared" si="1"/>
        <v>1.0000000000000001E-7</v>
      </c>
      <c r="W74" s="490">
        <f t="shared" si="1"/>
        <v>1.0000000000000001E-7</v>
      </c>
      <c r="X74" s="490">
        <f t="shared" si="1"/>
        <v>1.0000000000000001E-7</v>
      </c>
      <c r="Y74" s="490">
        <f t="shared" si="1"/>
        <v>1.0000000000000001E-7</v>
      </c>
      <c r="Z74" s="490">
        <f t="shared" si="1"/>
        <v>1.0000000000000001E-7</v>
      </c>
      <c r="AA74" s="490">
        <f t="shared" si="1"/>
        <v>1.0000000000000001E-7</v>
      </c>
      <c r="AB74" s="490">
        <f t="shared" si="1"/>
        <v>1.0000000000000001E-7</v>
      </c>
      <c r="AC74" s="490">
        <f t="shared" si="1"/>
        <v>1.0000000000000001E-7</v>
      </c>
      <c r="AD74" s="490">
        <f t="shared" si="1"/>
        <v>1.0000000000000001E-7</v>
      </c>
      <c r="AE74" s="490">
        <f t="shared" si="1"/>
        <v>1.0000000000000001E-7</v>
      </c>
      <c r="AF74" s="490">
        <f t="shared" si="1"/>
        <v>1.0000000000000001E-7</v>
      </c>
      <c r="AG74" s="490">
        <f t="shared" si="1"/>
        <v>1.0000000000000001E-7</v>
      </c>
      <c r="AH74" s="490">
        <f t="shared" si="1"/>
        <v>1.0000000000000001E-7</v>
      </c>
      <c r="AI74" s="490">
        <f t="shared" si="1"/>
        <v>1.0000000000000001E-7</v>
      </c>
      <c r="AJ74" s="490">
        <f t="shared" si="1"/>
        <v>1.0000000000000001E-7</v>
      </c>
      <c r="AK74" s="491"/>
    </row>
    <row r="75" spans="1:39" s="18" customFormat="1">
      <c r="A75" s="17" t="s">
        <v>51</v>
      </c>
      <c r="B75" s="497">
        <v>0.106</v>
      </c>
      <c r="C75" s="497">
        <v>0.10100000000000001</v>
      </c>
      <c r="D75" s="497">
        <v>0.12</v>
      </c>
      <c r="E75" s="497">
        <v>0.13700000000000001</v>
      </c>
      <c r="F75" s="497">
        <v>0.13100000000000001</v>
      </c>
      <c r="G75" s="490">
        <f>G62*$AM60</f>
        <v>0.15950753418414268</v>
      </c>
      <c r="H75" s="490">
        <f t="shared" ref="H75:AJ75" si="2">H62*$AM60</f>
        <v>0.18849535846044183</v>
      </c>
      <c r="I75" s="490">
        <f t="shared" si="2"/>
        <v>0.13798675903817476</v>
      </c>
      <c r="J75" s="490">
        <f t="shared" si="2"/>
        <v>0.14654565817331958</v>
      </c>
      <c r="K75" s="490">
        <f t="shared" si="2"/>
        <v>0.14662412559532761</v>
      </c>
      <c r="L75" s="490">
        <f t="shared" si="2"/>
        <v>0.14801930858853574</v>
      </c>
      <c r="M75" s="490">
        <f t="shared" si="2"/>
        <v>0.14855469689130479</v>
      </c>
      <c r="N75" s="490">
        <f t="shared" si="2"/>
        <v>0.14861518994334263</v>
      </c>
      <c r="O75" s="490">
        <f t="shared" si="2"/>
        <v>0.14851688873378116</v>
      </c>
      <c r="P75" s="490">
        <f t="shared" si="2"/>
        <v>0.14820376281278216</v>
      </c>
      <c r="Q75" s="490">
        <f t="shared" si="2"/>
        <v>0.14801682936509158</v>
      </c>
      <c r="R75" s="490">
        <f t="shared" si="2"/>
        <v>0.14785815906466451</v>
      </c>
      <c r="S75" s="490">
        <f t="shared" si="2"/>
        <v>0.14770940565801419</v>
      </c>
      <c r="T75" s="490">
        <f t="shared" si="2"/>
        <v>0.14756151997956929</v>
      </c>
      <c r="U75" s="490">
        <f t="shared" si="2"/>
        <v>0.14738735453261614</v>
      </c>
      <c r="V75" s="490">
        <f t="shared" si="2"/>
        <v>0.14719310737576524</v>
      </c>
      <c r="W75" s="490">
        <f t="shared" si="2"/>
        <v>0.14699613307312573</v>
      </c>
      <c r="X75" s="490">
        <f t="shared" si="2"/>
        <v>0.1466944115799699</v>
      </c>
      <c r="Y75" s="490">
        <f t="shared" si="2"/>
        <v>0.14645863743042911</v>
      </c>
      <c r="Z75" s="490">
        <f t="shared" si="2"/>
        <v>0.14613447896510354</v>
      </c>
      <c r="AA75" s="490">
        <f t="shared" si="2"/>
        <v>0.14581627063604399</v>
      </c>
      <c r="AB75" s="490">
        <f t="shared" si="2"/>
        <v>0.14549533516119584</v>
      </c>
      <c r="AC75" s="490">
        <f t="shared" si="2"/>
        <v>0.14518654788122415</v>
      </c>
      <c r="AD75" s="490">
        <f t="shared" si="2"/>
        <v>0.14491631252580933</v>
      </c>
      <c r="AE75" s="490">
        <f t="shared" si="2"/>
        <v>0.14462587149932452</v>
      </c>
      <c r="AF75" s="490">
        <f t="shared" si="2"/>
        <v>0.14436790829995835</v>
      </c>
      <c r="AG75" s="490">
        <f t="shared" si="2"/>
        <v>0.1441357290244116</v>
      </c>
      <c r="AH75" s="490">
        <f t="shared" si="2"/>
        <v>0.14392635860455122</v>
      </c>
      <c r="AI75" s="490">
        <f t="shared" si="2"/>
        <v>0.14370645148505312</v>
      </c>
      <c r="AJ75" s="490">
        <f t="shared" si="2"/>
        <v>0.14348902358899918</v>
      </c>
      <c r="AK75" s="491"/>
    </row>
    <row r="76" spans="1:39" s="18" customFormat="1">
      <c r="A76" s="17" t="s">
        <v>56</v>
      </c>
      <c r="B76" s="498">
        <v>1.804</v>
      </c>
      <c r="C76" s="498">
        <v>1.895</v>
      </c>
      <c r="D76" s="498">
        <v>1.696</v>
      </c>
      <c r="E76" s="498">
        <v>1.611</v>
      </c>
      <c r="F76" s="498">
        <v>1.742</v>
      </c>
      <c r="G76" s="490">
        <f>G63*$AM59</f>
        <v>1.742497749477036</v>
      </c>
      <c r="H76" s="490">
        <f t="shared" ref="H76:AJ76" si="3">H63*$AM59</f>
        <v>1.836566264119212</v>
      </c>
      <c r="I76" s="490">
        <f t="shared" si="3"/>
        <v>2.0731997868796435</v>
      </c>
      <c r="J76" s="490">
        <f t="shared" si="3"/>
        <v>2.1022403600898891</v>
      </c>
      <c r="K76" s="490">
        <f t="shared" si="3"/>
        <v>2.1471245067511613</v>
      </c>
      <c r="L76" s="490">
        <f t="shared" si="3"/>
        <v>3.4053679910337875</v>
      </c>
      <c r="M76" s="490">
        <f t="shared" si="3"/>
        <v>3.0459394829604176</v>
      </c>
      <c r="N76" s="490">
        <f t="shared" si="3"/>
        <v>3.1436924170385208</v>
      </c>
      <c r="O76" s="490">
        <f t="shared" si="3"/>
        <v>3.5180121342996591</v>
      </c>
      <c r="P76" s="490">
        <f t="shared" si="3"/>
        <v>4.4987937940113945</v>
      </c>
      <c r="Q76" s="490">
        <f t="shared" si="3"/>
        <v>6.0093732462566809</v>
      </c>
      <c r="R76" s="490">
        <f t="shared" si="3"/>
        <v>6.1265006417776782</v>
      </c>
      <c r="S76" s="490">
        <f t="shared" si="3"/>
        <v>6.361273014805759</v>
      </c>
      <c r="T76" s="490">
        <f t="shared" si="3"/>
        <v>6.4007748451661266</v>
      </c>
      <c r="U76" s="490">
        <f t="shared" si="3"/>
        <v>6.4603396819171994</v>
      </c>
      <c r="V76" s="490">
        <f t="shared" si="3"/>
        <v>6.4670015386590958</v>
      </c>
      <c r="W76" s="490">
        <f t="shared" si="3"/>
        <v>6.4123061293237509</v>
      </c>
      <c r="X76" s="490">
        <f t="shared" si="3"/>
        <v>6.4421358139298821</v>
      </c>
      <c r="Y76" s="490">
        <f t="shared" si="3"/>
        <v>6.4654554971307086</v>
      </c>
      <c r="Z76" s="490">
        <f t="shared" si="3"/>
        <v>6.4106980718190529</v>
      </c>
      <c r="AA76" s="490">
        <f t="shared" si="3"/>
        <v>6.4474383475153152</v>
      </c>
      <c r="AB76" s="490">
        <f t="shared" si="3"/>
        <v>6.4283873748137257</v>
      </c>
      <c r="AC76" s="490">
        <f t="shared" si="3"/>
        <v>6.440502279591672</v>
      </c>
      <c r="AD76" s="490">
        <f t="shared" si="3"/>
        <v>6.4853602789764446</v>
      </c>
      <c r="AE76" s="490">
        <f t="shared" si="3"/>
        <v>6.5148108280733377</v>
      </c>
      <c r="AF76" s="490">
        <f t="shared" si="3"/>
        <v>6.5519436481385815</v>
      </c>
      <c r="AG76" s="490">
        <f t="shared" si="3"/>
        <v>6.5833549077514188</v>
      </c>
      <c r="AH76" s="490">
        <f t="shared" si="3"/>
        <v>6.5733388247447699</v>
      </c>
      <c r="AI76" s="490">
        <f t="shared" si="3"/>
        <v>6.6079608358231079</v>
      </c>
      <c r="AJ76" s="490">
        <f t="shared" si="3"/>
        <v>6.6380184710448722</v>
      </c>
      <c r="AK76" s="491"/>
    </row>
    <row r="77" spans="1:39" s="18" customFormat="1">
      <c r="A77" s="17" t="s">
        <v>52</v>
      </c>
      <c r="B77" s="497">
        <v>0</v>
      </c>
      <c r="C77" s="497">
        <v>0</v>
      </c>
      <c r="D77" s="497">
        <v>2E-3</v>
      </c>
      <c r="E77" s="497">
        <v>5.0000000000000001E-3</v>
      </c>
      <c r="F77" s="497">
        <v>1.0999999999999999E-2</v>
      </c>
      <c r="G77" s="490">
        <f>G64*$AM57</f>
        <v>0</v>
      </c>
      <c r="H77" s="490">
        <f t="shared" ref="H77:AJ77" si="4">H64*$AM57</f>
        <v>0</v>
      </c>
      <c r="I77" s="490">
        <f t="shared" si="4"/>
        <v>0</v>
      </c>
      <c r="J77" s="490">
        <f t="shared" si="4"/>
        <v>0</v>
      </c>
      <c r="K77" s="490">
        <f t="shared" si="4"/>
        <v>0</v>
      </c>
      <c r="L77" s="490">
        <f t="shared" si="4"/>
        <v>0</v>
      </c>
      <c r="M77" s="490">
        <f t="shared" si="4"/>
        <v>0</v>
      </c>
      <c r="N77" s="490">
        <f t="shared" si="4"/>
        <v>0</v>
      </c>
      <c r="O77" s="490">
        <f t="shared" si="4"/>
        <v>0</v>
      </c>
      <c r="P77" s="490">
        <f t="shared" si="4"/>
        <v>0</v>
      </c>
      <c r="Q77" s="490">
        <f t="shared" si="4"/>
        <v>0</v>
      </c>
      <c r="R77" s="490">
        <f t="shared" si="4"/>
        <v>0</v>
      </c>
      <c r="S77" s="490">
        <f t="shared" si="4"/>
        <v>0</v>
      </c>
      <c r="T77" s="490">
        <f t="shared" si="4"/>
        <v>0</v>
      </c>
      <c r="U77" s="490">
        <f t="shared" si="4"/>
        <v>0</v>
      </c>
      <c r="V77" s="490">
        <f t="shared" si="4"/>
        <v>0</v>
      </c>
      <c r="W77" s="490">
        <f t="shared" si="4"/>
        <v>0</v>
      </c>
      <c r="X77" s="490">
        <f t="shared" si="4"/>
        <v>0</v>
      </c>
      <c r="Y77" s="490">
        <f t="shared" si="4"/>
        <v>0</v>
      </c>
      <c r="Z77" s="490">
        <f t="shared" si="4"/>
        <v>0</v>
      </c>
      <c r="AA77" s="490">
        <f t="shared" si="4"/>
        <v>0</v>
      </c>
      <c r="AB77" s="490">
        <f t="shared" si="4"/>
        <v>0</v>
      </c>
      <c r="AC77" s="490">
        <f t="shared" si="4"/>
        <v>0</v>
      </c>
      <c r="AD77" s="490">
        <f t="shared" si="4"/>
        <v>0</v>
      </c>
      <c r="AE77" s="490">
        <f t="shared" si="4"/>
        <v>0</v>
      </c>
      <c r="AF77" s="490">
        <f t="shared" si="4"/>
        <v>0</v>
      </c>
      <c r="AG77" s="490">
        <f t="shared" si="4"/>
        <v>0</v>
      </c>
      <c r="AH77" s="490">
        <f t="shared" si="4"/>
        <v>0</v>
      </c>
      <c r="AI77" s="490">
        <f t="shared" si="4"/>
        <v>0</v>
      </c>
      <c r="AJ77" s="490">
        <f t="shared" si="4"/>
        <v>0</v>
      </c>
      <c r="AK77" s="491"/>
    </row>
    <row r="78" spans="1:39" s="18" customFormat="1">
      <c r="A78" s="17" t="s">
        <v>53</v>
      </c>
      <c r="B78" s="497">
        <v>0</v>
      </c>
      <c r="C78" s="497">
        <v>0</v>
      </c>
      <c r="D78" s="497">
        <v>0</v>
      </c>
      <c r="E78" s="497">
        <v>0</v>
      </c>
      <c r="F78" s="497">
        <v>0</v>
      </c>
      <c r="G78" s="490">
        <f>G65*$AM58</f>
        <v>6.0000000000000003E-12</v>
      </c>
      <c r="H78" s="490">
        <f t="shared" ref="H78:AJ78" si="5">H65*$AM58</f>
        <v>6.0000000000000003E-12</v>
      </c>
      <c r="I78" s="490">
        <f t="shared" si="5"/>
        <v>6.0000000000000003E-12</v>
      </c>
      <c r="J78" s="490">
        <f t="shared" si="5"/>
        <v>6.0000000000000003E-12</v>
      </c>
      <c r="K78" s="490">
        <f t="shared" si="5"/>
        <v>2.7954859999999998E-6</v>
      </c>
      <c r="L78" s="490">
        <f t="shared" si="5"/>
        <v>3.811191E-6</v>
      </c>
      <c r="M78" s="490">
        <f t="shared" si="5"/>
        <v>3.811191E-6</v>
      </c>
      <c r="N78" s="490">
        <f t="shared" si="5"/>
        <v>3.8117319999999999E-6</v>
      </c>
      <c r="O78" s="490">
        <f t="shared" si="5"/>
        <v>3.8115529999999998E-6</v>
      </c>
      <c r="P78" s="490">
        <f t="shared" si="5"/>
        <v>3.8116349999999995E-6</v>
      </c>
      <c r="Q78" s="490">
        <f t="shared" si="5"/>
        <v>3.8115279999999998E-6</v>
      </c>
      <c r="R78" s="490">
        <f t="shared" si="5"/>
        <v>3.8115279999999998E-6</v>
      </c>
      <c r="S78" s="490">
        <f t="shared" si="5"/>
        <v>3.8097629999999995E-6</v>
      </c>
      <c r="T78" s="490">
        <f t="shared" si="5"/>
        <v>3.8099149999999999E-6</v>
      </c>
      <c r="U78" s="490">
        <f t="shared" si="5"/>
        <v>3.8350569999999998E-6</v>
      </c>
      <c r="V78" s="490">
        <f t="shared" si="5"/>
        <v>3.8893430000000003E-6</v>
      </c>
      <c r="W78" s="490">
        <f t="shared" si="5"/>
        <v>3.9125679999999996E-6</v>
      </c>
      <c r="X78" s="490">
        <f t="shared" si="5"/>
        <v>3.9412149999999998E-6</v>
      </c>
      <c r="Y78" s="490">
        <f t="shared" si="5"/>
        <v>4.0068789999999998E-6</v>
      </c>
      <c r="Z78" s="490">
        <f t="shared" si="5"/>
        <v>4.0949749999999997E-6</v>
      </c>
      <c r="AA78" s="490">
        <f t="shared" si="5"/>
        <v>4.219693999999999E-6</v>
      </c>
      <c r="AB78" s="490">
        <f t="shared" si="5"/>
        <v>4.2782439999999995E-6</v>
      </c>
      <c r="AC78" s="490">
        <f t="shared" si="5"/>
        <v>4.3081369999999998E-6</v>
      </c>
      <c r="AD78" s="490">
        <f t="shared" si="5"/>
        <v>4.4050229999999998E-6</v>
      </c>
      <c r="AE78" s="490">
        <f t="shared" si="5"/>
        <v>4.4557390000000004E-6</v>
      </c>
      <c r="AF78" s="490">
        <f t="shared" si="5"/>
        <v>4.4568289999999996E-6</v>
      </c>
      <c r="AG78" s="490">
        <f t="shared" si="5"/>
        <v>4.5794639999999998E-6</v>
      </c>
      <c r="AH78" s="490">
        <f t="shared" si="5"/>
        <v>4.6639439999999999E-6</v>
      </c>
      <c r="AI78" s="490">
        <f t="shared" si="5"/>
        <v>4.837936E-6</v>
      </c>
      <c r="AJ78" s="490">
        <f t="shared" si="5"/>
        <v>5.0758099999999996E-6</v>
      </c>
      <c r="AK78" s="491"/>
    </row>
    <row r="79" spans="1:39" s="18" customFormat="1">
      <c r="A79" s="17" t="s">
        <v>54</v>
      </c>
      <c r="B79" s="499">
        <v>3.7170000000000001</v>
      </c>
      <c r="C79" s="499">
        <v>3.552</v>
      </c>
      <c r="D79" s="499">
        <v>2.9390000000000001</v>
      </c>
      <c r="E79" s="499">
        <v>4.08</v>
      </c>
      <c r="F79" s="499">
        <v>4.25</v>
      </c>
      <c r="G79" s="492">
        <f>SUM(G73:G78)</f>
        <v>3.8213217836671789</v>
      </c>
      <c r="H79" s="492">
        <f t="shared" ref="H79:AJ79" si="6">SUM(H73:H78)</f>
        <v>3.8578781225856544</v>
      </c>
      <c r="I79" s="492">
        <f t="shared" si="6"/>
        <v>4.961615445923818</v>
      </c>
      <c r="J79" s="492">
        <f t="shared" si="6"/>
        <v>5.0592645182692086</v>
      </c>
      <c r="K79" s="492">
        <f t="shared" si="6"/>
        <v>5.1635759278324889</v>
      </c>
      <c r="L79" s="492">
        <f t="shared" si="6"/>
        <v>6.4827528108133237</v>
      </c>
      <c r="M79" s="492">
        <f t="shared" si="6"/>
        <v>6.1763204910427234</v>
      </c>
      <c r="N79" s="492">
        <f t="shared" si="6"/>
        <v>6.2741287187138637</v>
      </c>
      <c r="O79" s="492">
        <f t="shared" si="6"/>
        <v>6.6483501345864404</v>
      </c>
      <c r="P79" s="492">
        <f t="shared" si="6"/>
        <v>7.6288186684591759</v>
      </c>
      <c r="Q79" s="492">
        <f t="shared" si="6"/>
        <v>9.1392111871497725</v>
      </c>
      <c r="R79" s="492">
        <f t="shared" si="6"/>
        <v>9.2561799123703423</v>
      </c>
      <c r="S79" s="492">
        <f t="shared" si="6"/>
        <v>9.4908035302267724</v>
      </c>
      <c r="T79" s="492">
        <f t="shared" si="6"/>
        <v>9.5301574750606957</v>
      </c>
      <c r="U79" s="492">
        <f t="shared" si="6"/>
        <v>9.5895481715068165</v>
      </c>
      <c r="V79" s="492">
        <f t="shared" si="6"/>
        <v>9.5960158353778606</v>
      </c>
      <c r="W79" s="492">
        <f t="shared" si="6"/>
        <v>9.5411234749648752</v>
      </c>
      <c r="X79" s="492">
        <f t="shared" si="6"/>
        <v>9.5706514667248523</v>
      </c>
      <c r="Y79" s="492">
        <f t="shared" si="6"/>
        <v>9.5937354414401366</v>
      </c>
      <c r="Z79" s="492">
        <f t="shared" si="6"/>
        <v>9.5386539457591581</v>
      </c>
      <c r="AA79" s="492">
        <f t="shared" si="6"/>
        <v>9.5750761378453593</v>
      </c>
      <c r="AB79" s="492">
        <f t="shared" si="6"/>
        <v>9.5816490882189225</v>
      </c>
      <c r="AC79" s="492">
        <f t="shared" si="6"/>
        <v>9.5934552356098948</v>
      </c>
      <c r="AD79" s="492">
        <f t="shared" si="6"/>
        <v>9.638043096525255</v>
      </c>
      <c r="AE79" s="492">
        <f t="shared" si="6"/>
        <v>9.667203255311664</v>
      </c>
      <c r="AF79" s="492">
        <f t="shared" si="6"/>
        <v>9.7040781132675402</v>
      </c>
      <c r="AG79" s="492">
        <f t="shared" si="6"/>
        <v>9.7352573162398297</v>
      </c>
      <c r="AH79" s="492">
        <f t="shared" si="6"/>
        <v>9.7250319472933224</v>
      </c>
      <c r="AI79" s="492">
        <f t="shared" si="6"/>
        <v>9.7594342252441617</v>
      </c>
      <c r="AJ79" s="492">
        <f t="shared" si="6"/>
        <v>9.7892746704438718</v>
      </c>
      <c r="AK79" s="493"/>
    </row>
    <row r="80" spans="1:39" s="256" customFormat="1">
      <c r="A80" s="255" t="s">
        <v>57</v>
      </c>
      <c r="B80" s="480">
        <f>B79*1000</f>
        <v>3717</v>
      </c>
      <c r="C80" s="480">
        <f t="shared" ref="C80:AJ80" si="7">C79*1000</f>
        <v>3552</v>
      </c>
      <c r="D80" s="480">
        <f t="shared" si="7"/>
        <v>2939</v>
      </c>
      <c r="E80" s="480">
        <f t="shared" si="7"/>
        <v>4080</v>
      </c>
      <c r="F80" s="480">
        <f t="shared" si="7"/>
        <v>4250</v>
      </c>
      <c r="G80" s="277">
        <f t="shared" si="7"/>
        <v>3821.3217836671788</v>
      </c>
      <c r="H80" s="277">
        <f t="shared" si="7"/>
        <v>3857.8781225856546</v>
      </c>
      <c r="I80" s="277">
        <f t="shared" si="7"/>
        <v>4961.6154459238178</v>
      </c>
      <c r="J80" s="277">
        <f t="shared" si="7"/>
        <v>5059.2645182692086</v>
      </c>
      <c r="K80" s="277">
        <f t="shared" si="7"/>
        <v>5163.5759278324886</v>
      </c>
      <c r="L80" s="277">
        <f t="shared" si="7"/>
        <v>6482.7528108133238</v>
      </c>
      <c r="M80" s="277">
        <f t="shared" si="7"/>
        <v>6176.320491042723</v>
      </c>
      <c r="N80" s="277">
        <f t="shared" si="7"/>
        <v>6274.1287187138632</v>
      </c>
      <c r="O80" s="277">
        <f t="shared" si="7"/>
        <v>6648.3501345864406</v>
      </c>
      <c r="P80" s="277">
        <f t="shared" si="7"/>
        <v>7628.8186684591756</v>
      </c>
      <c r="Q80" s="277">
        <f t="shared" si="7"/>
        <v>9139.2111871497727</v>
      </c>
      <c r="R80" s="277">
        <f t="shared" si="7"/>
        <v>9256.1799123703422</v>
      </c>
      <c r="S80" s="277">
        <f t="shared" si="7"/>
        <v>9490.8035302267726</v>
      </c>
      <c r="T80" s="277">
        <f t="shared" si="7"/>
        <v>9530.157475060696</v>
      </c>
      <c r="U80" s="277">
        <f t="shared" si="7"/>
        <v>9589.5481715068163</v>
      </c>
      <c r="V80" s="277">
        <f t="shared" si="7"/>
        <v>9596.0158353778606</v>
      </c>
      <c r="W80" s="277">
        <f t="shared" si="7"/>
        <v>9541.1234749648756</v>
      </c>
      <c r="X80" s="277">
        <f t="shared" si="7"/>
        <v>9570.6514667248521</v>
      </c>
      <c r="Y80" s="277">
        <f t="shared" si="7"/>
        <v>9593.7354414401361</v>
      </c>
      <c r="Z80" s="277">
        <f t="shared" si="7"/>
        <v>9538.6539457591589</v>
      </c>
      <c r="AA80" s="277">
        <f t="shared" si="7"/>
        <v>9575.076137845359</v>
      </c>
      <c r="AB80" s="277">
        <f t="shared" si="7"/>
        <v>9581.6490882189228</v>
      </c>
      <c r="AC80" s="277">
        <f t="shared" si="7"/>
        <v>9593.4552356098939</v>
      </c>
      <c r="AD80" s="277">
        <f t="shared" si="7"/>
        <v>9638.0430965252544</v>
      </c>
      <c r="AE80" s="277">
        <f t="shared" si="7"/>
        <v>9667.2032553116642</v>
      </c>
      <c r="AF80" s="277">
        <f t="shared" si="7"/>
        <v>9704.0781132675402</v>
      </c>
      <c r="AG80" s="277">
        <f t="shared" si="7"/>
        <v>9735.2573162398294</v>
      </c>
      <c r="AH80" s="277">
        <f t="shared" si="7"/>
        <v>9725.0319472933224</v>
      </c>
      <c r="AI80" s="277">
        <f t="shared" si="7"/>
        <v>9759.434225244162</v>
      </c>
      <c r="AJ80" s="277">
        <f t="shared" si="7"/>
        <v>9789.2746704438723</v>
      </c>
      <c r="AK80" s="326"/>
    </row>
    <row r="81" spans="1:37" s="257" customFormat="1">
      <c r="A81" s="258" t="s">
        <v>339</v>
      </c>
      <c r="B81" s="261">
        <f t="shared" ref="B81:Q82" si="8">B74/SUM(B$74:B$78)</f>
        <v>0</v>
      </c>
      <c r="C81" s="261">
        <f>C74/SUM(C$74:C$78)</f>
        <v>0</v>
      </c>
      <c r="D81" s="261">
        <f t="shared" si="8"/>
        <v>0</v>
      </c>
      <c r="E81" s="261">
        <f t="shared" si="8"/>
        <v>0</v>
      </c>
      <c r="F81" s="261">
        <f t="shared" si="8"/>
        <v>0</v>
      </c>
      <c r="G81" s="261">
        <f t="shared" si="8"/>
        <v>5.2576086723368838E-8</v>
      </c>
      <c r="H81" s="261">
        <f t="shared" si="8"/>
        <v>4.9381210895792986E-8</v>
      </c>
      <c r="I81" s="261">
        <f t="shared" si="8"/>
        <v>4.5224585714798716E-8</v>
      </c>
      <c r="J81" s="261">
        <f t="shared" si="8"/>
        <v>4.4468435298313564E-8</v>
      </c>
      <c r="K81" s="261">
        <f t="shared" si="8"/>
        <v>4.35967012061225E-8</v>
      </c>
      <c r="L81" s="261">
        <f t="shared" si="8"/>
        <v>2.8142130732943237E-8</v>
      </c>
      <c r="M81" s="261">
        <f t="shared" si="8"/>
        <v>3.1303822118534687E-8</v>
      </c>
      <c r="N81" s="261">
        <f t="shared" si="8"/>
        <v>3.0373796474479692E-8</v>
      </c>
      <c r="O81" s="261">
        <f t="shared" si="8"/>
        <v>2.7273722010430907E-8</v>
      </c>
      <c r="P81" s="261">
        <f t="shared" si="8"/>
        <v>2.1519252937347875E-8</v>
      </c>
      <c r="Q81" s="261">
        <f t="shared" si="8"/>
        <v>1.6240636900723894E-8</v>
      </c>
      <c r="R81" s="261">
        <f t="shared" ref="R81:AJ82" si="9">R74/SUM(R$74:R$78)</f>
        <v>1.5937873627044713E-8</v>
      </c>
      <c r="S81" s="261">
        <f t="shared" si="9"/>
        <v>1.5363375328599901E-8</v>
      </c>
      <c r="T81" s="261">
        <f t="shared" si="9"/>
        <v>1.5271045150303084E-8</v>
      </c>
      <c r="U81" s="261">
        <f t="shared" si="9"/>
        <v>1.5133788047850288E-8</v>
      </c>
      <c r="V81" s="261">
        <f t="shared" si="9"/>
        <v>1.5118989542455303E-8</v>
      </c>
      <c r="W81" s="261">
        <f t="shared" si="9"/>
        <v>1.5245514663901784E-8</v>
      </c>
      <c r="X81" s="261">
        <f t="shared" si="9"/>
        <v>1.5177191586837041E-8</v>
      </c>
      <c r="Y81" s="261">
        <f t="shared" si="9"/>
        <v>1.5124203952379648E-8</v>
      </c>
      <c r="Z81" s="261">
        <f t="shared" si="9"/>
        <v>1.5251256646686866E-8</v>
      </c>
      <c r="AA81" s="261">
        <f t="shared" si="9"/>
        <v>1.5167006323079351E-8</v>
      </c>
      <c r="AB81" s="261">
        <f t="shared" si="9"/>
        <v>1.5211700270789599E-8</v>
      </c>
      <c r="AC81" s="261">
        <f t="shared" si="9"/>
        <v>1.5184430313164912E-8</v>
      </c>
      <c r="AD81" s="261">
        <f t="shared" si="9"/>
        <v>1.5082316804397213E-8</v>
      </c>
      <c r="AE81" s="261">
        <f t="shared" si="9"/>
        <v>1.5016274814383058E-8</v>
      </c>
      <c r="AF81" s="261">
        <f t="shared" si="9"/>
        <v>1.4933584124242296E-8</v>
      </c>
      <c r="AG81" s="261">
        <f t="shared" si="9"/>
        <v>1.4864373039191141E-8</v>
      </c>
      <c r="AH81" s="261">
        <f t="shared" si="9"/>
        <v>1.488700034160371E-8</v>
      </c>
      <c r="AI81" s="261">
        <f t="shared" si="9"/>
        <v>1.4811145544966633E-8</v>
      </c>
      <c r="AJ81" s="261">
        <f t="shared" si="9"/>
        <v>1.4745972596325577E-8</v>
      </c>
      <c r="AK81" s="327"/>
    </row>
    <row r="82" spans="1:37" s="257" customFormat="1">
      <c r="A82" s="258" t="s">
        <v>340</v>
      </c>
      <c r="B82" s="261">
        <f t="shared" si="8"/>
        <v>5.5497382198952873E-2</v>
      </c>
      <c r="C82" s="261">
        <f t="shared" ref="C82:AA82" si="10">C75/SUM(C$74:C$78)</f>
        <v>5.0601202404809621E-2</v>
      </c>
      <c r="D82" s="261">
        <f t="shared" si="10"/>
        <v>6.6006600660066014E-2</v>
      </c>
      <c r="E82" s="261">
        <f t="shared" si="10"/>
        <v>7.8151739874500872E-2</v>
      </c>
      <c r="F82" s="261">
        <f t="shared" si="10"/>
        <v>6.9532908704883239E-2</v>
      </c>
      <c r="G82" s="261">
        <f t="shared" si="10"/>
        <v>8.3862819502962052E-2</v>
      </c>
      <c r="H82" s="261">
        <f t="shared" si="10"/>
        <v>9.3081290490131738E-2</v>
      </c>
      <c r="I82" s="261">
        <f t="shared" si="10"/>
        <v>6.2403940116292099E-2</v>
      </c>
      <c r="J82" s="261">
        <f t="shared" si="10"/>
        <v>6.5166561187290362E-2</v>
      </c>
      <c r="K82" s="261">
        <f t="shared" si="10"/>
        <v>6.3923281931884762E-2</v>
      </c>
      <c r="L82" s="261">
        <f t="shared" si="10"/>
        <v>4.1655787332984404E-2</v>
      </c>
      <c r="M82" s="261">
        <f t="shared" si="10"/>
        <v>4.6503298063582423E-2</v>
      </c>
      <c r="N82" s="261">
        <f t="shared" si="10"/>
        <v>4.5140075323552298E-2</v>
      </c>
      <c r="O82" s="261">
        <f t="shared" si="10"/>
        <v>4.0506083371792449E-2</v>
      </c>
      <c r="P82" s="262">
        <f t="shared" si="10"/>
        <v>3.18923425823497E-2</v>
      </c>
      <c r="Q82" s="261">
        <f t="shared" si="10"/>
        <v>2.4038875809148579E-2</v>
      </c>
      <c r="R82" s="261">
        <f t="shared" si="10"/>
        <v>2.3565446539000983E-2</v>
      </c>
      <c r="S82" s="261">
        <f t="shared" si="10"/>
        <v>2.2693150386884894E-2</v>
      </c>
      <c r="T82" s="261">
        <f t="shared" si="10"/>
        <v>2.2534186340553531E-2</v>
      </c>
      <c r="U82" s="261">
        <f t="shared" si="10"/>
        <v>2.2305289844299789E-2</v>
      </c>
      <c r="V82" s="261">
        <f t="shared" si="10"/>
        <v>2.225411051135695E-2</v>
      </c>
      <c r="W82" s="261">
        <f t="shared" si="10"/>
        <v>2.2410317023031957E-2</v>
      </c>
      <c r="X82" s="261">
        <f t="shared" si="10"/>
        <v>2.2264091892675291E-2</v>
      </c>
      <c r="Y82" s="261">
        <f t="shared" si="10"/>
        <v>2.2150703030854334E-2</v>
      </c>
      <c r="Z82" s="261">
        <f t="shared" si="10"/>
        <v>2.2287344436266569E-2</v>
      </c>
      <c r="AA82" s="261">
        <f t="shared" si="10"/>
        <v>2.211596298744729E-2</v>
      </c>
      <c r="AB82" s="261">
        <f t="shared" si="9"/>
        <v>2.2132314292701859E-2</v>
      </c>
      <c r="AC82" s="261">
        <f t="shared" si="9"/>
        <v>2.2045750187114285E-2</v>
      </c>
      <c r="AD82" s="261">
        <f t="shared" si="9"/>
        <v>2.185673735639292E-2</v>
      </c>
      <c r="AE82" s="261">
        <f t="shared" si="9"/>
        <v>2.1717418317035071E-2</v>
      </c>
      <c r="AF82" s="261">
        <f t="shared" si="9"/>
        <v>2.1559303034383255E-2</v>
      </c>
      <c r="AG82" s="261">
        <f t="shared" si="9"/>
        <v>2.1424872444946237E-2</v>
      </c>
      <c r="AH82" s="261">
        <f t="shared" si="9"/>
        <v>2.142631749711732E-2</v>
      </c>
      <c r="AI82" s="261">
        <f t="shared" si="9"/>
        <v>2.1284571686958079E-2</v>
      </c>
      <c r="AJ82" s="261">
        <f t="shared" si="9"/>
        <v>2.1158852097168959E-2</v>
      </c>
      <c r="AK82" s="327"/>
    </row>
    <row r="83" spans="1:37" s="257" customFormat="1">
      <c r="A83" s="258" t="s">
        <v>336</v>
      </c>
      <c r="B83" s="261">
        <f>B76/SUM(B$74:B$78)</f>
        <v>0.94450261780104705</v>
      </c>
      <c r="C83" s="261">
        <f t="shared" ref="C83:AJ83" si="11">C76/SUM(C$74:C$78)</f>
        <v>0.94939879759519041</v>
      </c>
      <c r="D83" s="261">
        <f t="shared" si="11"/>
        <v>0.9328932893289329</v>
      </c>
      <c r="E83" s="261">
        <f t="shared" si="11"/>
        <v>0.91899600684540794</v>
      </c>
      <c r="F83" s="261">
        <f t="shared" si="11"/>
        <v>0.92462845010615713</v>
      </c>
      <c r="G83" s="261">
        <f t="shared" si="11"/>
        <v>0.91613712791779667</v>
      </c>
      <c r="H83" s="261">
        <f t="shared" si="11"/>
        <v>0.90691866012569444</v>
      </c>
      <c r="I83" s="261">
        <f t="shared" si="11"/>
        <v>0.93759601465640852</v>
      </c>
      <c r="J83" s="261">
        <f t="shared" si="11"/>
        <v>0.93483339434160628</v>
      </c>
      <c r="K83" s="261">
        <f t="shared" si="11"/>
        <v>0.93607545573173523</v>
      </c>
      <c r="L83" s="261">
        <f t="shared" si="11"/>
        <v>0.95834311197453115</v>
      </c>
      <c r="M83" s="261">
        <f t="shared" si="11"/>
        <v>0.95349547758414421</v>
      </c>
      <c r="N83" s="261">
        <f t="shared" si="11"/>
        <v>0.95485873653493147</v>
      </c>
      <c r="O83" s="261">
        <f t="shared" si="11"/>
        <v>0.95949284980211613</v>
      </c>
      <c r="P83" s="262">
        <f t="shared" si="11"/>
        <v>0.96810681566302081</v>
      </c>
      <c r="Q83" s="261">
        <f t="shared" si="11"/>
        <v>0.97596048893379173</v>
      </c>
      <c r="R83" s="261">
        <f t="shared" si="11"/>
        <v>0.97643393004660961</v>
      </c>
      <c r="S83" s="261">
        <f t="shared" si="11"/>
        <v>0.97730624894155094</v>
      </c>
      <c r="T83" s="261">
        <f t="shared" si="11"/>
        <v>0.97746521657456142</v>
      </c>
      <c r="U83" s="261">
        <f t="shared" si="11"/>
        <v>0.97769411463251432</v>
      </c>
      <c r="V83" s="261">
        <f t="shared" si="11"/>
        <v>0.97774528634029212</v>
      </c>
      <c r="W83" s="261">
        <f t="shared" si="11"/>
        <v>0.97758907124032512</v>
      </c>
      <c r="X83" s="261">
        <f t="shared" si="11"/>
        <v>0.97773529476438181</v>
      </c>
      <c r="Y83" s="261">
        <f t="shared" si="11"/>
        <v>0.97784867583638968</v>
      </c>
      <c r="Z83" s="261">
        <f t="shared" si="11"/>
        <v>0.97771201577732991</v>
      </c>
      <c r="AA83" s="261">
        <f t="shared" si="11"/>
        <v>0.97788338184429058</v>
      </c>
      <c r="AB83" s="261">
        <f t="shared" si="11"/>
        <v>0.97786701970194378</v>
      </c>
      <c r="AC83" s="261">
        <f t="shared" si="11"/>
        <v>0.97795358046239489</v>
      </c>
      <c r="AD83" s="261">
        <f t="shared" si="11"/>
        <v>0.97814258318176617</v>
      </c>
      <c r="AE83" s="261">
        <f t="shared" si="11"/>
        <v>0.97828189758067696</v>
      </c>
      <c r="AF83" s="261">
        <f t="shared" si="11"/>
        <v>0.9784400164677246</v>
      </c>
      <c r="AG83" s="261">
        <f t="shared" si="11"/>
        <v>0.97857443198206862</v>
      </c>
      <c r="AH83" s="261">
        <f t="shared" si="11"/>
        <v>0.9785729732945232</v>
      </c>
      <c r="AI83" s="261">
        <f t="shared" si="11"/>
        <v>0.97871469694815405</v>
      </c>
      <c r="AJ83" s="261">
        <f t="shared" si="11"/>
        <v>0.97884038467930679</v>
      </c>
      <c r="AK83" s="327"/>
    </row>
    <row r="84" spans="1:37" s="257" customFormat="1">
      <c r="A84" s="258" t="s">
        <v>338</v>
      </c>
      <c r="B84" s="261">
        <f>B77/SUM(B$74:B$78)</f>
        <v>0</v>
      </c>
      <c r="C84" s="261">
        <f t="shared" ref="C84:AJ84" si="12">C77/SUM(C$74:C$78)</f>
        <v>0</v>
      </c>
      <c r="D84" s="261">
        <f t="shared" si="12"/>
        <v>1.1001100110011003E-3</v>
      </c>
      <c r="E84" s="261">
        <f t="shared" si="12"/>
        <v>2.8522532800912721E-3</v>
      </c>
      <c r="F84" s="261">
        <f t="shared" si="12"/>
        <v>5.8386411889596599E-3</v>
      </c>
      <c r="G84" s="261">
        <f t="shared" si="12"/>
        <v>0</v>
      </c>
      <c r="H84" s="261">
        <f t="shared" si="12"/>
        <v>0</v>
      </c>
      <c r="I84" s="261">
        <f t="shared" si="12"/>
        <v>0</v>
      </c>
      <c r="J84" s="261">
        <f t="shared" si="12"/>
        <v>0</v>
      </c>
      <c r="K84" s="261">
        <f t="shared" si="12"/>
        <v>0</v>
      </c>
      <c r="L84" s="261">
        <f t="shared" si="12"/>
        <v>0</v>
      </c>
      <c r="M84" s="261">
        <f t="shared" si="12"/>
        <v>0</v>
      </c>
      <c r="N84" s="261">
        <f t="shared" si="12"/>
        <v>0</v>
      </c>
      <c r="O84" s="261">
        <f t="shared" si="12"/>
        <v>0</v>
      </c>
      <c r="P84" s="262">
        <f t="shared" si="12"/>
        <v>0</v>
      </c>
      <c r="Q84" s="261">
        <f t="shared" si="12"/>
        <v>0</v>
      </c>
      <c r="R84" s="261">
        <f t="shared" si="12"/>
        <v>0</v>
      </c>
      <c r="S84" s="261">
        <f t="shared" si="12"/>
        <v>0</v>
      </c>
      <c r="T84" s="261">
        <f t="shared" si="12"/>
        <v>0</v>
      </c>
      <c r="U84" s="261">
        <f t="shared" si="12"/>
        <v>0</v>
      </c>
      <c r="V84" s="261">
        <f t="shared" si="12"/>
        <v>0</v>
      </c>
      <c r="W84" s="261">
        <f t="shared" si="12"/>
        <v>0</v>
      </c>
      <c r="X84" s="261">
        <f t="shared" si="12"/>
        <v>0</v>
      </c>
      <c r="Y84" s="261">
        <f t="shared" si="12"/>
        <v>0</v>
      </c>
      <c r="Z84" s="261">
        <f t="shared" si="12"/>
        <v>0</v>
      </c>
      <c r="AA84" s="261">
        <f t="shared" si="12"/>
        <v>0</v>
      </c>
      <c r="AB84" s="261">
        <f t="shared" si="12"/>
        <v>0</v>
      </c>
      <c r="AC84" s="261">
        <f t="shared" si="12"/>
        <v>0</v>
      </c>
      <c r="AD84" s="261">
        <f t="shared" si="12"/>
        <v>0</v>
      </c>
      <c r="AE84" s="261">
        <f t="shared" si="12"/>
        <v>0</v>
      </c>
      <c r="AF84" s="261">
        <f t="shared" si="12"/>
        <v>0</v>
      </c>
      <c r="AG84" s="261">
        <f t="shared" si="12"/>
        <v>0</v>
      </c>
      <c r="AH84" s="261">
        <f t="shared" si="12"/>
        <v>0</v>
      </c>
      <c r="AI84" s="261">
        <f t="shared" si="12"/>
        <v>0</v>
      </c>
      <c r="AJ84" s="261">
        <f t="shared" si="12"/>
        <v>0</v>
      </c>
      <c r="AK84" s="327"/>
    </row>
    <row r="85" spans="1:37" s="257" customFormat="1">
      <c r="A85" s="258" t="s">
        <v>337</v>
      </c>
      <c r="B85" s="261">
        <f>B78/SUM(B$74:B$78)</f>
        <v>0</v>
      </c>
      <c r="C85" s="261">
        <f t="shared" ref="C85:AJ85" si="13">C78/SUM(C$74:C$78)</f>
        <v>0</v>
      </c>
      <c r="D85" s="261">
        <f t="shared" si="13"/>
        <v>0</v>
      </c>
      <c r="E85" s="261">
        <f t="shared" si="13"/>
        <v>0</v>
      </c>
      <c r="F85" s="261">
        <f t="shared" si="13"/>
        <v>0</v>
      </c>
      <c r="G85" s="261">
        <f t="shared" si="13"/>
        <v>3.1545652034021305E-12</v>
      </c>
      <c r="H85" s="261">
        <f t="shared" si="13"/>
        <v>2.9628726537475791E-12</v>
      </c>
      <c r="I85" s="261">
        <f t="shared" si="13"/>
        <v>2.7134751428879228E-12</v>
      </c>
      <c r="J85" s="261">
        <f t="shared" si="13"/>
        <v>2.6681061178988134E-12</v>
      </c>
      <c r="K85" s="261">
        <f t="shared" si="13"/>
        <v>1.2187396786789854E-6</v>
      </c>
      <c r="L85" s="261">
        <f t="shared" si="13"/>
        <v>1.0725503537021667E-6</v>
      </c>
      <c r="M85" s="261">
        <f t="shared" si="13"/>
        <v>1.1930484512376033E-6</v>
      </c>
      <c r="N85" s="261">
        <f t="shared" si="13"/>
        <v>1.157767719832614E-6</v>
      </c>
      <c r="O85" s="261">
        <f t="shared" si="13"/>
        <v>1.0395523695002393E-6</v>
      </c>
      <c r="P85" s="262">
        <f t="shared" si="13"/>
        <v>8.2023537669847946E-7</v>
      </c>
      <c r="Q85" s="261">
        <f t="shared" si="13"/>
        <v>6.1901642284942326E-7</v>
      </c>
      <c r="R85" s="261">
        <f t="shared" si="13"/>
        <v>6.0747651589942474E-7</v>
      </c>
      <c r="S85" s="261">
        <f t="shared" si="13"/>
        <v>5.8530818882012725E-7</v>
      </c>
      <c r="T85" s="261">
        <f t="shared" si="13"/>
        <v>5.818138398381697E-7</v>
      </c>
      <c r="U85" s="261">
        <f t="shared" si="13"/>
        <v>5.8038939789424567E-7</v>
      </c>
      <c r="V85" s="261">
        <f t="shared" si="13"/>
        <v>5.8802936144021733E-7</v>
      </c>
      <c r="W85" s="261">
        <f t="shared" si="13"/>
        <v>5.9649112817512854E-7</v>
      </c>
      <c r="X85" s="261">
        <f t="shared" si="13"/>
        <v>5.9816575139915931E-7</v>
      </c>
      <c r="Y85" s="261">
        <f t="shared" si="13"/>
        <v>6.0600855208506995E-7</v>
      </c>
      <c r="Z85" s="261">
        <f t="shared" si="13"/>
        <v>6.2453514686766532E-7</v>
      </c>
      <c r="AA85" s="261">
        <f t="shared" si="13"/>
        <v>6.4000125579459982E-7</v>
      </c>
      <c r="AB85" s="261">
        <f t="shared" si="13"/>
        <v>6.5079365413303959E-7</v>
      </c>
      <c r="AC85" s="261">
        <f t="shared" si="13"/>
        <v>6.5416606056067328E-7</v>
      </c>
      <c r="AD85" s="261">
        <f t="shared" si="13"/>
        <v>6.6437952416656214E-7</v>
      </c>
      <c r="AE85" s="261">
        <f t="shared" si="13"/>
        <v>6.690860132516436E-7</v>
      </c>
      <c r="AF85" s="261">
        <f t="shared" si="13"/>
        <v>6.6556430798862651E-7</v>
      </c>
      <c r="AG85" s="261">
        <f t="shared" si="13"/>
        <v>6.8070861215546412E-7</v>
      </c>
      <c r="AH85" s="261">
        <f t="shared" si="13"/>
        <v>6.9432135921220573E-7</v>
      </c>
      <c r="AI85" s="261">
        <f t="shared" si="13"/>
        <v>7.1655374233233683E-7</v>
      </c>
      <c r="AJ85" s="261">
        <f t="shared" si="13"/>
        <v>7.4847755164155313E-7</v>
      </c>
      <c r="AK85" s="327"/>
    </row>
    <row r="86" spans="1:37" s="257" customFormat="1">
      <c r="A86" s="257" t="s">
        <v>341</v>
      </c>
      <c r="B86" s="261">
        <f>SUM(B81:B85)</f>
        <v>0.99999999999999989</v>
      </c>
      <c r="C86" s="261">
        <f t="shared" ref="C86:AJ86" si="14">SUM(C81:C85)</f>
        <v>1</v>
      </c>
      <c r="D86" s="261">
        <f t="shared" si="14"/>
        <v>1</v>
      </c>
      <c r="E86" s="261">
        <f t="shared" si="14"/>
        <v>1</v>
      </c>
      <c r="F86" s="261">
        <f t="shared" si="14"/>
        <v>1</v>
      </c>
      <c r="G86" s="261">
        <f t="shared" si="14"/>
        <v>1</v>
      </c>
      <c r="H86" s="261">
        <f t="shared" si="14"/>
        <v>0.99999999999999989</v>
      </c>
      <c r="I86" s="261">
        <f t="shared" si="14"/>
        <v>0.99999999999999978</v>
      </c>
      <c r="J86" s="261">
        <f t="shared" si="14"/>
        <v>1</v>
      </c>
      <c r="K86" s="261">
        <f t="shared" si="14"/>
        <v>0.99999999999999989</v>
      </c>
      <c r="L86" s="261">
        <f t="shared" si="14"/>
        <v>1</v>
      </c>
      <c r="M86" s="261">
        <f t="shared" si="14"/>
        <v>1</v>
      </c>
      <c r="N86" s="261">
        <f t="shared" si="14"/>
        <v>1</v>
      </c>
      <c r="O86" s="261">
        <f t="shared" si="14"/>
        <v>1</v>
      </c>
      <c r="P86" s="261">
        <f t="shared" si="14"/>
        <v>1.0000000000000002</v>
      </c>
      <c r="Q86" s="261">
        <f t="shared" si="14"/>
        <v>1</v>
      </c>
      <c r="R86" s="261">
        <f t="shared" si="14"/>
        <v>1.0000000000000002</v>
      </c>
      <c r="S86" s="261">
        <f t="shared" si="14"/>
        <v>1</v>
      </c>
      <c r="T86" s="261">
        <f t="shared" si="14"/>
        <v>1</v>
      </c>
      <c r="U86" s="261">
        <f t="shared" si="14"/>
        <v>1</v>
      </c>
      <c r="V86" s="261">
        <f t="shared" si="14"/>
        <v>1</v>
      </c>
      <c r="W86" s="261">
        <f t="shared" si="14"/>
        <v>0.99999999999999989</v>
      </c>
      <c r="X86" s="261">
        <f t="shared" si="14"/>
        <v>1.0000000000000002</v>
      </c>
      <c r="Y86" s="261">
        <f t="shared" si="14"/>
        <v>1</v>
      </c>
      <c r="Z86" s="261">
        <f t="shared" si="14"/>
        <v>1</v>
      </c>
      <c r="AA86" s="261">
        <f t="shared" si="14"/>
        <v>1</v>
      </c>
      <c r="AB86" s="261">
        <f t="shared" si="14"/>
        <v>1</v>
      </c>
      <c r="AC86" s="261">
        <f t="shared" si="14"/>
        <v>1</v>
      </c>
      <c r="AD86" s="261">
        <f t="shared" si="14"/>
        <v>1</v>
      </c>
      <c r="AE86" s="261">
        <f t="shared" si="14"/>
        <v>1</v>
      </c>
      <c r="AF86" s="261">
        <f t="shared" si="14"/>
        <v>1</v>
      </c>
      <c r="AG86" s="261">
        <f t="shared" si="14"/>
        <v>1</v>
      </c>
      <c r="AH86" s="261">
        <f t="shared" si="14"/>
        <v>1</v>
      </c>
      <c r="AI86" s="261">
        <f t="shared" si="14"/>
        <v>1</v>
      </c>
      <c r="AJ86" s="261">
        <f t="shared" si="14"/>
        <v>0.99999999999999989</v>
      </c>
      <c r="AK86" s="327"/>
    </row>
    <row r="87" spans="1:37">
      <c r="A87" s="562" t="s">
        <v>631</v>
      </c>
      <c r="B87" s="562"/>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row>
    <row r="88" spans="1:37">
      <c r="A88" s="561" t="s">
        <v>664</v>
      </c>
      <c r="B88" s="561"/>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row>
    <row r="89" spans="1:37">
      <c r="A89" s="561" t="s">
        <v>665</v>
      </c>
      <c r="B89" s="561"/>
      <c r="C89" s="561"/>
      <c r="D89" s="561"/>
      <c r="E89" s="561"/>
      <c r="F89" s="561"/>
      <c r="G89" s="561"/>
      <c r="H89" s="561"/>
      <c r="I89" s="561"/>
      <c r="J89" s="561"/>
      <c r="K89" s="561"/>
      <c r="L89" s="561"/>
      <c r="M89" s="561"/>
      <c r="N89" s="561"/>
      <c r="O89" s="561"/>
      <c r="P89" s="561"/>
      <c r="Q89" s="561"/>
      <c r="R89" s="561"/>
      <c r="S89" s="561"/>
      <c r="T89" s="561"/>
      <c r="U89" s="561"/>
      <c r="V89" s="561"/>
      <c r="W89" s="561"/>
      <c r="X89" s="561"/>
      <c r="Y89" s="561"/>
      <c r="Z89" s="561"/>
      <c r="AA89" s="561"/>
      <c r="AB89" s="561"/>
      <c r="AC89" s="561"/>
      <c r="AD89" s="561"/>
      <c r="AE89" s="561"/>
      <c r="AF89" s="561"/>
    </row>
    <row r="90" spans="1:37">
      <c r="A90" s="561" t="s">
        <v>666</v>
      </c>
      <c r="B90" s="561"/>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row>
    <row r="91" spans="1:37">
      <c r="A91" s="561" t="s">
        <v>667</v>
      </c>
      <c r="B91" s="561"/>
      <c r="C91" s="561"/>
      <c r="D91" s="561"/>
      <c r="E91" s="561"/>
      <c r="F91" s="561"/>
      <c r="G91" s="561"/>
      <c r="H91" s="561"/>
      <c r="I91" s="561"/>
      <c r="J91" s="561"/>
      <c r="K91" s="561"/>
      <c r="L91" s="561"/>
      <c r="M91" s="561"/>
      <c r="N91" s="561"/>
      <c r="O91" s="561"/>
      <c r="P91" s="561"/>
      <c r="Q91" s="561"/>
      <c r="R91" s="561"/>
      <c r="S91" s="561"/>
      <c r="T91" s="561"/>
      <c r="U91" s="561"/>
      <c r="V91" s="561"/>
      <c r="W91" s="561"/>
      <c r="X91" s="561"/>
      <c r="Y91" s="561"/>
      <c r="Z91" s="561"/>
      <c r="AA91" s="561"/>
      <c r="AB91" s="561"/>
      <c r="AC91" s="561"/>
      <c r="AD91" s="561"/>
      <c r="AE91" s="561"/>
      <c r="AF91" s="561"/>
    </row>
    <row r="92" spans="1:37">
      <c r="A92" s="561" t="s">
        <v>668</v>
      </c>
      <c r="B92" s="561"/>
      <c r="C92" s="561"/>
      <c r="D92" s="561"/>
      <c r="E92" s="561"/>
      <c r="F92" s="561"/>
      <c r="G92" s="561"/>
      <c r="H92" s="561"/>
      <c r="I92" s="561"/>
      <c r="J92" s="561"/>
      <c r="K92" s="561"/>
      <c r="L92" s="561"/>
      <c r="M92" s="561"/>
      <c r="N92" s="561"/>
      <c r="O92" s="561"/>
      <c r="P92" s="561"/>
      <c r="Q92" s="561"/>
      <c r="R92" s="561"/>
      <c r="S92" s="561"/>
      <c r="T92" s="561"/>
      <c r="U92" s="561"/>
      <c r="V92" s="561"/>
      <c r="W92" s="561"/>
      <c r="X92" s="561"/>
      <c r="Y92" s="561"/>
      <c r="Z92" s="561"/>
      <c r="AA92" s="561"/>
      <c r="AB92" s="561"/>
      <c r="AC92" s="561"/>
      <c r="AD92" s="561"/>
      <c r="AE92" s="561"/>
      <c r="AF92" s="561"/>
    </row>
    <row r="93" spans="1:37">
      <c r="A93" s="561" t="s">
        <v>669</v>
      </c>
      <c r="B93" s="561"/>
      <c r="C93" s="561"/>
      <c r="D93" s="561"/>
      <c r="E93" s="561"/>
      <c r="F93" s="561"/>
      <c r="G93" s="561"/>
      <c r="H93" s="561"/>
      <c r="I93" s="561"/>
      <c r="J93" s="561"/>
      <c r="K93" s="561"/>
      <c r="L93" s="561"/>
      <c r="M93" s="561"/>
      <c r="N93" s="561"/>
      <c r="O93" s="561"/>
      <c r="P93" s="561"/>
      <c r="Q93" s="561"/>
      <c r="R93" s="561"/>
      <c r="S93" s="561"/>
      <c r="T93" s="561"/>
      <c r="U93" s="561"/>
      <c r="V93" s="561"/>
      <c r="W93" s="561"/>
      <c r="X93" s="561"/>
      <c r="Y93" s="561"/>
      <c r="Z93" s="561"/>
      <c r="AA93" s="561"/>
      <c r="AB93" s="561"/>
      <c r="AC93" s="561"/>
      <c r="AD93" s="561"/>
      <c r="AE93" s="561"/>
      <c r="AF93" s="561"/>
    </row>
    <row r="94" spans="1:37">
      <c r="A94" s="561" t="s">
        <v>670</v>
      </c>
      <c r="B94" s="561"/>
      <c r="C94" s="561"/>
      <c r="D94" s="561"/>
      <c r="E94" s="561"/>
      <c r="F94" s="561"/>
      <c r="G94" s="561"/>
      <c r="H94" s="561"/>
      <c r="I94" s="561"/>
      <c r="J94" s="561"/>
      <c r="K94" s="561"/>
      <c r="L94" s="561"/>
      <c r="M94" s="561"/>
      <c r="N94" s="561"/>
      <c r="O94" s="561"/>
      <c r="P94" s="561"/>
      <c r="Q94" s="561"/>
      <c r="R94" s="561"/>
      <c r="S94" s="561"/>
      <c r="T94" s="561"/>
      <c r="U94" s="561"/>
      <c r="V94" s="561"/>
      <c r="W94" s="561"/>
      <c r="X94" s="561"/>
      <c r="Y94" s="561"/>
      <c r="Z94" s="561"/>
      <c r="AA94" s="561"/>
      <c r="AB94" s="561"/>
      <c r="AC94" s="561"/>
      <c r="AD94" s="561"/>
      <c r="AE94" s="561"/>
      <c r="AF94" s="561"/>
    </row>
    <row r="95" spans="1:37">
      <c r="A95" s="561" t="s">
        <v>671</v>
      </c>
      <c r="B95" s="561"/>
      <c r="C95" s="561"/>
      <c r="D95" s="561"/>
      <c r="E95" s="561"/>
      <c r="F95" s="561"/>
      <c r="G95" s="561"/>
      <c r="H95" s="561"/>
      <c r="I95" s="561"/>
      <c r="J95" s="561"/>
      <c r="K95" s="561"/>
      <c r="L95" s="561"/>
      <c r="M95" s="561"/>
      <c r="N95" s="561"/>
      <c r="O95" s="561"/>
      <c r="P95" s="561"/>
      <c r="Q95" s="561"/>
      <c r="R95" s="561"/>
      <c r="S95" s="561"/>
      <c r="T95" s="561"/>
      <c r="U95" s="561"/>
      <c r="V95" s="561"/>
      <c r="W95" s="561"/>
      <c r="X95" s="561"/>
      <c r="Y95" s="561"/>
      <c r="Z95" s="561"/>
      <c r="AA95" s="561"/>
      <c r="AB95" s="561"/>
      <c r="AC95" s="561"/>
      <c r="AD95" s="561"/>
      <c r="AE95" s="561"/>
      <c r="AF95" s="561"/>
    </row>
    <row r="96" spans="1:37">
      <c r="A96" s="561" t="s">
        <v>672</v>
      </c>
      <c r="B96" s="561"/>
      <c r="C96" s="561"/>
      <c r="D96" s="561"/>
      <c r="E96" s="561"/>
      <c r="F96" s="561"/>
      <c r="G96" s="561"/>
      <c r="H96" s="561"/>
      <c r="I96" s="561"/>
      <c r="J96" s="561"/>
      <c r="K96" s="561"/>
      <c r="L96" s="561"/>
      <c r="M96" s="561"/>
      <c r="N96" s="561"/>
      <c r="O96" s="561"/>
      <c r="P96" s="561"/>
      <c r="Q96" s="561"/>
      <c r="R96" s="561"/>
      <c r="S96" s="561"/>
      <c r="T96" s="561"/>
      <c r="U96" s="561"/>
      <c r="V96" s="561"/>
      <c r="W96" s="561"/>
      <c r="X96" s="561"/>
      <c r="Y96" s="561"/>
      <c r="Z96" s="561"/>
      <c r="AA96" s="561"/>
      <c r="AB96" s="561"/>
      <c r="AC96" s="561"/>
      <c r="AD96" s="561"/>
      <c r="AE96" s="561"/>
      <c r="AF96" s="561"/>
    </row>
    <row r="97" spans="1:32">
      <c r="A97" s="561" t="s">
        <v>673</v>
      </c>
      <c r="B97" s="561"/>
      <c r="C97" s="561"/>
      <c r="D97" s="561"/>
      <c r="E97" s="561"/>
      <c r="F97" s="561"/>
      <c r="G97" s="561"/>
      <c r="H97" s="561"/>
      <c r="I97" s="561"/>
      <c r="J97" s="561"/>
      <c r="K97" s="561"/>
      <c r="L97" s="561"/>
      <c r="M97" s="561"/>
      <c r="N97" s="561"/>
      <c r="O97" s="561"/>
      <c r="P97" s="561"/>
      <c r="Q97" s="561"/>
      <c r="R97" s="561"/>
      <c r="S97" s="561"/>
      <c r="T97" s="561"/>
      <c r="U97" s="561"/>
      <c r="V97" s="561"/>
      <c r="W97" s="561"/>
      <c r="X97" s="561"/>
      <c r="Y97" s="561"/>
      <c r="Z97" s="561"/>
      <c r="AA97" s="561"/>
      <c r="AB97" s="561"/>
      <c r="AC97" s="561"/>
      <c r="AD97" s="561"/>
      <c r="AE97" s="561"/>
      <c r="AF97" s="561"/>
    </row>
    <row r="98" spans="1:32">
      <c r="A98" s="561" t="s">
        <v>674</v>
      </c>
      <c r="B98" s="561"/>
      <c r="C98" s="561"/>
      <c r="D98" s="561"/>
      <c r="E98" s="561"/>
      <c r="F98" s="561"/>
      <c r="G98" s="561"/>
      <c r="H98" s="561"/>
      <c r="I98" s="561"/>
      <c r="J98" s="561"/>
      <c r="K98" s="561"/>
      <c r="L98" s="561"/>
      <c r="M98" s="561"/>
      <c r="N98" s="561"/>
      <c r="O98" s="561"/>
      <c r="P98" s="561"/>
      <c r="Q98" s="561"/>
      <c r="R98" s="561"/>
      <c r="S98" s="561"/>
      <c r="T98" s="561"/>
      <c r="U98" s="561"/>
      <c r="V98" s="561"/>
      <c r="W98" s="561"/>
      <c r="X98" s="561"/>
      <c r="Y98" s="561"/>
      <c r="Z98" s="561"/>
      <c r="AA98" s="561"/>
      <c r="AB98" s="561"/>
      <c r="AC98" s="561"/>
      <c r="AD98" s="561"/>
      <c r="AE98" s="561"/>
      <c r="AF98" s="561"/>
    </row>
    <row r="99" spans="1:32">
      <c r="A99" s="561" t="s">
        <v>675</v>
      </c>
      <c r="B99" s="561"/>
      <c r="C99" s="561"/>
      <c r="D99" s="561"/>
      <c r="E99" s="561"/>
      <c r="F99" s="561"/>
      <c r="G99" s="561"/>
      <c r="H99" s="561"/>
      <c r="I99" s="561"/>
      <c r="J99" s="561"/>
      <c r="K99" s="561"/>
      <c r="L99" s="561"/>
      <c r="M99" s="561"/>
      <c r="N99" s="561"/>
      <c r="O99" s="561"/>
      <c r="P99" s="561"/>
      <c r="Q99" s="561"/>
      <c r="R99" s="561"/>
      <c r="S99" s="561"/>
      <c r="T99" s="561"/>
      <c r="U99" s="561"/>
      <c r="V99" s="561"/>
      <c r="W99" s="561"/>
      <c r="X99" s="561"/>
      <c r="Y99" s="561"/>
      <c r="Z99" s="561"/>
      <c r="AA99" s="561"/>
      <c r="AB99" s="561"/>
      <c r="AC99" s="561"/>
      <c r="AD99" s="561"/>
      <c r="AE99" s="561"/>
      <c r="AF99" s="561"/>
    </row>
    <row r="100" spans="1:32">
      <c r="A100" s="561" t="s">
        <v>676</v>
      </c>
      <c r="B100" s="561"/>
      <c r="C100" s="561"/>
      <c r="D100" s="561"/>
      <c r="E100" s="561"/>
      <c r="F100" s="561"/>
      <c r="G100" s="561"/>
      <c r="H100" s="561"/>
      <c r="I100" s="561"/>
      <c r="J100" s="561"/>
      <c r="K100" s="561"/>
      <c r="L100" s="561"/>
      <c r="M100" s="561"/>
      <c r="N100" s="561"/>
      <c r="O100" s="561"/>
      <c r="P100" s="561"/>
      <c r="Q100" s="561"/>
      <c r="R100" s="561"/>
      <c r="S100" s="561"/>
      <c r="T100" s="561"/>
      <c r="U100" s="561"/>
      <c r="V100" s="561"/>
      <c r="W100" s="561"/>
      <c r="X100" s="561"/>
      <c r="Y100" s="561"/>
      <c r="Z100" s="561"/>
      <c r="AA100" s="561"/>
      <c r="AB100" s="561"/>
      <c r="AC100" s="561"/>
      <c r="AD100" s="561"/>
      <c r="AE100" s="561"/>
      <c r="AF100" s="561"/>
    </row>
    <row r="101" spans="1:32">
      <c r="A101" s="561" t="s">
        <v>677</v>
      </c>
      <c r="B101" s="561"/>
      <c r="C101" s="561"/>
      <c r="D101" s="561"/>
      <c r="E101" s="561"/>
      <c r="F101" s="561"/>
      <c r="G101" s="561"/>
      <c r="H101" s="561"/>
      <c r="I101" s="561"/>
      <c r="J101" s="561"/>
      <c r="K101" s="561"/>
      <c r="L101" s="561"/>
      <c r="M101" s="561"/>
      <c r="N101" s="561"/>
      <c r="O101" s="561"/>
      <c r="P101" s="561"/>
      <c r="Q101" s="561"/>
      <c r="R101" s="561"/>
      <c r="S101" s="561"/>
      <c r="T101" s="561"/>
      <c r="U101" s="561"/>
      <c r="V101" s="561"/>
      <c r="W101" s="561"/>
      <c r="X101" s="561"/>
      <c r="Y101" s="561"/>
      <c r="Z101" s="561"/>
      <c r="AA101" s="561"/>
      <c r="AB101" s="561"/>
      <c r="AC101" s="561"/>
      <c r="AD101" s="561"/>
      <c r="AE101" s="561"/>
      <c r="AF101" s="561"/>
    </row>
    <row r="102" spans="1:32">
      <c r="A102" s="561" t="s">
        <v>678</v>
      </c>
      <c r="B102" s="561"/>
      <c r="C102" s="561"/>
      <c r="D102" s="561"/>
      <c r="E102" s="561"/>
      <c r="F102" s="561"/>
      <c r="G102" s="561"/>
      <c r="H102" s="561"/>
      <c r="I102" s="561"/>
      <c r="J102" s="561"/>
      <c r="K102" s="561"/>
      <c r="L102" s="561"/>
      <c r="M102" s="561"/>
      <c r="N102" s="561"/>
      <c r="O102" s="561"/>
      <c r="P102" s="561"/>
      <c r="Q102" s="561"/>
      <c r="R102" s="561"/>
      <c r="S102" s="561"/>
      <c r="T102" s="561"/>
      <c r="U102" s="561"/>
      <c r="V102" s="561"/>
      <c r="W102" s="561"/>
      <c r="X102" s="561"/>
      <c r="Y102" s="561"/>
      <c r="Z102" s="561"/>
      <c r="AA102" s="561"/>
      <c r="AB102" s="561"/>
      <c r="AC102" s="561"/>
      <c r="AD102" s="561"/>
      <c r="AE102" s="561"/>
      <c r="AF102" s="561"/>
    </row>
    <row r="103" spans="1:32">
      <c r="A103" s="561" t="s">
        <v>679</v>
      </c>
      <c r="B103" s="561"/>
      <c r="C103" s="561"/>
      <c r="D103" s="561"/>
      <c r="E103" s="561"/>
      <c r="F103" s="561"/>
      <c r="G103" s="561"/>
      <c r="H103" s="561"/>
      <c r="I103" s="561"/>
      <c r="J103" s="561"/>
      <c r="K103" s="561"/>
      <c r="L103" s="561"/>
      <c r="M103" s="561"/>
      <c r="N103" s="561"/>
      <c r="O103" s="561"/>
      <c r="P103" s="561"/>
      <c r="Q103" s="561"/>
      <c r="R103" s="561"/>
      <c r="S103" s="561"/>
      <c r="T103" s="561"/>
      <c r="U103" s="561"/>
      <c r="V103" s="561"/>
      <c r="W103" s="561"/>
      <c r="X103" s="561"/>
      <c r="Y103" s="561"/>
      <c r="Z103" s="561"/>
      <c r="AA103" s="561"/>
      <c r="AB103" s="561"/>
      <c r="AC103" s="561"/>
      <c r="AD103" s="561"/>
      <c r="AE103" s="561"/>
      <c r="AF103" s="561"/>
    </row>
    <row r="104" spans="1:32">
      <c r="A104" s="561" t="s">
        <v>680</v>
      </c>
      <c r="B104" s="561"/>
      <c r="C104" s="561"/>
      <c r="D104" s="561"/>
      <c r="E104" s="561"/>
      <c r="F104" s="561"/>
      <c r="G104" s="561"/>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row>
    <row r="105" spans="1:32">
      <c r="A105" s="561" t="s">
        <v>681</v>
      </c>
      <c r="B105" s="561"/>
      <c r="C105" s="561"/>
      <c r="D105" s="561"/>
      <c r="E105" s="561"/>
      <c r="F105" s="561"/>
      <c r="G105" s="561"/>
      <c r="H105" s="561"/>
      <c r="I105" s="561"/>
      <c r="J105" s="561"/>
      <c r="K105" s="561"/>
      <c r="L105" s="561"/>
      <c r="M105" s="561"/>
      <c r="N105" s="561"/>
      <c r="O105" s="561"/>
      <c r="P105" s="561"/>
      <c r="Q105" s="561"/>
      <c r="R105" s="561"/>
      <c r="S105" s="561"/>
      <c r="T105" s="561"/>
      <c r="U105" s="561"/>
      <c r="V105" s="561"/>
      <c r="W105" s="561"/>
      <c r="X105" s="561"/>
      <c r="Y105" s="561"/>
      <c r="Z105" s="561"/>
      <c r="AA105" s="561"/>
      <c r="AB105" s="561"/>
      <c r="AC105" s="561"/>
      <c r="AD105" s="561"/>
      <c r="AE105" s="561"/>
      <c r="AF105" s="561"/>
    </row>
    <row r="106" spans="1:32">
      <c r="A106" s="561" t="s">
        <v>682</v>
      </c>
      <c r="B106" s="561"/>
      <c r="C106" s="561"/>
      <c r="D106" s="561"/>
      <c r="E106" s="561"/>
      <c r="F106" s="561"/>
      <c r="G106" s="561"/>
      <c r="H106" s="561"/>
      <c r="I106" s="561"/>
      <c r="J106" s="561"/>
      <c r="K106" s="561"/>
      <c r="L106" s="561"/>
      <c r="M106" s="561"/>
      <c r="N106" s="561"/>
      <c r="O106" s="561"/>
      <c r="P106" s="561"/>
      <c r="Q106" s="561"/>
      <c r="R106" s="561"/>
      <c r="S106" s="561"/>
      <c r="T106" s="561"/>
      <c r="U106" s="561"/>
      <c r="V106" s="561"/>
      <c r="W106" s="561"/>
      <c r="X106" s="561"/>
      <c r="Y106" s="561"/>
      <c r="Z106" s="561"/>
      <c r="AA106" s="561"/>
      <c r="AB106" s="561"/>
      <c r="AC106" s="561"/>
      <c r="AD106" s="561"/>
      <c r="AE106" s="561"/>
      <c r="AF106" s="561"/>
    </row>
    <row r="107" spans="1:32">
      <c r="A107" s="561" t="s">
        <v>683</v>
      </c>
      <c r="B107" s="561"/>
      <c r="C107" s="561"/>
      <c r="D107" s="561"/>
      <c r="E107" s="561"/>
      <c r="F107" s="561"/>
      <c r="G107" s="561"/>
      <c r="H107" s="561"/>
      <c r="I107" s="561"/>
      <c r="J107" s="561"/>
      <c r="K107" s="561"/>
      <c r="L107" s="561"/>
      <c r="M107" s="561"/>
      <c r="N107" s="561"/>
      <c r="O107" s="561"/>
      <c r="P107" s="561"/>
      <c r="Q107" s="561"/>
      <c r="R107" s="561"/>
      <c r="S107" s="561"/>
      <c r="T107" s="561"/>
      <c r="U107" s="561"/>
      <c r="V107" s="561"/>
      <c r="W107" s="561"/>
      <c r="X107" s="561"/>
      <c r="Y107" s="561"/>
      <c r="Z107" s="561"/>
      <c r="AA107" s="561"/>
      <c r="AB107" s="561"/>
      <c r="AC107" s="561"/>
      <c r="AD107" s="561"/>
      <c r="AE107" s="561"/>
      <c r="AF107" s="561"/>
    </row>
    <row r="108" spans="1:32">
      <c r="A108" s="561" t="s">
        <v>635</v>
      </c>
      <c r="B108" s="561"/>
      <c r="C108" s="561"/>
      <c r="D108" s="561"/>
      <c r="E108" s="561"/>
      <c r="F108" s="561"/>
      <c r="G108" s="561"/>
      <c r="H108" s="561"/>
      <c r="I108" s="561"/>
      <c r="J108" s="561"/>
      <c r="K108" s="561"/>
      <c r="L108" s="561"/>
      <c r="M108" s="561"/>
      <c r="N108" s="561"/>
      <c r="O108" s="561"/>
      <c r="P108" s="561"/>
      <c r="Q108" s="561"/>
      <c r="R108" s="561"/>
      <c r="S108" s="561"/>
      <c r="T108" s="561"/>
      <c r="U108" s="561"/>
      <c r="V108" s="561"/>
      <c r="W108" s="561"/>
      <c r="X108" s="561"/>
      <c r="Y108" s="561"/>
      <c r="Z108" s="561"/>
      <c r="AA108" s="561"/>
      <c r="AB108" s="561"/>
      <c r="AC108" s="561"/>
      <c r="AD108" s="561"/>
      <c r="AE108" s="561"/>
      <c r="AF108" s="561"/>
    </row>
    <row r="109" spans="1:32">
      <c r="A109" s="561" t="s">
        <v>684</v>
      </c>
      <c r="B109" s="561"/>
      <c r="C109" s="561"/>
      <c r="D109" s="561"/>
      <c r="E109" s="561"/>
      <c r="F109" s="561"/>
      <c r="G109" s="561"/>
      <c r="H109" s="561"/>
      <c r="I109" s="561"/>
      <c r="J109" s="561"/>
      <c r="K109" s="561"/>
      <c r="L109" s="561"/>
      <c r="M109" s="561"/>
      <c r="N109" s="561"/>
      <c r="O109" s="561"/>
      <c r="P109" s="561"/>
      <c r="Q109" s="561"/>
      <c r="R109" s="561"/>
      <c r="S109" s="561"/>
      <c r="T109" s="561"/>
      <c r="U109" s="561"/>
      <c r="V109" s="561"/>
      <c r="W109" s="561"/>
      <c r="X109" s="561"/>
      <c r="Y109" s="561"/>
      <c r="Z109" s="561"/>
      <c r="AA109" s="561"/>
      <c r="AB109" s="561"/>
      <c r="AC109" s="561"/>
      <c r="AD109" s="561"/>
      <c r="AE109" s="561"/>
      <c r="AF109" s="561"/>
    </row>
    <row r="110" spans="1:32">
      <c r="A110" s="561" t="s">
        <v>685</v>
      </c>
      <c r="B110" s="561"/>
      <c r="C110" s="561"/>
      <c r="D110" s="561"/>
      <c r="E110" s="561"/>
      <c r="F110" s="561"/>
      <c r="G110" s="561"/>
      <c r="H110" s="561"/>
      <c r="I110" s="561"/>
      <c r="J110" s="561"/>
      <c r="K110" s="561"/>
      <c r="L110" s="561"/>
      <c r="M110" s="561"/>
      <c r="N110" s="561"/>
      <c r="O110" s="561"/>
      <c r="P110" s="561"/>
      <c r="Q110" s="561"/>
      <c r="R110" s="561"/>
      <c r="S110" s="561"/>
      <c r="T110" s="561"/>
      <c r="U110" s="561"/>
      <c r="V110" s="561"/>
      <c r="W110" s="561"/>
      <c r="X110" s="561"/>
      <c r="Y110" s="561"/>
      <c r="Z110" s="561"/>
      <c r="AA110" s="561"/>
      <c r="AB110" s="561"/>
      <c r="AC110" s="561"/>
      <c r="AD110" s="561"/>
      <c r="AE110" s="561"/>
      <c r="AF110" s="561"/>
    </row>
    <row r="111" spans="1:32">
      <c r="A111" s="561" t="s">
        <v>642</v>
      </c>
      <c r="B111" s="561"/>
      <c r="C111" s="561"/>
      <c r="D111" s="561"/>
      <c r="E111" s="561"/>
      <c r="F111" s="561"/>
      <c r="G111" s="561"/>
      <c r="H111" s="561"/>
      <c r="I111" s="561"/>
      <c r="J111" s="561"/>
      <c r="K111" s="561"/>
      <c r="L111" s="561"/>
      <c r="M111" s="561"/>
      <c r="N111" s="561"/>
      <c r="O111" s="561"/>
      <c r="P111" s="561"/>
      <c r="Q111" s="561"/>
      <c r="R111" s="561"/>
      <c r="S111" s="561"/>
      <c r="T111" s="561"/>
      <c r="U111" s="561"/>
      <c r="V111" s="561"/>
      <c r="W111" s="561"/>
      <c r="X111" s="561"/>
      <c r="Y111" s="561"/>
      <c r="Z111" s="561"/>
      <c r="AA111" s="561"/>
      <c r="AB111" s="561"/>
      <c r="AC111" s="561"/>
      <c r="AD111" s="561"/>
      <c r="AE111" s="561"/>
      <c r="AF111" s="561"/>
    </row>
    <row r="112" spans="1:32">
      <c r="A112" s="561" t="s">
        <v>643</v>
      </c>
      <c r="B112" s="561"/>
      <c r="C112" s="561"/>
      <c r="D112" s="561"/>
      <c r="E112" s="561"/>
      <c r="F112" s="561"/>
      <c r="G112" s="561"/>
      <c r="H112" s="561"/>
      <c r="I112" s="561"/>
      <c r="J112" s="561"/>
      <c r="K112" s="561"/>
      <c r="L112" s="561"/>
      <c r="M112" s="561"/>
      <c r="N112" s="561"/>
      <c r="O112" s="561"/>
      <c r="P112" s="561"/>
      <c r="Q112" s="561"/>
      <c r="R112" s="561"/>
      <c r="S112" s="561"/>
      <c r="T112" s="561"/>
      <c r="U112" s="561"/>
      <c r="V112" s="561"/>
      <c r="W112" s="561"/>
      <c r="X112" s="561"/>
      <c r="Y112" s="561"/>
      <c r="Z112" s="561"/>
      <c r="AA112" s="561"/>
      <c r="AB112" s="561"/>
      <c r="AC112" s="561"/>
      <c r="AD112" s="561"/>
      <c r="AE112" s="561"/>
      <c r="AF112" s="561"/>
    </row>
    <row r="113" spans="1:32">
      <c r="A113" s="561" t="s">
        <v>644</v>
      </c>
      <c r="B113" s="561"/>
      <c r="C113" s="561"/>
      <c r="D113" s="561"/>
      <c r="E113" s="561"/>
      <c r="F113" s="561"/>
      <c r="G113" s="561"/>
      <c r="H113" s="561"/>
      <c r="I113" s="561"/>
      <c r="J113" s="561"/>
      <c r="K113" s="561"/>
      <c r="L113" s="561"/>
      <c r="M113" s="561"/>
      <c r="N113" s="561"/>
      <c r="O113" s="561"/>
      <c r="P113" s="561"/>
      <c r="Q113" s="561"/>
      <c r="R113" s="561"/>
      <c r="S113" s="561"/>
      <c r="T113" s="561"/>
      <c r="U113" s="561"/>
      <c r="V113" s="561"/>
      <c r="W113" s="561"/>
      <c r="X113" s="561"/>
      <c r="Y113" s="561"/>
      <c r="Z113" s="561"/>
      <c r="AA113" s="561"/>
      <c r="AB113" s="561"/>
      <c r="AC113" s="561"/>
      <c r="AD113" s="561"/>
      <c r="AE113" s="561"/>
      <c r="AF113" s="561"/>
    </row>
    <row r="114" spans="1:32">
      <c r="A114" s="561" t="s">
        <v>686</v>
      </c>
      <c r="B114" s="561"/>
      <c r="C114" s="561"/>
      <c r="D114" s="561"/>
      <c r="E114" s="561"/>
      <c r="F114" s="561"/>
      <c r="G114" s="561"/>
      <c r="H114" s="561"/>
      <c r="I114" s="561"/>
      <c r="J114" s="561"/>
      <c r="K114" s="561"/>
      <c r="L114" s="561"/>
      <c r="M114" s="561"/>
      <c r="N114" s="561"/>
      <c r="O114" s="561"/>
      <c r="P114" s="561"/>
      <c r="Q114" s="561"/>
      <c r="R114" s="561"/>
      <c r="S114" s="561"/>
      <c r="T114" s="561"/>
      <c r="U114" s="561"/>
      <c r="V114" s="561"/>
      <c r="W114" s="561"/>
      <c r="X114" s="561"/>
      <c r="Y114" s="561"/>
      <c r="Z114" s="561"/>
      <c r="AA114" s="561"/>
      <c r="AB114" s="561"/>
      <c r="AC114" s="561"/>
      <c r="AD114" s="561"/>
      <c r="AE114" s="561"/>
      <c r="AF114" s="561"/>
    </row>
    <row r="115" spans="1:32">
      <c r="A115" s="561" t="s">
        <v>687</v>
      </c>
      <c r="B115" s="561"/>
      <c r="C115" s="561"/>
      <c r="D115" s="561"/>
      <c r="E115" s="561"/>
      <c r="F115" s="561"/>
      <c r="G115" s="561"/>
      <c r="H115" s="561"/>
      <c r="I115" s="561"/>
      <c r="J115" s="561"/>
      <c r="K115" s="561"/>
      <c r="L115" s="561"/>
      <c r="M115" s="561"/>
      <c r="N115" s="561"/>
      <c r="O115" s="561"/>
      <c r="P115" s="561"/>
      <c r="Q115" s="561"/>
      <c r="R115" s="561"/>
      <c r="S115" s="561"/>
      <c r="T115" s="561"/>
      <c r="U115" s="561"/>
      <c r="V115" s="561"/>
      <c r="W115" s="561"/>
      <c r="X115" s="561"/>
      <c r="Y115" s="561"/>
      <c r="Z115" s="561"/>
      <c r="AA115" s="561"/>
      <c r="AB115" s="561"/>
      <c r="AC115" s="561"/>
      <c r="AD115" s="561"/>
      <c r="AE115" s="561"/>
      <c r="AF115" s="561"/>
    </row>
    <row r="116" spans="1:32">
      <c r="A116" s="561" t="s">
        <v>619</v>
      </c>
      <c r="B116" s="561"/>
      <c r="C116" s="561"/>
      <c r="D116" s="561"/>
      <c r="E116" s="561"/>
      <c r="F116" s="561"/>
      <c r="G116" s="561"/>
      <c r="H116" s="561"/>
      <c r="I116" s="561"/>
      <c r="J116" s="561"/>
      <c r="K116" s="561"/>
      <c r="L116" s="561"/>
      <c r="M116" s="561"/>
      <c r="N116" s="561"/>
      <c r="O116" s="561"/>
      <c r="P116" s="561"/>
      <c r="Q116" s="561"/>
      <c r="R116" s="561"/>
      <c r="S116" s="561"/>
      <c r="T116" s="561"/>
      <c r="U116" s="561"/>
      <c r="V116" s="561"/>
      <c r="W116" s="561"/>
      <c r="X116" s="561"/>
      <c r="Y116" s="561"/>
      <c r="Z116" s="561"/>
      <c r="AA116" s="561"/>
      <c r="AB116" s="561"/>
      <c r="AC116" s="561"/>
      <c r="AD116" s="561"/>
      <c r="AE116" s="561"/>
      <c r="AF116" s="561"/>
    </row>
    <row r="117" spans="1:32">
      <c r="A117" s="561" t="s">
        <v>620</v>
      </c>
      <c r="B117" s="561"/>
      <c r="C117" s="561"/>
      <c r="D117" s="561"/>
      <c r="E117" s="561"/>
      <c r="F117" s="561"/>
      <c r="G117" s="561"/>
      <c r="H117" s="561"/>
      <c r="I117" s="561"/>
      <c r="J117" s="561"/>
      <c r="K117" s="561"/>
      <c r="L117" s="561"/>
      <c r="M117" s="561"/>
      <c r="N117" s="561"/>
      <c r="O117" s="561"/>
      <c r="P117" s="561"/>
      <c r="Q117" s="561"/>
      <c r="R117" s="561"/>
      <c r="S117" s="561"/>
      <c r="T117" s="561"/>
      <c r="U117" s="561"/>
      <c r="V117" s="561"/>
      <c r="W117" s="561"/>
      <c r="X117" s="561"/>
      <c r="Y117" s="561"/>
      <c r="Z117" s="561"/>
      <c r="AA117" s="561"/>
      <c r="AB117" s="561"/>
      <c r="AC117" s="561"/>
      <c r="AD117" s="561"/>
      <c r="AE117" s="561"/>
      <c r="AF117" s="561"/>
    </row>
    <row r="118" spans="1:32">
      <c r="A118" s="561" t="s">
        <v>621</v>
      </c>
      <c r="B118" s="561"/>
      <c r="C118" s="561"/>
      <c r="D118" s="561"/>
      <c r="E118" s="561"/>
      <c r="F118" s="561"/>
      <c r="G118" s="561"/>
      <c r="H118" s="561"/>
      <c r="I118" s="561"/>
      <c r="J118" s="561"/>
      <c r="K118" s="561"/>
      <c r="L118" s="561"/>
      <c r="M118" s="561"/>
      <c r="N118" s="561"/>
      <c r="O118" s="561"/>
      <c r="P118" s="561"/>
      <c r="Q118" s="561"/>
      <c r="R118" s="561"/>
      <c r="S118" s="561"/>
      <c r="T118" s="561"/>
      <c r="U118" s="561"/>
      <c r="V118" s="561"/>
      <c r="W118" s="561"/>
      <c r="X118" s="561"/>
      <c r="Y118" s="561"/>
      <c r="Z118" s="561"/>
      <c r="AA118" s="561"/>
      <c r="AB118" s="561"/>
      <c r="AC118" s="561"/>
      <c r="AD118" s="561"/>
      <c r="AE118" s="561"/>
      <c r="AF118" s="561"/>
    </row>
    <row r="119" spans="1:32">
      <c r="A119" s="561" t="s">
        <v>688</v>
      </c>
      <c r="B119" s="561"/>
      <c r="C119" s="561"/>
      <c r="D119" s="561"/>
      <c r="E119" s="561"/>
      <c r="F119" s="561"/>
      <c r="G119" s="561"/>
      <c r="H119" s="561"/>
      <c r="I119" s="561"/>
      <c r="J119" s="561"/>
      <c r="K119" s="561"/>
      <c r="L119" s="561"/>
      <c r="M119" s="561"/>
      <c r="N119" s="561"/>
      <c r="O119" s="561"/>
      <c r="P119" s="561"/>
      <c r="Q119" s="561"/>
      <c r="R119" s="561"/>
      <c r="S119" s="561"/>
      <c r="T119" s="561"/>
      <c r="U119" s="561"/>
      <c r="V119" s="561"/>
      <c r="W119" s="561"/>
      <c r="X119" s="561"/>
      <c r="Y119" s="561"/>
      <c r="Z119" s="561"/>
      <c r="AA119" s="561"/>
      <c r="AB119" s="561"/>
      <c r="AC119" s="561"/>
      <c r="AD119" s="561"/>
      <c r="AE119" s="561"/>
      <c r="AF119" s="561"/>
    </row>
    <row r="120" spans="1:32">
      <c r="A120" s="561" t="s">
        <v>689</v>
      </c>
      <c r="B120" s="561"/>
      <c r="C120" s="561"/>
      <c r="D120" s="561"/>
      <c r="E120" s="561"/>
      <c r="F120" s="561"/>
      <c r="G120" s="561"/>
      <c r="H120" s="561"/>
      <c r="I120" s="561"/>
      <c r="J120" s="561"/>
      <c r="K120" s="561"/>
      <c r="L120" s="561"/>
      <c r="M120" s="561"/>
      <c r="N120" s="561"/>
      <c r="O120" s="561"/>
      <c r="P120" s="561"/>
      <c r="Q120" s="561"/>
      <c r="R120" s="561"/>
      <c r="S120" s="561"/>
      <c r="T120" s="561"/>
      <c r="U120" s="561"/>
      <c r="V120" s="561"/>
      <c r="W120" s="561"/>
      <c r="X120" s="561"/>
      <c r="Y120" s="561"/>
      <c r="Z120" s="561"/>
      <c r="AA120" s="561"/>
      <c r="AB120" s="561"/>
      <c r="AC120" s="561"/>
      <c r="AD120" s="561"/>
      <c r="AE120" s="561"/>
      <c r="AF120" s="561"/>
    </row>
    <row r="121" spans="1:32">
      <c r="A121" s="561" t="s">
        <v>623</v>
      </c>
      <c r="B121" s="561"/>
      <c r="C121" s="561"/>
      <c r="D121" s="561"/>
      <c r="E121" s="561"/>
      <c r="F121" s="561"/>
      <c r="G121" s="561"/>
      <c r="H121" s="561"/>
      <c r="I121" s="561"/>
      <c r="J121" s="561"/>
      <c r="K121" s="561"/>
      <c r="L121" s="561"/>
      <c r="M121" s="561"/>
      <c r="N121" s="561"/>
      <c r="O121" s="561"/>
      <c r="P121" s="561"/>
      <c r="Q121" s="561"/>
      <c r="R121" s="561"/>
      <c r="S121" s="561"/>
      <c r="T121" s="561"/>
      <c r="U121" s="561"/>
      <c r="V121" s="561"/>
      <c r="W121" s="561"/>
      <c r="X121" s="561"/>
      <c r="Y121" s="561"/>
      <c r="Z121" s="561"/>
      <c r="AA121" s="561"/>
      <c r="AB121" s="561"/>
      <c r="AC121" s="561"/>
      <c r="AD121" s="561"/>
      <c r="AE121" s="561"/>
      <c r="AF121" s="561"/>
    </row>
    <row r="122" spans="1:32">
      <c r="A122" s="561" t="s">
        <v>626</v>
      </c>
      <c r="B122" s="561"/>
      <c r="C122" s="561"/>
      <c r="D122" s="561"/>
      <c r="E122" s="561"/>
      <c r="F122" s="561"/>
      <c r="G122" s="561"/>
      <c r="H122" s="561"/>
      <c r="I122" s="561"/>
      <c r="J122" s="561"/>
      <c r="K122" s="561"/>
      <c r="L122" s="561"/>
      <c r="M122" s="561"/>
      <c r="N122" s="561"/>
      <c r="O122" s="561"/>
      <c r="P122" s="561"/>
      <c r="Q122" s="561"/>
      <c r="R122" s="561"/>
      <c r="S122" s="561"/>
      <c r="T122" s="561"/>
      <c r="U122" s="561"/>
      <c r="V122" s="561"/>
      <c r="W122" s="561"/>
      <c r="X122" s="561"/>
      <c r="Y122" s="561"/>
      <c r="Z122" s="561"/>
      <c r="AA122" s="561"/>
      <c r="AB122" s="561"/>
      <c r="AC122" s="561"/>
      <c r="AD122" s="561"/>
      <c r="AE122" s="561"/>
      <c r="AF122" s="561"/>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2015-02-19T01:03:34Z</dcterms:modified>
</cp:coreProperties>
</file>