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108" i="15"/>
  <c r="H113" i="15"/>
  <c r="H118" i="15"/>
  <c r="H135" i="15"/>
  <c r="H140" i="15"/>
  <c r="H145" i="15"/>
  <c r="H179" i="15"/>
  <c r="H47" i="9"/>
  <c r="H52" i="9"/>
  <c r="H55" i="9"/>
  <c r="H65" i="9"/>
  <c r="H70" i="9"/>
  <c r="H73" i="9"/>
  <c r="H176" i="15"/>
  <c r="H182" i="15"/>
  <c r="H185" i="15"/>
  <c r="D108" i="15"/>
  <c r="D113" i="15"/>
  <c r="D118" i="15"/>
  <c r="D135" i="15"/>
  <c r="D140" i="15"/>
  <c r="D145" i="15"/>
  <c r="D179" i="15"/>
  <c r="D47" i="9"/>
  <c r="D52" i="9"/>
  <c r="D55" i="9"/>
  <c r="D65" i="9"/>
  <c r="D70" i="9"/>
  <c r="D73" i="9"/>
  <c r="D176" i="15"/>
  <c r="D182" i="15"/>
  <c r="D185" i="15"/>
  <c r="E108" i="15"/>
  <c r="E113" i="15"/>
  <c r="E118" i="15"/>
  <c r="E135" i="15"/>
  <c r="E140" i="15"/>
  <c r="E145" i="15"/>
  <c r="E179" i="15"/>
  <c r="E47" i="9"/>
  <c r="E52" i="9"/>
  <c r="E55" i="9"/>
  <c r="E65" i="9"/>
  <c r="E70" i="9"/>
  <c r="E73" i="9"/>
  <c r="E176" i="15"/>
  <c r="E182" i="15"/>
  <c r="E185" i="15"/>
  <c r="F108" i="15"/>
  <c r="F113" i="15"/>
  <c r="F118" i="15"/>
  <c r="F135" i="15"/>
  <c r="F140" i="15"/>
  <c r="F145" i="15"/>
  <c r="F179" i="15"/>
  <c r="F47" i="9"/>
  <c r="F52" i="9"/>
  <c r="F55" i="9"/>
  <c r="F65" i="9"/>
  <c r="F70" i="9"/>
  <c r="F73" i="9"/>
  <c r="F176" i="15"/>
  <c r="F182" i="15"/>
  <c r="F185" i="15"/>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H78" i="8"/>
  <c r="H79" i="8"/>
  <c r="H54" i="11"/>
  <c r="H58" i="11"/>
  <c r="H56" i="11"/>
  <c r="I78" i="8"/>
  <c r="I79" i="8"/>
  <c r="I54" i="11"/>
  <c r="I58" i="11"/>
  <c r="I56" i="11"/>
  <c r="J78" i="8"/>
  <c r="J79" i="8"/>
  <c r="J54" i="11"/>
  <c r="J58" i="11"/>
  <c r="J56" i="11"/>
  <c r="K78" i="8"/>
  <c r="K79" i="8"/>
  <c r="K54" i="11"/>
  <c r="K58" i="11"/>
  <c r="K56" i="11"/>
  <c r="L78" i="8"/>
  <c r="L79" i="8"/>
  <c r="L54" i="11"/>
  <c r="L58" i="11"/>
  <c r="L56" i="11"/>
  <c r="M78" i="8"/>
  <c r="M79" i="8"/>
  <c r="M54" i="11"/>
  <c r="M58" i="11"/>
  <c r="M56" i="11"/>
  <c r="N78" i="8"/>
  <c r="N79" i="8"/>
  <c r="N54" i="11"/>
  <c r="N58" i="11"/>
  <c r="N56" i="11"/>
  <c r="O78" i="8"/>
  <c r="O79" i="8"/>
  <c r="O54" i="11"/>
  <c r="O58" i="11"/>
  <c r="O56" i="11"/>
  <c r="P78" i="8"/>
  <c r="P79" i="8"/>
  <c r="P54" i="11"/>
  <c r="P58" i="11"/>
  <c r="P56" i="11"/>
  <c r="Q78" i="8"/>
  <c r="Q79" i="8"/>
  <c r="Q54" i="11"/>
  <c r="Q58" i="11"/>
  <c r="Q56" i="11"/>
  <c r="R78" i="8"/>
  <c r="R79" i="8"/>
  <c r="R54" i="11"/>
  <c r="R58" i="11"/>
  <c r="R56" i="11"/>
  <c r="S78" i="8"/>
  <c r="S79" i="8"/>
  <c r="S54" i="11"/>
  <c r="S58" i="11"/>
  <c r="S56" i="11"/>
  <c r="T78" i="8"/>
  <c r="T79" i="8"/>
  <c r="T54" i="11"/>
  <c r="T58" i="11"/>
  <c r="T56" i="11"/>
  <c r="U78" i="8"/>
  <c r="U79" i="8"/>
  <c r="U54" i="11"/>
  <c r="U58" i="11"/>
  <c r="U56" i="11"/>
  <c r="V78" i="8"/>
  <c r="V79" i="8"/>
  <c r="V54" i="11"/>
  <c r="V58" i="11"/>
  <c r="V56" i="11"/>
  <c r="W78" i="8"/>
  <c r="W79" i="8"/>
  <c r="W54" i="11"/>
  <c r="W58" i="11"/>
  <c r="W56" i="11"/>
  <c r="X78" i="8"/>
  <c r="X79" i="8"/>
  <c r="X54" i="11"/>
  <c r="X58" i="11"/>
  <c r="X56" i="11"/>
  <c r="Y78" i="8"/>
  <c r="Y79" i="8"/>
  <c r="Y54" i="11"/>
  <c r="Y58" i="11"/>
  <c r="Y56" i="11"/>
  <c r="Z78" i="8"/>
  <c r="Z79" i="8"/>
  <c r="Z54" i="11"/>
  <c r="Z58" i="11"/>
  <c r="Z56" i="11"/>
  <c r="AA78" i="8"/>
  <c r="AA79" i="8"/>
  <c r="AA54" i="11"/>
  <c r="AA58" i="11"/>
  <c r="AA56" i="11"/>
  <c r="AB78" i="8"/>
  <c r="AB79" i="8"/>
  <c r="AB54" i="11"/>
  <c r="AB58" i="11"/>
  <c r="AB56" i="11"/>
  <c r="AC78" i="8"/>
  <c r="AC79" i="8"/>
  <c r="AC54" i="11"/>
  <c r="AC58" i="11"/>
  <c r="AC56" i="11"/>
  <c r="AD78" i="8"/>
  <c r="AD79" i="8"/>
  <c r="AD54" i="11"/>
  <c r="AD58" i="11"/>
  <c r="AD56" i="11"/>
  <c r="AE78" i="8"/>
  <c r="AE79" i="8"/>
  <c r="AE54" i="11"/>
  <c r="AE58" i="11"/>
  <c r="AE56" i="11"/>
  <c r="AF78" i="8"/>
  <c r="AF79" i="8"/>
  <c r="AF54" i="11"/>
  <c r="AF58" i="11"/>
  <c r="AF56" i="11"/>
  <c r="AG78" i="8"/>
  <c r="AG79" i="8"/>
  <c r="AG54" i="11"/>
  <c r="AG58" i="11"/>
  <c r="AG56" i="11"/>
  <c r="AH78" i="8"/>
  <c r="AH79" i="8"/>
  <c r="AH54" i="11"/>
  <c r="AH58" i="11"/>
  <c r="AH56" i="11"/>
  <c r="AI78" i="8"/>
  <c r="AI79" i="8"/>
  <c r="AI54" i="11"/>
  <c r="AI58" i="11"/>
  <c r="AI56" i="11"/>
  <c r="AJ78" i="8"/>
  <c r="AJ79" i="8"/>
  <c r="AJ54" i="11"/>
  <c r="AJ58" i="11"/>
  <c r="AJ56" i="11"/>
  <c r="G78" i="8"/>
  <c r="G79" i="8"/>
  <c r="G54" i="11"/>
  <c r="G58" i="11"/>
  <c r="G56"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AH13" i="9"/>
  <c r="F77" i="8"/>
  <c r="AH13" i="15"/>
  <c r="AH14" i="15"/>
  <c r="D30" i="5"/>
  <c r="C30" i="5"/>
  <c r="N13" i="9"/>
  <c r="N14" i="9"/>
  <c r="N10" i="9"/>
  <c r="N16" i="9"/>
  <c r="N18" i="9"/>
  <c r="N13" i="15"/>
  <c r="N14" i="15"/>
  <c r="D11" i="5"/>
  <c r="D17"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X13" i="15"/>
  <c r="X14" i="15"/>
  <c r="D29" i="5"/>
  <c r="C29" i="5"/>
  <c r="D28" i="5"/>
  <c r="C28" i="5"/>
  <c r="F35" i="5"/>
  <c r="H35" i="5"/>
  <c r="AH26" i="15"/>
  <c r="AH31" i="15"/>
  <c r="D36" i="5"/>
  <c r="C36" i="5"/>
  <c r="F36" i="5"/>
  <c r="H36" i="5"/>
  <c r="AH18" i="15"/>
  <c r="AH32" i="15"/>
  <c r="AH43" i="15"/>
  <c r="F34" i="5"/>
  <c r="H34" i="5"/>
  <c r="AH24" i="15"/>
  <c r="AH30" i="15"/>
  <c r="AH46" i="15"/>
  <c r="AH47" i="15"/>
  <c r="AH48" i="15"/>
  <c r="AH49" i="15"/>
  <c r="AH93" i="15"/>
  <c r="X34" i="15"/>
  <c r="X35" i="15"/>
  <c r="X37" i="15"/>
  <c r="X38" i="15"/>
  <c r="X39" i="15"/>
  <c r="X40" i="15"/>
  <c r="X42" i="15"/>
  <c r="X26" i="15"/>
  <c r="X31" i="15"/>
  <c r="X18" i="15"/>
  <c r="X32" i="15"/>
  <c r="X43" i="15"/>
  <c r="X24" i="15"/>
  <c r="X30" i="15"/>
  <c r="X46"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N46" i="15"/>
  <c r="N47" i="15"/>
  <c r="N48" i="15"/>
  <c r="N49" i="15"/>
  <c r="N93" i="15"/>
  <c r="X78" i="15"/>
  <c r="N94" i="15"/>
  <c r="X79" i="15"/>
  <c r="N87" i="15"/>
  <c r="X72" i="15"/>
  <c r="H13" i="9"/>
  <c r="H38" i="15"/>
  <c r="H14" i="9"/>
  <c r="H39" i="15"/>
  <c r="H10" i="9"/>
  <c r="H34" i="15"/>
  <c r="H16" i="9"/>
  <c r="H42" i="15"/>
  <c r="H43" i="15"/>
  <c r="H14" i="15"/>
  <c r="H30" i="15"/>
  <c r="H46" i="15"/>
  <c r="H47" i="15"/>
  <c r="H48" i="15"/>
  <c r="H49" i="15"/>
  <c r="H93" i="15"/>
  <c r="N78" i="15"/>
  <c r="H94" i="15"/>
  <c r="N79" i="15"/>
  <c r="H87" i="15"/>
  <c r="N72" i="15"/>
  <c r="G74" i="8"/>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N8" i="9"/>
  <c r="P73" i="8"/>
  <c r="N7" i="9"/>
  <c r="N11" i="9"/>
  <c r="P75" i="8"/>
  <c r="N12" i="9"/>
  <c r="X8" i="9"/>
  <c r="Z73" i="8"/>
  <c r="X7"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7" i="9"/>
  <c r="H31" i="15"/>
  <c r="H11" i="9"/>
  <c r="H35" i="15"/>
  <c r="H12" i="9"/>
  <c r="H37"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63" i="15"/>
  <c r="E14" i="9"/>
  <c r="E39" i="15"/>
  <c r="E109" i="15"/>
  <c r="E136" i="15"/>
  <c r="E64" i="15"/>
  <c r="E40" i="15"/>
  <c r="E110" i="15"/>
  <c r="E137" i="15"/>
  <c r="E66" i="15"/>
  <c r="E16" i="9"/>
  <c r="E42" i="15"/>
  <c r="E112" i="15"/>
  <c r="E139" i="15"/>
  <c r="E43" i="15"/>
  <c r="E46" i="15"/>
  <c r="E47" i="15"/>
  <c r="E116" i="15"/>
  <c r="E143" i="15"/>
  <c r="E48" i="15"/>
  <c r="E117" i="15"/>
  <c r="E144" i="15"/>
  <c r="E8" i="9"/>
  <c r="E43" i="9"/>
  <c r="E61" i="9"/>
  <c r="E48" i="9"/>
  <c r="E66" i="9"/>
  <c r="E7" i="9"/>
  <c r="E42" i="9"/>
  <c r="E60" i="9"/>
  <c r="E44" i="9"/>
  <c r="E62" i="9"/>
  <c r="E45" i="9"/>
  <c r="E63" i="9"/>
  <c r="E46" i="9"/>
  <c r="E64" i="9"/>
  <c r="E50" i="9"/>
  <c r="E68" i="9"/>
  <c r="E49" i="9"/>
  <c r="E67" i="9"/>
  <c r="E20" i="9"/>
  <c r="E53" i="9"/>
  <c r="E71" i="9"/>
  <c r="E21" i="9"/>
  <c r="E54" i="9"/>
  <c r="E72" i="9"/>
  <c r="E146" i="15"/>
  <c r="D29" i="15"/>
  <c r="D100" i="15"/>
  <c r="D101" i="15"/>
  <c r="D102" i="15"/>
  <c r="D103" i="15"/>
  <c r="D104" i="15"/>
  <c r="D105" i="15"/>
  <c r="D107" i="15"/>
  <c r="D109" i="15"/>
  <c r="D110" i="15"/>
  <c r="D112" i="15"/>
  <c r="D116" i="15"/>
  <c r="D117" i="15"/>
  <c r="D249" i="15"/>
  <c r="D252" i="15"/>
  <c r="D127" i="15"/>
  <c r="D128" i="15"/>
  <c r="D129" i="15"/>
  <c r="D130" i="15"/>
  <c r="D131" i="15"/>
  <c r="D132" i="15"/>
  <c r="D134" i="15"/>
  <c r="D136" i="15"/>
  <c r="D137" i="15"/>
  <c r="D139" i="15"/>
  <c r="D143" i="15"/>
  <c r="D144" i="15"/>
  <c r="D8" i="9"/>
  <c r="D43" i="9"/>
  <c r="D48" i="9"/>
  <c r="D7" i="9"/>
  <c r="D42" i="9"/>
  <c r="D44" i="9"/>
  <c r="D45" i="9"/>
  <c r="D46" i="9"/>
  <c r="D50" i="9"/>
  <c r="D49" i="9"/>
  <c r="D20" i="9"/>
  <c r="D53" i="9"/>
  <c r="D21" i="9"/>
  <c r="D54" i="9"/>
  <c r="D61" i="9"/>
  <c r="D66" i="9"/>
  <c r="D60" i="9"/>
  <c r="D62" i="9"/>
  <c r="D63" i="9"/>
  <c r="D64" i="9"/>
  <c r="D68" i="9"/>
  <c r="D67" i="9"/>
  <c r="D71" i="9"/>
  <c r="D72" i="9"/>
  <c r="E249" i="15"/>
  <c r="E252"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1" i="9"/>
  <c r="F195" i="15"/>
  <c r="BH34" i="21"/>
  <c r="H173" i="15"/>
  <c r="BH33" i="21"/>
  <c r="BJ27" i="21"/>
  <c r="BI32" i="21"/>
  <c r="E232" i="15"/>
  <c r="F177" i="15"/>
  <c r="G198" i="15"/>
  <c r="G60" i="9"/>
  <c r="G52" i="9"/>
  <c r="G55" i="9"/>
  <c r="G51" i="9"/>
  <c r="G195" i="15"/>
  <c r="F69" i="9"/>
  <c r="F196" i="15"/>
  <c r="F194" i="15"/>
  <c r="F199" i="15"/>
  <c r="F197" i="15"/>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<sst xmlns="http://schemas.openxmlformats.org/spreadsheetml/2006/main" count="1327" uniqueCount="760">
  <si>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</si>
  <si>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</si>
  <si>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</si>
  <si>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</si>
  <si>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</si>
  <si>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</si>
  <si>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</si>
  <si>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</si>
  <si>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</si>
  <si>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</si>
  <si>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</si>
  <si>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</si>
  <si>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</si>
  <si>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</si>
  <si>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</si>
  <si>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</si>
  <si>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</si>
  <si>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</si>
  <si>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</si>
  <si>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</si>
  <si>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</si>
  <si>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</si>
  <si>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</si>
  <si>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</si>
  <si>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</si>
  <si>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</si>
  <si>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</si>
  <si>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</si>
  <si>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</si>
  <si>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</si>
  <si>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</si>
  <si>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</si>
  <si>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</si>
  <si>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</si>
  <si>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</si>
  <si>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</si>
  <si>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</si>
  <si>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</si>
  <si>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</si>
  <si>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</si>
  <si>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</si>
  <si>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</si>
  <si>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</si>
  <si>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</si>
  <si>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</si>
  <si>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</si>
  <si>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</si>
  <si>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</si>
  <si>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</si>
  <si>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</si>
  <si>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</si>
  <si>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</si>
  <si>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</si>
  <si>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</si>
  <si>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</si>
  <si>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</si>
  <si>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</si>
  <si>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</si>
  <si>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</si>
  <si>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</si>
  <si>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</si>
  <si>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</si>
  <si>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</si>
  <si>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</si>
  <si>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</si>
  <si>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</si>
  <si>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</si>
  <si>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</si>
  <si>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</si>
  <si>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</si>
  <si>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</si>
  <si>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</si>
  <si>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</si>
  <si>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</si>
  <si>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</si>
  <si>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</si>
  <si>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</si>
  <si>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</si>
  <si>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</si>
  <si>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</si>
  <si>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</si>
  <si>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</si>
  <si>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</si>
  <si>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</si>
  <si>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</si>
  <si>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</si>
  <si>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</si>
  <si>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</si>
  <si>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</si>
  <si>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</si>
  <si>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</si>
  <si>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</si>
  <si>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</si>
  <si>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</si>
  <si>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</si>
  <si>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</si>
  <si>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</si>
  <si>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</si>
  <si>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</si>
  <si>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</si>
  <si>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</si>
  <si>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</si>
  <si>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</si>
  <si>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</si>
  <si>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</si>
  <si>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</si>
  <si>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</si>
  <si>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</si>
  <si>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</si>
  <si>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</si>
  <si>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</si>
  <si>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</si>
  <si>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</si>
  <si>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</si>
  <si>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</si>
  <si>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</si>
  <si>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</si>
  <si>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</si>
  <si>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</si>
  <si>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</si>
  <si>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</si>
  <si>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</si>
  <si>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</si>
  <si>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</si>
  <si>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</si>
  <si>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</si>
  <si>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</si>
  <si>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</si>
  <si>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</si>
  <si>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</si>
  <si>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</si>
  <si>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</si>
  <si>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</si>
  <si>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</si>
  <si>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</si>
  <si>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</si>
  <si>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</si>
  <si>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</si>
  <si>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</si>
  <si>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</si>
  <si>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</si>
  <si>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</si>
  <si>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</si>
  <si>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</si>
  <si>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</si>
  <si>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</si>
  <si>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</si>
  <si>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</si>
  <si>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</si>
  <si>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</si>
  <si>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</si>
  <si>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</si>
  <si>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</si>
  <si>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</si>
  <si>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</si>
  <si>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</si>
  <si>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</si>
  <si>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</si>
  <si>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</si>
  <si>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</si>
  <si>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</si>
  <si>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</si>
  <si>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</si>
  <si>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</si>
  <si>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</si>
  <si>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</si>
  <si>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</si>
  <si>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</si>
  <si>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</si>
  <si>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</si>
  <si>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</si>
  <si>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</si>
  <si>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</si>
  <si>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</si>
  <si>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</si>
  <si>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</si>
  <si>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</si>
  <si>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</si>
  <si>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</si>
  <si>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</si>
  <si>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</si>
  <si>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</si>
  <si>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</si>
  <si>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</si>
  <si>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</si>
  <si>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</si>
  <si>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</si>
  <si>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</si>
  <si>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</si>
  <si>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</si>
  <si>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</si>
  <si>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</si>
  <si>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</si>
  <si>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</si>
  <si>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</si>
  <si>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</si>
  <si>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</si>
  <si>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</si>
  <si>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</si>
  <si>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</si>
  <si>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</si>
  <si>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</si>
  <si>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</si>
  <si>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</si>
  <si>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</si>
  <si>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</si>
  <si>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</si>
  <si>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</si>
  <si>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</si>
  <si>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</si>
  <si>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</si>
  <si>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</si>
  <si>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</si>
  <si>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</si>
  <si>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</si>
  <si>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</si>
  <si>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</si>
  <si>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</si>
  <si>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</si>
  <si>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</si>
  <si>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</si>
  <si>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</si>
  <si>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</si>
  <si>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</si>
  <si>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</si>
  <si>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</si>
  <si>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</si>
  <si>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</si>
  <si>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</si>
  <si>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</si>
  <si>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</si>
  <si>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</si>
  <si>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</si>
  <si>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</si>
  <si>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</si>
  <si>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</si>
  <si>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</si>
  <si>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</si>
  <si>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</si>
  <si>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</si>
  <si>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</si>
  <si>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</si>
  <si>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</si>
  <si>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</si>
  <si>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</si>
  <si>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</si>
  <si>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</si>
  <si>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</si>
  <si>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</si>
  <si>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</si>
  <si>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</si>
  <si>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</si>
  <si>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</si>
  <si>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</si>
  <si>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</si>
  <si>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</si>
  <si>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</si>
  <si>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</si>
  <si>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</si>
  <si>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</si>
  <si>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</si>
  <si>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</si>
  <si>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</si>
  <si>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</si>
  <si>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</si>
  <si>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</si>
  <si>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</si>
  <si>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</si>
  <si>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</si>
  <si>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</si>
  <si>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</si>
  <si>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</si>
  <si>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</si>
  <si>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</si>
  <si>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</si>
  <si>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</si>
  <si>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</si>
  <si>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</si>
  <si>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</si>
  <si>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</si>
  <si>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</si>
  <si>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</si>
  <si>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</si>
  <si>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</si>
  <si>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</si>
  <si>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</si>
  <si>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</si>
  <si>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</si>
  <si>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</si>
  <si>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</si>
  <si>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</si>
  <si>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</si>
  <si>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</si>
  <si>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</si>
  <si>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</si>
  <si>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</si>
  <si>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</si>
  <si>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</si>
  <si>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</si>
  <si>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</si>
  <si>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</si>
  <si>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</si>
  <si>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</si>
  <si>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</si>
  <si>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</si>
  <si>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</si>
  <si>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</si>
  <si>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</si>
  <si>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</si>
  <si>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</si>
  <si>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</si>
  <si>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</si>
  <si>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</si>
  <si>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</si>
  <si>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</si>
  <si>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</si>
  <si>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</si>
  <si>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</si>
  <si>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</si>
  <si>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</si>
  <si>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</si>
  <si>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</si>
  <si>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</si>
  <si>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</si>
  <si>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</si>
  <si>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</si>
  <si>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</si>
  <si>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</si>
  <si>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</si>
  <si>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</si>
  <si>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</si>
  <si>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</si>
  <si>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</si>
  <si>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</si>
  <si>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</si>
  <si>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</si>
  <si>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</si>
  <si>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</si>
  <si>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</si>
  <si>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</si>
  <si>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</si>
  <si>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</si>
  <si>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</si>
  <si>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</si>
  <si>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</si>
  <si>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</si>
  <si>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</si>
  <si>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</si>
  <si>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</si>
  <si>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</si>
  <si>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</si>
  <si>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</si>
  <si>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</si>
  <si>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</si>
  <si>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</si>
  <si>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</si>
  <si>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</si>
  <si>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</si>
  <si>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</si>
  <si>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</si>
  <si>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</si>
  <si>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</si>
  <si>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</si>
  <si>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</si>
  <si>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</si>
  <si>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</si>
  <si>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</si>
  <si>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</si>
  <si>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</si>
  <si>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</si>
  <si>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</si>
  <si>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</si>
  <si>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</si>
  <si>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</si>
  <si>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</si>
  <si>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</si>
  <si>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</si>
  <si>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</si>
  <si>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</si>
  <si>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</si>
  <si>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</si>
  <si>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</si>
  <si>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</si>
  <si>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</si>
  <si>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</si>
  <si>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</si>
  <si>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</si>
  <si>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</si>
  <si>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</si>
  <si>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</si>
  <si>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</si>
  <si>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</si>
  <si>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</si>
  <si>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</si>
  <si>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</si>
  <si>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</si>
  <si>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</si>
  <si>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</si>
  <si>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</si>
  <si>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</si>
  <si>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</si>
  <si>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</si>
  <si>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</si>
  <si>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</si>
  <si>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</si>
  <si>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</si>
  <si>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</si>
  <si>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</si>
  <si>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</si>
  <si>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</si>
  <si>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</si>
  <si>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</si>
  <si>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</si>
  <si>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</si>
  <si>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</si>
  <si>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</si>
  <si>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</si>
  <si>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</si>
  <si>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</si>
  <si>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</si>
  <si>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</si>
  <si>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</si>
  <si>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</si>
  <si>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</si>
  <si>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</si>
  <si>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</si>
  <si>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</si>
  <si>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</si>
  <si>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</si>
  <si>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</si>
  <si>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</si>
  <si>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</si>
  <si>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</si>
  <si>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</si>
  <si>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</si>
  <si>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</si>
  <si>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</si>
  <si>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</si>
  <si>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</si>
  <si>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</si>
  <si>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</si>
  <si>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</si>
  <si>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</si>
  <si>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</si>
  <si>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</si>
  <si>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</si>
  <si>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</si>
  <si>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</si>
  <si>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</si>
  <si>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</si>
  <si>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</si>
  <si>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</si>
  <si>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</si>
  <si>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</si>
  <si>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</si>
  <si>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</si>
  <si>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</si>
  <si>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</si>
  <si>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</si>
  <si>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</si>
  <si>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</si>
  <si>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</si>
  <si>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</si>
  <si>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</si>
  <si>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</si>
  <si>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</si>
  <si>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</si>
  <si>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</si>
  <si>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</si>
  <si>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</si>
  <si>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</si>
  <si>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</si>
  <si>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</si>
  <si>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</si>
  <si>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</si>
  <si>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</si>
  <si>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</si>
  <si>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</si>
  <si>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</si>
  <si>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</si>
  <si>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</si>
  <si>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</si>
  <si>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</si>
  <si>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</si>
  <si>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</si>
  <si>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</si>
  <si>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</si>
  <si>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</si>
  <si>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</si>
  <si>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</si>
  <si>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</si>
  <si>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</si>
  <si>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</si>
  <si>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</si>
  <si>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</si>
  <si>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</si>
  <si>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</si>
  <si>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</si>
  <si>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</si>
  <si>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</si>
  <si>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</si>
  <si>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</si>
  <si>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</si>
  <si>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</si>
  <si>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</si>
  <si>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</si>
  <si>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</si>
  <si>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</si>
  <si>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</si>
  <si>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</si>
  <si>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</si>
  <si>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</si>
  <si>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</si>
  <si>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</si>
  <si>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</si>
  <si>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</si>
  <si>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</si>
  <si>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</si>
  <si>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</si>
  <si>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</si>
  <si>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</si>
  <si>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</si>
  <si>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</si>
  <si>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</si>
  <si>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</si>
  <si>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</si>
  <si>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</si>
  <si>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</si>
  <si>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</si>
  <si>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</si>
  <si>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</si>
  <si>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</si>
  <si>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</si>
  <si>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</si>
  <si>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</si>
  <si>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</si>
  <si>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</si>
  <si>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</si>
  <si>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</si>
  <si>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</si>
  <si>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</si>
  <si>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</si>
  <si>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</si>
  <si>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</si>
  <si>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</si>
  <si>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</si>
  <si>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</si>
  <si>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</si>
  <si>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</si>
  <si>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</si>
  <si>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</si>
  <si>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</si>
  <si>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</si>
  <si>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</si>
  <si>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</si>
  <si>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</si>
  <si>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</si>
  <si>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</si>
  <si>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</si>
  <si>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</si>
  <si>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</si>
  <si>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</si>
  <si>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</si>
  <si>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</si>
  <si>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</si>
  <si>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</si>
  <si>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</si>
  <si>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</si>
  <si>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</si>
  <si>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</si>
  <si>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</si>
  <si>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</si>
  <si>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</si>
  <si>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</si>
  <si>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</si>
  <si>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</si>
  <si>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</si>
  <si>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</si>
  <si>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</si>
  <si>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</si>
  <si>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</si>
  <si>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</si>
  <si>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</si>
  <si>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</si>
  <si>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</si>
  <si>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</si>
  <si>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</si>
  <si>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</si>
  <si>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</si>
  <si>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</si>
  <si>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</si>
  <si>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</si>
  <si>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</si>
  <si>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</si>
  <si>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</si>
  <si>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</si>
  <si>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</si>
  <si>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</si>
  <si>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</si>
  <si>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</si>
  <si>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</si>
  <si>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</si>
  <si>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</si>
  <si>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</si>
  <si>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</si>
  <si>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</si>
  <si>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</si>
  <si>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</si>
  <si>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</si>
  <si>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</si>
  <si>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</si>
  <si>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</si>
  <si>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</si>
  <si>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</si>
  <si>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</si>
  <si>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</si>
  <si>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</si>
  <si>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</si>
  <si>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</si>
  <si>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</si>
  <si>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</si>
  <si>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</si>
  <si>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</si>
  <si>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</si>
  <si>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</si>
  <si>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</si>
  <si>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</si>
  <si>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</si>
  <si>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</si>
  <si>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</si>
  <si>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</si>
  <si>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</si>
  <si>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</si>
  <si>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</si>
  <si>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</si>
  <si>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</si>
  <si>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</si>
  <si>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</si>
  <si>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</si>
  <si>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</si>
  <si>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</si>
  <si>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</si>
  <si>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</si>
  <si>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</si>
  <si>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</si>
  <si>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</si>
  <si>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</si>
  <si>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</si>
  <si>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</si>
  <si>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</si>
  <si>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</si>
  <si>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</si>
  <si>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</si>
  <si>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</si>
  <si>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</si>
  <si>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</si>
  <si>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</si>
  <si>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</si>
  <si>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</si>
  <si>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</si>
  <si>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</si>
  <si>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</si>
  <si>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</si>
  <si>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</si>
  <si>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</si>
  <si>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</si>
  <si>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</si>
  <si>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</si>
  <si>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</si>
  <si>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</si>
  <si>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</si>
  <si>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</si>
  <si>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</si>
  <si>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</si>
  <si>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</si>
  <si>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</si>
  <si>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</si>
  <si>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</si>
  <si>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</si>
  <si>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</si>
  <si>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</si>
  <si>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</si>
  <si>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</si>
  <si>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</si>
  <si>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</si>
  <si>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</si>
  <si>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</si>
  <si>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</si>
  <si>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</si>
  <si>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</si>
  <si>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</si>
  <si>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</si>
  <si>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</si>
  <si>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</si>
  <si>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</si>
  <si>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</si>
  <si>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</si>
  <si>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</si>
  <si>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</si>
  <si>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</si>
  <si>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</si>
  <si>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</si>
  <si>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</si>
  <si>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</si>
  <si>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</si>
  <si>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</si>
  <si>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</si>
  <si>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</si>
  <si>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</si>
  <si>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</si>
  <si>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</si>
  <si>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</si>
  <si>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</si>
  <si>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</si>
  <si>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</si>
  <si>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</si>
  <si>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</si>
  <si>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</si>
  <si>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</si>
  <si>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</si>
  <si>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</si>
  <si>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</si>
  <si>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</si>
  <si>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</si>
  <si>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</si>
  <si>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</si>
  <si>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</si>
  <si>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</si>
  <si>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</si>
  <si>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</si>
  <si>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</si>
  <si>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</si>
  <si>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</si>
  <si>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</si>
  <si>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</si>
  <si>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</si>
  <si>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</si>
  <si>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</si>
  <si>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</si>
  <si>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</si>
  <si>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</si>
  <si>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</si>
  <si>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</si>
  <si>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</si>
  <si>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</si>
  <si>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</si>
  <si>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</si>
  <si>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Total Electricity Generation by Fuel from EIA for South</t>
  </si>
  <si>
    <t>Generation from EIA South region from EIA</t>
  </si>
  <si>
    <t>Energy source</t>
  </si>
  <si>
    <t>MSW Biogenic/Landfill Ga0</t>
  </si>
  <si>
    <t>Other Biomass0</t>
  </si>
  <si>
    <t>Fossil</t>
  </si>
  <si>
    <t xml:space="preserve">    Other Gase0</t>
  </si>
  <si>
    <t>Pumped storage</t>
  </si>
  <si>
    <t>Total Electricity Generation by Fuel by computation for Texas</t>
  </si>
  <si>
    <t>Contribution of Texas</t>
  </si>
  <si>
    <t>Proportion for Texas</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</si>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</sst>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9">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7" fontId="0" fillId="2" borderId="1" xfId="10" applyNumberFormat="1" applyFont="1" applyFill="1" applyBorder="1" applyAlignment="1">
      <alignment horizontal="center"/>
    </xf>
    <xf numFmtId="0" fontId="28" fillId="2" borderId="0" xfId="0" applyFont="1" applyFill="1" applyAlignment="1">
      <alignment wrapText="1"/>
    </xf>
    <xf numFmtId="10" fontId="28" fillId="2" borderId="0" xfId="0" applyNumberFormat="1" applyFont="1" applyFill="1" applyAlignment="1">
      <alignment wrapText="1"/>
    </xf>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5346344"/>
        <c:axId val="2095349400"/>
      </c:lineChart>
      <c:catAx>
        <c:axId val="209534634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349400"/>
        <c:crosses val="autoZero"/>
        <c:auto val="1"/>
        <c:lblAlgn val="ctr"/>
        <c:lblOffset val="100"/>
        <c:noMultiLvlLbl val="0"/>
      </c:catAx>
      <c:valAx>
        <c:axId val="2095349400"/>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34634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1322040"/>
        <c:axId val="2095495256"/>
      </c:lineChart>
      <c:catAx>
        <c:axId val="211132204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495256"/>
        <c:crosses val="autoZero"/>
        <c:auto val="1"/>
        <c:lblAlgn val="ctr"/>
        <c:lblOffset val="100"/>
        <c:noMultiLvlLbl val="0"/>
      </c:catAx>
      <c:valAx>
        <c:axId val="2095495256"/>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32204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8"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3"/>
      <c r="B1" s="533"/>
      <c r="C1" s="533"/>
      <c r="D1" s="533"/>
      <c r="E1" s="533"/>
      <c r="F1" s="533"/>
      <c r="G1" s="533"/>
      <c r="H1" s="533"/>
      <c r="I1" s="533"/>
      <c r="J1" s="533"/>
      <c r="K1" s="533"/>
      <c r="L1" s="533"/>
      <c r="M1" s="533"/>
      <c r="N1" s="533"/>
      <c r="O1" s="533"/>
      <c r="P1" s="533"/>
      <c r="Q1" s="533"/>
      <c r="R1" s="533"/>
      <c r="S1" s="533"/>
      <c r="T1" s="533"/>
    </row>
    <row r="2" spans="1:20" ht="113.25" customHeight="1">
      <c r="A2" s="533"/>
      <c r="B2" s="533"/>
      <c r="C2" s="533"/>
      <c r="D2" s="533"/>
      <c r="E2" s="533"/>
      <c r="F2" s="533"/>
      <c r="G2" s="533"/>
      <c r="H2" s="533"/>
      <c r="I2" s="533"/>
      <c r="J2" s="533"/>
      <c r="K2" s="533"/>
      <c r="L2" s="533"/>
      <c r="M2" s="533"/>
      <c r="N2" s="533"/>
      <c r="O2" s="533"/>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0.32003347548167649</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2">
        <v>0.12</v>
      </c>
      <c r="D11" s="125">
        <f>'Output - Jobs vs Yr (BAU)'!N18/'Output -Jobs vs Yr'!N14</f>
        <v>0.10811861670719529</v>
      </c>
      <c r="E11" s="497">
        <f>(7.7/3)^(1/6)</f>
        <v>1.1701141873017888</v>
      </c>
      <c r="F11" s="109"/>
      <c r="G11" s="494">
        <f>(12.5/3)^(1/6)</f>
        <v>1.2685223586294079</v>
      </c>
      <c r="H11"/>
      <c r="I11"/>
      <c r="J11"/>
      <c r="K11"/>
      <c r="L11"/>
      <c r="M11" t="s">
        <v>0</v>
      </c>
      <c r="N11" t="s">
        <v>0</v>
      </c>
      <c r="O11" s="111" t="s">
        <v>0</v>
      </c>
      <c r="P11" s="31" t="s">
        <v>0</v>
      </c>
    </row>
    <row r="12" spans="1:20" ht="15" thickBot="1">
      <c r="B12" t="s">
        <v>381</v>
      </c>
      <c r="C12" s="209">
        <v>0.15</v>
      </c>
      <c r="D12" s="125">
        <f>'Output - Jobs vs Yr (BAU)'!X18/'Output -Jobs vs Yr'!X14</f>
        <v>0.10225866901768732</v>
      </c>
      <c r="E12" s="497">
        <f>(D12/D11)^(1/10)</f>
        <v>0.99444316132527943</v>
      </c>
      <c r="F12" s="109"/>
      <c r="G12" s="495">
        <f>(C12/C11)^(1/10)</f>
        <v>1.0225651825635729</v>
      </c>
      <c r="H12"/>
      <c r="I12"/>
      <c r="J12"/>
      <c r="K12"/>
      <c r="L12"/>
      <c r="M12" t="s">
        <v>0</v>
      </c>
      <c r="N12" t="s">
        <v>0</v>
      </c>
      <c r="O12" s="111" t="s">
        <v>0</v>
      </c>
      <c r="P12" s="31" t="s">
        <v>0</v>
      </c>
    </row>
    <row r="13" spans="1:20" ht="15" thickBot="1">
      <c r="B13" t="s">
        <v>578</v>
      </c>
      <c r="C13" s="210">
        <v>0.2</v>
      </c>
      <c r="D13" s="172">
        <f>'Output - Jobs vs Yr (BAU)'!AH18/'Output -Jobs vs Yr'!AH14</f>
        <v>0.10315320947363239</v>
      </c>
      <c r="E13" s="497">
        <f>(D13/D12)^(1/10)</f>
        <v>1.000871357387531</v>
      </c>
      <c r="F13" s="109"/>
      <c r="G13" s="496">
        <f>(C13/C12)^(1/10)</f>
        <v>1.0291860089647606</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3.2304336539990663E-3</v>
      </c>
      <c r="D17" s="126">
        <f>'Output - Jobs vs Yr (BAU)'!N10/'Output -Jobs vs Yr'!$N$14</f>
        <v>2.9105834836229113E-3</v>
      </c>
      <c r="E17" s="105">
        <f t="shared" ref="E17:E23" si="0">IF($C$24&lt;&gt;0,C17/$C$24,0)</f>
        <v>2.6920280449992225E-2</v>
      </c>
      <c r="F17" s="172">
        <f>C17*$C$12/$C$11</f>
        <v>4.0380420674988333E-3</v>
      </c>
      <c r="G17" s="105">
        <f>'Output - Jobs vs Yr (BAU)'!X10/'Output - Jobs vs Yr (BAU)'!X24</f>
        <v>4.7625909101971144E-3</v>
      </c>
      <c r="H17" s="105">
        <f t="shared" ref="H17:H23" si="1">G17/$G$24</f>
        <v>4.6543839398128381E-2</v>
      </c>
      <c r="I17" s="172">
        <f>F17*$C$13/$C$12</f>
        <v>5.3840560899984444E-3</v>
      </c>
      <c r="J17" s="105">
        <f>'Output - Jobs vs Yr (BAU)'!AH10/'Output - Jobs vs Yr (BAU)'!AH24</f>
        <v>5.0979741950153484E-3</v>
      </c>
      <c r="K17" s="105">
        <f>J17/$J$24</f>
        <v>4.9354365987657661E-2</v>
      </c>
      <c r="L17" s="105"/>
      <c r="M17" s="45" t="s">
        <v>259</v>
      </c>
      <c r="N17" s="86">
        <f>HLOOKUP(N16,'Output -Jobs vs Yr'!$H$175:$AH$184,9)</f>
        <v>436.57550350388919</v>
      </c>
      <c r="O17" s="86">
        <f>HLOOKUP(O16,'Output -Jobs vs Yr'!$H$175:$AH$184,9)</f>
        <v>895.78680002118926</v>
      </c>
      <c r="P17" s="86">
        <f>HLOOKUP(P16,'Output -Jobs vs Yr'!$H$175:$AH$184,9)</f>
        <v>1019.7954435575084</v>
      </c>
      <c r="Q17" s="86">
        <f>HLOOKUP(Q16,'Output -Jobs vs Yr'!$H$175:$AH$184,9)</f>
        <v>1744.3981893546152</v>
      </c>
    </row>
    <row r="18" spans="2:17" ht="15" thickBot="1">
      <c r="B18" s="4" t="s">
        <v>354</v>
      </c>
      <c r="C18" s="195">
        <f>D18*$C$11/$D$11</f>
        <v>2.3840094138295917E-8</v>
      </c>
      <c r="D18" s="126">
        <f>'Output - Jobs vs Yr (BAU)'!N15/'Output -Jobs vs Yr'!$N$14</f>
        <v>2.1479650003348912E-8</v>
      </c>
      <c r="E18" s="105">
        <f t="shared" si="0"/>
        <v>1.9866745115246602E-7</v>
      </c>
      <c r="F18" s="172">
        <f t="shared" ref="F18:F23" si="2">C18*$C$12/$C$11</f>
        <v>2.9800117672869897E-8</v>
      </c>
      <c r="G18" s="105">
        <f>'Output - Jobs vs Yr (BAU)'!X15/'Output - Jobs vs Yr (BAU)'!X24</f>
        <v>1.9263282197134672E-8</v>
      </c>
      <c r="H18" s="105">
        <f t="shared" si="1"/>
        <v>1.8825616765542304E-7</v>
      </c>
      <c r="I18" s="172">
        <f t="shared" ref="I18:I24" si="3">F18*$C$13/$C$12</f>
        <v>3.9733490230493203E-8</v>
      </c>
      <c r="J18" s="105">
        <f>'Output - Jobs vs Yr (BAU)'!AH15/'Output - Jobs vs Yr (BAU)'!AH24</f>
        <v>1.7592535057024887E-8</v>
      </c>
      <c r="K18" s="105">
        <f t="shared" ref="K18:K24" si="4">J18/$J$24</f>
        <v>1.7031636109576071E-7</v>
      </c>
      <c r="L18" s="105"/>
      <c r="M18" s="46" t="s">
        <v>260</v>
      </c>
      <c r="N18" s="87">
        <f>HLOOKUP(N16,'Output -Jobs vs Yr'!$H$175:$AH$184,10)</f>
        <v>392.91765348264016</v>
      </c>
      <c r="O18" s="87">
        <f>HLOOKUP(O16,'Output -Jobs vs Yr'!$H$175:$AH$184,10)</f>
        <v>806.20770206132147</v>
      </c>
      <c r="P18" s="87">
        <f>HLOOKUP(P16,'Output -Jobs vs Yr'!$H$175:$AH$184,10)</f>
        <v>917.81528856722434</v>
      </c>
      <c r="Q18" s="87">
        <f>HLOOKUP(Q16,'Output -Jobs vs Yr'!$H$175:$AH$184,10)</f>
        <v>1569.957938370193</v>
      </c>
    </row>
    <row r="19" spans="2:17" ht="15" thickBot="1">
      <c r="B19" s="4" t="s">
        <v>355</v>
      </c>
      <c r="C19" s="195">
        <f>D19*$C$11/$D$11</f>
        <v>1.171581613469342E-7</v>
      </c>
      <c r="D19" s="126">
        <f>'Output - Jobs vs Yr (BAU)'!N11/'Output -Jobs vs Yr'!$N$14</f>
        <v>1.0555815283990767E-7</v>
      </c>
      <c r="E19" s="105">
        <f t="shared" si="0"/>
        <v>9.7631801122445196E-7</v>
      </c>
      <c r="F19" s="172">
        <f t="shared" si="2"/>
        <v>1.4644770168366776E-7</v>
      </c>
      <c r="G19" s="105">
        <f>'Output - Jobs vs Yr (BAU)'!X11/'Output - Jobs vs Yr (BAU)'!X24</f>
        <v>1.1229353134623444E-7</v>
      </c>
      <c r="H19" s="105">
        <f t="shared" si="1"/>
        <v>1.0974220097798643E-6</v>
      </c>
      <c r="I19" s="172">
        <f t="shared" si="3"/>
        <v>1.9526360224489036E-7</v>
      </c>
      <c r="J19" s="105">
        <f>'Output - Jobs vs Yr (BAU)'!AH11/'Output - Jobs vs Yr (BAU)'!AH24</f>
        <v>1.0604046523662724E-7</v>
      </c>
      <c r="K19" s="105">
        <f t="shared" si="4"/>
        <v>1.0265960027626686E-6</v>
      </c>
      <c r="L19" s="105"/>
      <c r="M19" s="46" t="s">
        <v>261</v>
      </c>
      <c r="N19" s="87">
        <f>HLOOKUP(N16,'Output -Jobs vs Yr'!$H$175:$AH$184,8)</f>
        <v>829.49315698652936</v>
      </c>
      <c r="O19" s="87">
        <f>HLOOKUP(O16,'Output -Jobs vs Yr'!$H$175:$AH$184,8)</f>
        <v>1701.9945020825107</v>
      </c>
      <c r="P19" s="87">
        <f>HLOOKUP(P16,'Output -Jobs vs Yr'!$H$175:$AH$184,8)</f>
        <v>1937.61073212474</v>
      </c>
      <c r="Q19" s="87">
        <f>HLOOKUP(Q16,'Output -Jobs vs Yr'!$H$175:$AH$184,8)</f>
        <v>3314.3561277248082</v>
      </c>
    </row>
    <row r="20" spans="2:17" ht="15" thickBot="1">
      <c r="B20" s="4" t="s">
        <v>51</v>
      </c>
      <c r="C20" s="195">
        <f>D20*$C$11/$D$11</f>
        <v>1.9139024053280243E-3</v>
      </c>
      <c r="D20" s="126">
        <f>'Output - Jobs vs Yr (BAU)'!N12/'Output -Jobs vs Yr'!$N$14</f>
        <v>1.7244040048053316E-3</v>
      </c>
      <c r="E20" s="105">
        <f t="shared" si="0"/>
        <v>1.5949186711066873E-2</v>
      </c>
      <c r="F20" s="172">
        <f t="shared" si="2"/>
        <v>2.3923780066600303E-3</v>
      </c>
      <c r="G20" s="105">
        <f>'Output - Jobs vs Yr (BAU)'!X12/'Output - Jobs vs Yr (BAU)'!X24</f>
        <v>1.5427661949017548E-3</v>
      </c>
      <c r="H20" s="105">
        <f t="shared" si="1"/>
        <v>1.5077142538240173E-2</v>
      </c>
      <c r="I20" s="172">
        <f t="shared" si="3"/>
        <v>3.189837342213374E-3</v>
      </c>
      <c r="J20" s="105">
        <f>'Output - Jobs vs Yr (BAU)'!AH12/'Output - Jobs vs Yr (BAU)'!AH24</f>
        <v>1.4748014395276939E-3</v>
      </c>
      <c r="K20" s="105">
        <f t="shared" si="4"/>
        <v>1.4277806677943577E-2</v>
      </c>
      <c r="L20" s="105"/>
      <c r="M20" s="47" t="s">
        <v>459</v>
      </c>
      <c r="N20" s="88">
        <f>HLOOKUP(N16,'Output -Jobs vs Yr'!$H$175:$AH$188,11)-HLOOKUP(N16,'Output -Jobs vs Yr'!$H$175:$AH$188,14)</f>
        <v>1421.8681653878157</v>
      </c>
      <c r="O20" s="88">
        <f>HLOOKUP(O16,'Output -Jobs vs Yr'!$H$175:$AH$188,11)-HLOOKUP(O16,'Output -Jobs vs Yr'!$H$175:$AH$188,14)</f>
        <v>20202.497398441657</v>
      </c>
      <c r="P20" s="88">
        <f>HLOOKUP(P16,'Output -Jobs vs Yr'!$H$175:$AH$188,11)-HLOOKUP(P16,'Output -Jobs vs Yr'!$H$175:$AH$188,14)</f>
        <v>64772.551260413136</v>
      </c>
      <c r="Q20" s="88">
        <f>HLOOKUP(Q16,'Output -Jobs vs Yr'!$H$175:$AH$188,11)-HLOOKUP(Q16,'Output -Jobs vs Yr'!$H$175:$AH$188,14)</f>
        <v>23516.853526166466</v>
      </c>
    </row>
    <row r="21" spans="2:17" ht="15" thickBot="1">
      <c r="B21" t="s">
        <v>356</v>
      </c>
      <c r="C21" s="195">
        <f t="shared" ref="C21:C23" si="5">D21*$C$11/$D$11</f>
        <v>2.3985971674328152E-3</v>
      </c>
      <c r="D21" s="126">
        <f>'Output - Jobs vs Yr (BAU)'!N13/'Output -Jobs vs Yr'!$N$14</f>
        <v>2.1611083981719404E-3</v>
      </c>
      <c r="E21" s="105">
        <f t="shared" si="0"/>
        <v>1.9988309728606799E-2</v>
      </c>
      <c r="F21" s="172">
        <f t="shared" si="2"/>
        <v>2.9982464592910193E-3</v>
      </c>
      <c r="G21" s="105">
        <f>'Output - Jobs vs Yr (BAU)'!X13/'Output - Jobs vs Yr (BAU)'!X24</f>
        <v>4.8735757219671169E-3</v>
      </c>
      <c r="H21" s="105">
        <f t="shared" si="1"/>
        <v>4.7628471555720246E-2</v>
      </c>
      <c r="I21" s="172">
        <f t="shared" si="3"/>
        <v>3.9976619457213593E-3</v>
      </c>
      <c r="J21" s="105">
        <f>'Output - Jobs vs Yr (BAU)'!AH13/'Output - Jobs vs Yr (BAU)'!AH24</f>
        <v>1.0688360507177022E-2</v>
      </c>
      <c r="K21" s="105">
        <f t="shared" si="4"/>
        <v>0.1034758584684544</v>
      </c>
      <c r="L21" s="105"/>
      <c r="N21" s="160"/>
    </row>
    <row r="22" spans="2:17" ht="15" thickBot="1">
      <c r="B22" s="4" t="s">
        <v>357</v>
      </c>
      <c r="C22" s="195">
        <f t="shared" si="5"/>
        <v>2.3840094138295915E-7</v>
      </c>
      <c r="D22" s="126">
        <f>'Output - Jobs vs Yr (BAU)'!N14/'Output -Jobs vs Yr'!$N$14</f>
        <v>2.1479650003348912E-7</v>
      </c>
      <c r="E22" s="105">
        <f t="shared" si="0"/>
        <v>1.9866745115246602E-6</v>
      </c>
      <c r="F22" s="172">
        <f t="shared" si="2"/>
        <v>2.9800117672869898E-7</v>
      </c>
      <c r="G22" s="105">
        <f>'Output - Jobs vs Yr (BAU)'!X14/'Output - Jobs vs Yr (BAU)'!X24</f>
        <v>1.9263282197134672E-7</v>
      </c>
      <c r="H22" s="105">
        <f t="shared" si="1"/>
        <v>1.8825616765542303E-6</v>
      </c>
      <c r="I22" s="172">
        <f t="shared" si="3"/>
        <v>3.9733490230493204E-7</v>
      </c>
      <c r="J22" s="105">
        <f>'Output - Jobs vs Yr (BAU)'!AH14/'Output - Jobs vs Yr (BAU)'!AH24</f>
        <v>1.7592535057024887E-7</v>
      </c>
      <c r="K22" s="105">
        <f t="shared" si="4"/>
        <v>1.7031636109576071E-6</v>
      </c>
      <c r="L22" s="105"/>
      <c r="O22" t="s">
        <v>0</v>
      </c>
    </row>
    <row r="23" spans="2:17" ht="15" thickBot="1">
      <c r="B23" t="s">
        <v>358</v>
      </c>
      <c r="C23" s="195">
        <f t="shared" si="5"/>
        <v>0.1124566873740432</v>
      </c>
      <c r="D23" s="126">
        <f>'Output - Jobs vs Yr (BAU)'!N16/'Output -Jobs vs Yr'!$N$14</f>
        <v>0.10132217898629221</v>
      </c>
      <c r="E23" s="105">
        <f t="shared" si="0"/>
        <v>0.93713906145036019</v>
      </c>
      <c r="F23" s="172">
        <f t="shared" si="2"/>
        <v>0.140570859217554</v>
      </c>
      <c r="G23" s="105">
        <f>'Output - Jobs vs Yr (BAU)'!X16/'Output - Jobs vs Yr (BAU)'!X24</f>
        <v>9.1145582785590956E-2</v>
      </c>
      <c r="H23" s="105">
        <f t="shared" si="1"/>
        <v>0.89074737826805728</v>
      </c>
      <c r="I23" s="172">
        <f t="shared" si="3"/>
        <v>0.18742781229007199</v>
      </c>
      <c r="J23" s="105">
        <f>'Output - Jobs vs Yr (BAU)'!AH16/'Output - Jobs vs Yr (BAU)'!AH24</f>
        <v>8.6031841257234717E-2</v>
      </c>
      <c r="K23" s="105">
        <f t="shared" si="4"/>
        <v>0.8328890687899696</v>
      </c>
      <c r="L23" s="105"/>
      <c r="M23" s="44"/>
      <c r="N23" s="197"/>
      <c r="O23" t="s">
        <v>0</v>
      </c>
    </row>
    <row r="24" spans="2:17">
      <c r="B24" s="108" t="s">
        <v>370</v>
      </c>
      <c r="C24" s="137">
        <f t="shared" ref="C24:H24" si="6">SUM(C17:C23)</f>
        <v>0.11999999999999997</v>
      </c>
      <c r="D24" s="205">
        <f t="shared" si="6"/>
        <v>0.10811861670719528</v>
      </c>
      <c r="E24" s="200">
        <f t="shared" si="6"/>
        <v>1</v>
      </c>
      <c r="F24" s="200">
        <f t="shared" si="6"/>
        <v>0.14999999999999997</v>
      </c>
      <c r="G24" s="200">
        <f t="shared" si="6"/>
        <v>0.10232483980229246</v>
      </c>
      <c r="H24" s="105">
        <f t="shared" si="6"/>
        <v>1</v>
      </c>
      <c r="I24" s="172">
        <f t="shared" si="3"/>
        <v>0.19999999999999998</v>
      </c>
      <c r="J24" s="105">
        <f>SUM(J17:J23)</f>
        <v>0.10329327695730564</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12%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0.10583393979478367</v>
      </c>
      <c r="D28" s="105">
        <f>('Output - Jobs vs Yr (BAU)'!N8+'Output - Jobs vs Yr (BAU)'!N7)/'Output -Jobs vs Yr'!N14</f>
        <v>0.10583393979478367</v>
      </c>
      <c r="E28" s="136" t="s">
        <v>0</v>
      </c>
      <c r="F28" s="98"/>
      <c r="G28" s="98" t="s">
        <v>0</v>
      </c>
      <c r="H28" s="135" t="s">
        <v>0</v>
      </c>
      <c r="I28" s="135"/>
      <c r="J28" s="135"/>
      <c r="K28" s="135"/>
      <c r="L28" s="135"/>
      <c r="M28"/>
    </row>
    <row r="29" spans="2:17" ht="15" thickBot="1">
      <c r="B29" t="s">
        <v>372</v>
      </c>
      <c r="C29" s="278">
        <f>D29</f>
        <v>9.4949331769899545E-2</v>
      </c>
      <c r="D29" s="105">
        <f>('Output - Jobs vs Yr (BAU)'!X8+'Output - Jobs vs Yr (BAU)'!X7)/'Output -Jobs vs Yr'!X14</f>
        <v>9.4949331769899545E-2</v>
      </c>
      <c r="E29" s="107"/>
      <c r="F29" s="98"/>
      <c r="G29" s="96"/>
      <c r="H29"/>
      <c r="I29"/>
      <c r="J29"/>
      <c r="K29"/>
      <c r="L29"/>
    </row>
    <row r="30" spans="2:17" ht="15" thickBot="1">
      <c r="B30" t="s">
        <v>580</v>
      </c>
      <c r="C30" s="210">
        <f>D30</f>
        <v>8.6694276770710746E-2</v>
      </c>
      <c r="D30" s="105">
        <f>('Output - Jobs vs Yr (BAU)'!AH8+'Output - Jobs vs Yr (BAU)'!AH7)/'Output -Jobs vs Yr'!AH14</f>
        <v>8.6694276770710746E-2</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3.5269015446558732E-3</v>
      </c>
      <c r="D35" s="105">
        <f>'Output - Jobs vs Yr (BAU)'!N7/'Output -Jobs vs Yr'!N14</f>
        <v>3.5269015446558732E-3</v>
      </c>
      <c r="E35" s="203">
        <f>C35</f>
        <v>3.5269015446558732E-3</v>
      </c>
      <c r="F35" s="200">
        <f>C35*$C$29/$C$28</f>
        <v>3.1641734733927674E-3</v>
      </c>
      <c r="G35" s="204">
        <f>'Output - Jobs vs Yr (BAU)'!X7/'Output - Jobs vs Yr (BAU)'!X24</f>
        <v>3.2602407071286666E-3</v>
      </c>
      <c r="H35" s="200">
        <f>F35*$C$30/$C$29</f>
        <v>2.8890748964682678E-3</v>
      </c>
      <c r="I35" s="204">
        <f>'Output - Jobs vs Yr (BAU)'!AH7/'Output - Jobs vs Yr (BAU)'!AH24</f>
        <v>3.0191902207231712E-3</v>
      </c>
      <c r="J35"/>
      <c r="K35"/>
      <c r="L35"/>
    </row>
    <row r="36" spans="1:18" ht="15" thickBot="1">
      <c r="B36" s="4" t="s">
        <v>365</v>
      </c>
      <c r="C36" s="209">
        <f>D36</f>
        <v>0.10230703825012781</v>
      </c>
      <c r="D36" s="105">
        <f>'Output - Jobs vs Yr (BAU)'!N8/'Output -Jobs vs Yr'!N14</f>
        <v>0.10230703825012781</v>
      </c>
      <c r="E36" s="203">
        <f>C36</f>
        <v>0.10230703825012781</v>
      </c>
      <c r="F36" s="200">
        <f>C36*$C$29/$C$28</f>
        <v>9.1785158296506797E-2</v>
      </c>
      <c r="G36" s="204">
        <f>'Output - Jobs vs Yr (BAU)'!X8/'Output - Jobs vs Yr (BAU)'!X24</f>
        <v>9.1750532032434398E-2</v>
      </c>
      <c r="H36" s="200">
        <f>F36*$C$30/$C$29</f>
        <v>8.3805201874242494E-2</v>
      </c>
      <c r="I36" s="204">
        <f>'Output - Jobs vs Yr (BAU)'!AH8/'Output - Jobs vs Yr (BAU)'!AH24</f>
        <v>8.3792805128576744E-2</v>
      </c>
      <c r="J36"/>
      <c r="K36"/>
      <c r="L36"/>
    </row>
    <row r="37" spans="1:18">
      <c r="B37" s="4" t="s">
        <v>369</v>
      </c>
      <c r="C37" s="138">
        <f>SUM(C35:C36)+'Output -Jobs vs Yr'!N30/'Output -Jobs vs Yr'!N49</f>
        <v>0.10583393979478369</v>
      </c>
      <c r="D37" s="105">
        <f>SUM(D34:D36)</f>
        <v>0.10583393979478369</v>
      </c>
      <c r="E37" s="203">
        <f>SUM(E34:E36)</f>
        <v>0.10583393979478369</v>
      </c>
      <c r="F37" s="203">
        <f>SUM(F34:F36)</f>
        <v>9.4949331769899559E-2</v>
      </c>
      <c r="G37" s="203">
        <f>SUM(G34:G36)</f>
        <v>9.5010772739563071E-2</v>
      </c>
      <c r="H37" s="200">
        <f>C37*$C$30/$C$28</f>
        <v>8.669427677071076E-2</v>
      </c>
      <c r="I37" s="203">
        <f>SUM(I34:I36)</f>
        <v>8.6811995349299911E-2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10,6%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0.11999999999999997</v>
      </c>
      <c r="D40" s="105" t="s">
        <v>0</v>
      </c>
      <c r="E40" s="105" t="s">
        <v>0</v>
      </c>
      <c r="F40" s="105" t="s">
        <v>0</v>
      </c>
      <c r="G40" s="103" t="s">
        <v>0</v>
      </c>
      <c r="H40"/>
      <c r="I40"/>
      <c r="J40"/>
      <c r="K40"/>
      <c r="L40"/>
    </row>
    <row r="41" spans="1:18">
      <c r="B41" s="4" t="s">
        <v>375</v>
      </c>
      <c r="C41" s="105">
        <f>C24+C37</f>
        <v>0.22583393979478367</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2" t="s">
        <v>596</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298"/>
      <c r="AH78" s="298"/>
      <c r="AI78" s="298"/>
      <c r="AJ78" s="298"/>
      <c r="AK78" s="298"/>
    </row>
    <row r="79" spans="1:37" customFormat="1" ht="15" customHeight="1">
      <c r="A79" s="563" t="s">
        <v>597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297"/>
      <c r="AH79" s="297"/>
      <c r="AI79" s="297"/>
      <c r="AJ79" s="297"/>
      <c r="AK79" s="297"/>
    </row>
    <row r="80" spans="1:37" customFormat="1" ht="15" customHeight="1">
      <c r="A80" s="563" t="s">
        <v>598</v>
      </c>
      <c r="B80" s="563"/>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297"/>
      <c r="AH80" s="297"/>
      <c r="AI80" s="297"/>
      <c r="AJ80" s="297"/>
      <c r="AK80" s="297"/>
    </row>
    <row r="81" spans="1:37" customFormat="1" ht="15" customHeight="1">
      <c r="A81" s="563" t="s">
        <v>599</v>
      </c>
      <c r="B81" s="563"/>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297"/>
      <c r="AH81" s="297"/>
      <c r="AI81" s="297"/>
      <c r="AJ81" s="297"/>
      <c r="AK81" s="297"/>
    </row>
    <row r="82" spans="1:37" customFormat="1" ht="15" customHeight="1">
      <c r="A82" s="563" t="s">
        <v>600</v>
      </c>
      <c r="B82" s="563"/>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297"/>
      <c r="AH82" s="297"/>
      <c r="AI82" s="297"/>
      <c r="AJ82" s="297"/>
      <c r="AK82" s="297"/>
    </row>
    <row r="83" spans="1:37" customFormat="1" ht="15" customHeight="1">
      <c r="A83" s="563" t="s">
        <v>601</v>
      </c>
      <c r="B83" s="563"/>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297"/>
      <c r="AH83" s="297"/>
      <c r="AI83" s="297"/>
      <c r="AJ83" s="297"/>
      <c r="AK83" s="297"/>
    </row>
    <row r="84" spans="1:37" customFormat="1" ht="15" customHeight="1">
      <c r="A84" s="563" t="s">
        <v>602</v>
      </c>
      <c r="B84" s="563"/>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297"/>
      <c r="AH84" s="297"/>
      <c r="AI84" s="297"/>
      <c r="AJ84" s="297"/>
      <c r="AK84" s="297"/>
    </row>
    <row r="85" spans="1:37" customFormat="1" ht="15" customHeight="1">
      <c r="A85" s="563" t="s">
        <v>603</v>
      </c>
      <c r="B85" s="563"/>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297"/>
      <c r="AH85" s="297"/>
      <c r="AI85" s="297"/>
      <c r="AJ85" s="297"/>
      <c r="AK85" s="297"/>
    </row>
    <row r="86" spans="1:37" customFormat="1" ht="15" customHeight="1">
      <c r="A86" s="563" t="s">
        <v>604</v>
      </c>
      <c r="B86" s="563"/>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297"/>
      <c r="AH86" s="297"/>
      <c r="AI86" s="297"/>
      <c r="AJ86" s="297"/>
      <c r="AK86" s="297"/>
    </row>
    <row r="87" spans="1:37" customFormat="1" ht="15" customHeight="1">
      <c r="A87" s="563" t="s">
        <v>605</v>
      </c>
      <c r="B87" s="563"/>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297"/>
      <c r="AH87" s="297"/>
      <c r="AI87" s="297"/>
      <c r="AJ87" s="297"/>
      <c r="AK87" s="297"/>
    </row>
    <row r="88" spans="1:37" customFormat="1" ht="15" customHeight="1">
      <c r="A88" s="563" t="s">
        <v>606</v>
      </c>
      <c r="B88" s="56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297"/>
      <c r="AH88" s="297"/>
      <c r="AI88" s="297"/>
      <c r="AJ88" s="297"/>
      <c r="AK88" s="297"/>
    </row>
    <row r="89" spans="1:37" customFormat="1" ht="15" customHeight="1">
      <c r="A89" s="563" t="s">
        <v>607</v>
      </c>
      <c r="B89" s="563"/>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297"/>
      <c r="AH89" s="297"/>
      <c r="AI89" s="297"/>
      <c r="AJ89" s="297"/>
      <c r="AK89" s="297"/>
    </row>
    <row r="90" spans="1:37" customFormat="1" ht="15" customHeight="1">
      <c r="A90" s="563" t="s">
        <v>608</v>
      </c>
      <c r="B90" s="56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297"/>
      <c r="AH90" s="297"/>
      <c r="AI90" s="297"/>
      <c r="AJ90" s="297"/>
      <c r="AK90" s="297"/>
    </row>
    <row r="91" spans="1:37" customFormat="1" ht="15" customHeight="1">
      <c r="A91" s="563" t="s">
        <v>609</v>
      </c>
      <c r="B91" s="563"/>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297"/>
      <c r="AH91" s="297"/>
      <c r="AI91" s="297"/>
      <c r="AJ91" s="297"/>
      <c r="AK91" s="297"/>
    </row>
    <row r="92" spans="1:37" customFormat="1" ht="15" customHeight="1">
      <c r="A92" s="563" t="s">
        <v>610</v>
      </c>
      <c r="B92" s="56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297"/>
      <c r="AH92" s="297"/>
      <c r="AI92" s="297"/>
      <c r="AJ92" s="297"/>
      <c r="AK92" s="297"/>
    </row>
    <row r="93" spans="1:37" customFormat="1" ht="15" customHeight="1">
      <c r="A93" s="563" t="s">
        <v>611</v>
      </c>
      <c r="B93" s="563"/>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297"/>
      <c r="AH93" s="297"/>
      <c r="AI93" s="297"/>
      <c r="AJ93" s="297"/>
      <c r="AK93" s="297"/>
    </row>
    <row r="94" spans="1:37" customFormat="1" ht="15" customHeight="1">
      <c r="A94" s="563" t="s">
        <v>612</v>
      </c>
      <c r="B94" s="563"/>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c r="AG94" s="297"/>
      <c r="AH94" s="297"/>
      <c r="AI94" s="297"/>
      <c r="AJ94" s="297"/>
      <c r="AK94" s="297"/>
    </row>
    <row r="95" spans="1:37" customFormat="1" ht="15" customHeight="1">
      <c r="A95" s="563" t="s">
        <v>613</v>
      </c>
      <c r="B95" s="563"/>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297"/>
      <c r="AH95" s="297"/>
      <c r="AI95" s="297"/>
      <c r="AJ95" s="297"/>
      <c r="AK95" s="297"/>
    </row>
    <row r="96" spans="1:37" customFormat="1" ht="15" customHeight="1">
      <c r="A96" s="563" t="s">
        <v>614</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297"/>
      <c r="AH96" s="297"/>
      <c r="AI96" s="297"/>
      <c r="AJ96" s="297"/>
      <c r="AK96" s="297"/>
    </row>
    <row r="97" spans="1:37" customFormat="1" ht="15" customHeight="1">
      <c r="A97" s="563" t="s">
        <v>615</v>
      </c>
      <c r="B97" s="563"/>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297"/>
      <c r="AH97" s="297"/>
      <c r="AI97" s="297"/>
      <c r="AJ97" s="297"/>
      <c r="AK97" s="297"/>
    </row>
    <row r="98" spans="1:37" customFormat="1" ht="15" customHeight="1">
      <c r="A98" s="563" t="s">
        <v>616</v>
      </c>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297"/>
      <c r="AH98" s="297"/>
      <c r="AI98" s="297"/>
      <c r="AJ98" s="297"/>
      <c r="AK98" s="297"/>
    </row>
    <row r="99" spans="1:37" customFormat="1" ht="15" customHeight="1">
      <c r="A99" s="563" t="s">
        <v>617</v>
      </c>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297"/>
      <c r="AH99" s="297"/>
      <c r="AI99" s="297"/>
      <c r="AJ99" s="297"/>
      <c r="AK99" s="297"/>
    </row>
    <row r="100" spans="1:37" customFormat="1" ht="15" customHeight="1">
      <c r="A100" s="563" t="s">
        <v>618</v>
      </c>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c r="AG100" s="297"/>
      <c r="AH100" s="297"/>
      <c r="AI100" s="297"/>
      <c r="AJ100" s="297"/>
      <c r="AK100" s="297"/>
    </row>
    <row r="101" spans="1:37" customFormat="1" ht="15" customHeight="1">
      <c r="A101" s="563" t="s">
        <v>619</v>
      </c>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297"/>
      <c r="AH101" s="297"/>
      <c r="AI101" s="297"/>
      <c r="AJ101" s="297"/>
      <c r="AK101" s="297"/>
    </row>
    <row r="102" spans="1:37" customFormat="1" ht="15" customHeight="1">
      <c r="A102" s="563" t="s">
        <v>620</v>
      </c>
      <c r="B102" s="563"/>
      <c r="C102" s="563"/>
      <c r="D102" s="563"/>
      <c r="E102" s="563"/>
      <c r="F102" s="563"/>
      <c r="G102" s="563"/>
      <c r="H102" s="563"/>
      <c r="I102" s="563"/>
      <c r="J102" s="563"/>
      <c r="K102" s="563"/>
      <c r="L102" s="563"/>
      <c r="M102" s="563"/>
      <c r="N102" s="563"/>
      <c r="O102" s="563"/>
      <c r="P102" s="563"/>
      <c r="Q102" s="563"/>
      <c r="R102" s="563"/>
      <c r="S102" s="563"/>
      <c r="T102" s="563"/>
      <c r="U102" s="563"/>
      <c r="V102" s="563"/>
      <c r="W102" s="563"/>
      <c r="X102" s="563"/>
      <c r="Y102" s="563"/>
      <c r="Z102" s="563"/>
      <c r="AA102" s="563"/>
      <c r="AB102" s="563"/>
      <c r="AC102" s="563"/>
      <c r="AD102" s="563"/>
      <c r="AE102" s="563"/>
      <c r="AF102" s="563"/>
      <c r="AG102" s="297"/>
      <c r="AH102" s="297"/>
      <c r="AI102" s="297"/>
      <c r="AJ102" s="297"/>
      <c r="AK102" s="297"/>
    </row>
    <row r="103" spans="1:37" customFormat="1" ht="15" customHeight="1">
      <c r="A103" s="563" t="s">
        <v>621</v>
      </c>
      <c r="B103" s="563"/>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c r="AG103" s="297"/>
      <c r="AH103" s="297"/>
      <c r="AI103" s="297"/>
      <c r="AJ103" s="297"/>
      <c r="AK103" s="297"/>
    </row>
    <row r="104" spans="1:37" customFormat="1" ht="15" customHeight="1">
      <c r="A104" s="563" t="s">
        <v>622</v>
      </c>
      <c r="B104" s="563"/>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c r="AG104" s="297"/>
      <c r="AH104" s="297"/>
      <c r="AI104" s="297"/>
      <c r="AJ104" s="297"/>
      <c r="AK104" s="297"/>
    </row>
    <row r="105" spans="1:37" customFormat="1" ht="15" customHeight="1">
      <c r="A105" s="563" t="s">
        <v>623</v>
      </c>
      <c r="B105" s="563"/>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297"/>
      <c r="AH105" s="297"/>
      <c r="AI105" s="297"/>
      <c r="AJ105" s="297"/>
      <c r="AK105" s="297"/>
    </row>
    <row r="106" spans="1:37" customFormat="1" ht="15" customHeight="1">
      <c r="A106" s="563" t="s">
        <v>624</v>
      </c>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297"/>
      <c r="AH106" s="297"/>
      <c r="AI106" s="297"/>
      <c r="AJ106" s="297"/>
      <c r="AK106" s="297"/>
    </row>
    <row r="107" spans="1:37" customFormat="1" ht="15" customHeight="1">
      <c r="A107" s="563" t="s">
        <v>625</v>
      </c>
      <c r="B107" s="563"/>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c r="AG107" s="297"/>
      <c r="AH107" s="297"/>
      <c r="AI107" s="297"/>
      <c r="AJ107" s="297"/>
      <c r="AK107" s="297"/>
    </row>
    <row r="108" spans="1:37" customFormat="1" ht="15" customHeight="1">
      <c r="A108" s="563" t="s">
        <v>626</v>
      </c>
      <c r="B108" s="563"/>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297"/>
      <c r="AH108" s="297"/>
      <c r="AI108" s="297"/>
      <c r="AJ108" s="297"/>
      <c r="AK108" s="297"/>
    </row>
    <row r="109" spans="1:37" customFormat="1" ht="15" customHeight="1">
      <c r="A109" s="563" t="s">
        <v>627</v>
      </c>
      <c r="B109" s="563"/>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297"/>
      <c r="AH109" s="297"/>
      <c r="AI109" s="297"/>
      <c r="AJ109" s="297"/>
      <c r="AK109" s="297"/>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42"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3"/>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row>
    <row r="2" spans="1:38" hidden="1">
      <c r="A2" s="533"/>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38" hidden="1">
      <c r="A3" s="533"/>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row>
    <row r="4" spans="1:38" hidden="1">
      <c r="A4" s="533"/>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row>
    <row r="5" spans="1:38" hidden="1">
      <c r="A5" s="533"/>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row>
    <row r="6" spans="1:38" hidden="1">
      <c r="A6" s="533"/>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row>
    <row r="7" spans="1:38" ht="23.25" hidden="1" customHeight="1">
      <c r="A7" s="533"/>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row>
    <row r="8" spans="1:38" s="159" customFormat="1" ht="15.75" hidden="1" customHeight="1">
      <c r="A8" s="533"/>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row>
    <row r="9" spans="1:38" ht="21" hidden="1" customHeight="1">
      <c r="A9" s="533"/>
      <c r="B9" s="533"/>
      <c r="C9" s="533"/>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393518.99999999994</v>
      </c>
      <c r="D13" s="330">
        <f>EIA_electricity_aeo2014!F58*1000</f>
        <v>408404</v>
      </c>
      <c r="E13" s="330">
        <f>EIA_electricity_aeo2014!G58*1000</f>
        <v>414430.90443315025</v>
      </c>
      <c r="F13" s="330">
        <f>EIA_electricity_aeo2014!H58*1000</f>
        <v>434412.84365677222</v>
      </c>
      <c r="G13" s="330">
        <f>EIA_electricity_aeo2014!I58*1000</f>
        <v>418550.75385692972</v>
      </c>
      <c r="H13" s="286">
        <f>EIA_electricity_aeo2014!J58*1000</f>
        <v>413292.0573437899</v>
      </c>
      <c r="I13" s="83">
        <f>EIA_electricity_aeo2014!K58*1000</f>
        <v>432552.50849378924</v>
      </c>
      <c r="J13" s="83">
        <f>EIA_electricity_aeo2014!L58*1000</f>
        <v>455173.74826287339</v>
      </c>
      <c r="K13" s="83">
        <f>EIA_electricity_aeo2014!M58*1000</f>
        <v>452709.90307321772</v>
      </c>
      <c r="L13" s="83">
        <f>EIA_electricity_aeo2014!N58*1000</f>
        <v>453735.74752142973</v>
      </c>
      <c r="M13" s="83">
        <f>EIA_electricity_aeo2014!O58*1000</f>
        <v>458919.08528468653</v>
      </c>
      <c r="N13" s="177">
        <f>EIA_electricity_aeo2014!P58*1000</f>
        <v>465556.93404878065</v>
      </c>
      <c r="O13" s="83">
        <f>EIA_electricity_aeo2014!Q58*1000</f>
        <v>470361.27852979384</v>
      </c>
      <c r="P13" s="83">
        <f>EIA_electricity_aeo2014!R58*1000</f>
        <v>476520.54623611778</v>
      </c>
      <c r="Q13" s="83">
        <f>EIA_electricity_aeo2014!S58*1000</f>
        <v>486096.64108078991</v>
      </c>
      <c r="R13" s="83">
        <f>EIA_electricity_aeo2014!T58*1000</f>
        <v>493709.06604849553</v>
      </c>
      <c r="S13" s="83">
        <f>EIA_electricity_aeo2014!U58*1000</f>
        <v>498515.09972101939</v>
      </c>
      <c r="T13" s="83">
        <f>EIA_electricity_aeo2014!V58*1000</f>
        <v>502837.84777395951</v>
      </c>
      <c r="U13" s="83">
        <f>EIA_electricity_aeo2014!W58*1000</f>
        <v>507228.9489346217</v>
      </c>
      <c r="V13" s="83">
        <f>EIA_electricity_aeo2014!X58*1000</f>
        <v>512300.56071691477</v>
      </c>
      <c r="W13" s="83">
        <f>EIA_electricity_aeo2014!Y58*1000</f>
        <v>514620.21177333995</v>
      </c>
      <c r="X13" s="184">
        <f>EIA_electricity_aeo2014!Z58*1000</f>
        <v>519458.25323807378</v>
      </c>
      <c r="Y13" s="174">
        <f>EIA_electricity_aeo2014!AA58*1000</f>
        <v>521743.86636323563</v>
      </c>
      <c r="Z13" s="174">
        <f>EIA_electricity_aeo2014!AB58*1000</f>
        <v>525257.33403785992</v>
      </c>
      <c r="AA13" s="174">
        <f>EIA_electricity_aeo2014!AC58*1000</f>
        <v>527797.72518713772</v>
      </c>
      <c r="AB13" s="174">
        <f>EIA_electricity_aeo2014!AD58*1000</f>
        <v>531394.12216817797</v>
      </c>
      <c r="AC13" s="174">
        <f>EIA_electricity_aeo2014!AE58*1000</f>
        <v>536750.52039596776</v>
      </c>
      <c r="AD13" s="174">
        <f>EIA_electricity_aeo2014!AF58*1000</f>
        <v>541459.88818756049</v>
      </c>
      <c r="AE13" s="174">
        <f>EIA_electricity_aeo2014!AG58*1000</f>
        <v>548903.45268157544</v>
      </c>
      <c r="AF13" s="174">
        <f>EIA_electricity_aeo2014!AH58*1000</f>
        <v>557036.62837939162</v>
      </c>
      <c r="AG13" s="174">
        <f>EIA_electricity_aeo2014!AI58*1000</f>
        <v>563681.86258556205</v>
      </c>
      <c r="AH13" s="184">
        <f>EIA_electricity_aeo2014!AJ58*1000</f>
        <v>569194.74962619529</v>
      </c>
      <c r="AI13" s="115">
        <f>X13/C13-1</f>
        <v>0.32003347548167649</v>
      </c>
      <c r="AJ13" s="165">
        <f>(1+AJ11)^21-1</f>
        <v>0.24007814276920247</v>
      </c>
      <c r="AK13" s="168">
        <f>(1+AK11)^21-1</f>
        <v>0.11389489977934208</v>
      </c>
      <c r="AL13" s="121"/>
    </row>
    <row r="14" spans="1:38" s="20" customFormat="1">
      <c r="A14" s="20" t="s">
        <v>131</v>
      </c>
      <c r="B14" s="33"/>
      <c r="C14" s="330">
        <f>EIA_electricity_aeo2014!E58 * 1000</f>
        <v>393518.99999999994</v>
      </c>
      <c r="D14" s="330">
        <f>IF(Inputs!$C$7="BAU",'Output -Jobs vs Yr'!D13,C14+($X$14-$C$14)/($X$11-$C$11) )</f>
        <v>408404</v>
      </c>
      <c r="E14" s="330">
        <f>IF(Inputs!$C$7="BAU",'Output -Jobs vs Yr'!E13,D14+($X$14-$C$14)/($X$11-$C$11) )</f>
        <v>414430.90443315025</v>
      </c>
      <c r="F14" s="330">
        <f>IF(Inputs!$C$7="BAU",'Output -Jobs vs Yr'!F13,E14+($X$14-$C$14)/($X$11-$C$11) )</f>
        <v>434412.84365677222</v>
      </c>
      <c r="G14" s="330">
        <f>IF(Inputs!$C$7="BAU",'Output -Jobs vs Yr'!G13,F14+($X$14-$C$14)/($X$11-$C$11) )</f>
        <v>418550.75385692972</v>
      </c>
      <c r="H14" s="286">
        <f>EIA_electricity_aeo2014!J58*1000</f>
        <v>413292.0573437899</v>
      </c>
      <c r="I14" s="83">
        <f>IF(Inputs!$C$7="BAU",'Output -Jobs vs Yr'!I13,H14+($X$14-$C$14)/($X$11-$C$11) )</f>
        <v>432552.50849378924</v>
      </c>
      <c r="J14" s="83">
        <f>IF(Inputs!$C$7="BAU",'Output -Jobs vs Yr'!J13,I14+($X$14-$C$14)/($X$11-$C$11) )</f>
        <v>455173.74826287339</v>
      </c>
      <c r="K14" s="83">
        <f>IF(Inputs!$C$7="BAU",'Output -Jobs vs Yr'!K13,J14+($X$14-$C$14)/($X$11-$C$11) )</f>
        <v>452709.90307321772</v>
      </c>
      <c r="L14" s="83">
        <f>IF(Inputs!$C$7="BAU",'Output -Jobs vs Yr'!L13,K14+($X$14-$C$14)/($X$11-$C$11) )</f>
        <v>453735.74752142973</v>
      </c>
      <c r="M14" s="83">
        <f>IF(Inputs!$C$7="BAU",'Output -Jobs vs Yr'!M13,L14+($X$14-$C$14)/($X$11-$C$11) )</f>
        <v>458919.08528468653</v>
      </c>
      <c r="N14" s="177">
        <f>IF(Inputs!$C$7="BAU",'Output -Jobs vs Yr'!N13,M14+($X$14-$C$14)/($X$11-$C$11) )</f>
        <v>465556.93404878065</v>
      </c>
      <c r="O14" s="83">
        <f>IF(Inputs!$C$7="BAU",'Output -Jobs vs Yr'!O13,N14+($X$14-$C$14)/($X$11-$C$11) )</f>
        <v>470361.27852979384</v>
      </c>
      <c r="P14" s="83">
        <f>IF(Inputs!$C$7="BAU",'Output -Jobs vs Yr'!P13,O14+($X$14-$C$14)/($X$11-$C$11) )</f>
        <v>476520.54623611778</v>
      </c>
      <c r="Q14" s="83">
        <f>IF(Inputs!$C$7="BAU",'Output -Jobs vs Yr'!Q13,P14+($X$14-$C$14)/($X$11-$C$11) )</f>
        <v>486096.64108078991</v>
      </c>
      <c r="R14" s="83">
        <f>IF(Inputs!$C$7="BAU",'Output -Jobs vs Yr'!R13,Q14+($X$14-$C$14)/($X$11-$C$11) )</f>
        <v>493709.06604849553</v>
      </c>
      <c r="S14" s="83">
        <f>IF(Inputs!$C$7="BAU",'Output -Jobs vs Yr'!S13,R14+($X$14-$C$14)/($X$11-$C$11) )</f>
        <v>498515.09972101939</v>
      </c>
      <c r="T14" s="83">
        <f>IF(Inputs!$C$7="BAU",'Output -Jobs vs Yr'!T13,S14+($X$14-$C$14)/($X$11-$C$11) )</f>
        <v>502837.84777395951</v>
      </c>
      <c r="U14" s="83">
        <f>IF(Inputs!$C$7="BAU",'Output -Jobs vs Yr'!U13,T14+($X$14-$C$14)/($X$11-$C$11) )</f>
        <v>507228.9489346217</v>
      </c>
      <c r="V14" s="83">
        <f>IF(Inputs!$C$7="BAU",'Output -Jobs vs Yr'!V13,U14+($X$14-$C$14)/($X$11-$C$11) )</f>
        <v>512300.56071691477</v>
      </c>
      <c r="W14" s="83">
        <f>IF(Inputs!$C$7="BAU",'Output -Jobs vs Yr'!W13,V14+($X$14-$C$14)/($X$11-$C$11) )</f>
        <v>514620.21177333995</v>
      </c>
      <c r="X14" s="184">
        <f>IF(Inputs!$C$7="BAU",'Output -Jobs vs Yr'!X13,C14*(1+Inputs!C7) )</f>
        <v>519458.25323807378</v>
      </c>
      <c r="Y14" s="174">
        <f>IF(Inputs!$C$7="BAU",'Output -Jobs vs Yr'!Y13,D14*(1+Inputs!D7) )</f>
        <v>521743.86636323563</v>
      </c>
      <c r="Z14" s="174">
        <f>IF(Inputs!$C$7="BAU",'Output -Jobs vs Yr'!Z13,E14*(1+Inputs!E7) )</f>
        <v>525257.33403785992</v>
      </c>
      <c r="AA14" s="174">
        <f>IF(Inputs!$C$7="BAU",'Output -Jobs vs Yr'!AA13,F14*(1+Inputs!F7) )</f>
        <v>527797.72518713772</v>
      </c>
      <c r="AB14" s="174">
        <f>IF(Inputs!$C$7="BAU",'Output -Jobs vs Yr'!AB13,G14*(1+Inputs!G7) )</f>
        <v>531394.12216817797</v>
      </c>
      <c r="AC14" s="174">
        <f>IF(Inputs!$C$7="BAU",'Output -Jobs vs Yr'!AC13,H14*(1+Inputs!H7) )</f>
        <v>536750.52039596776</v>
      </c>
      <c r="AD14" s="174">
        <f>IF(Inputs!$C$7="BAU",'Output -Jobs vs Yr'!AD13,I14*(1+Inputs!L7) )</f>
        <v>541459.88818756049</v>
      </c>
      <c r="AE14" s="174">
        <f>IF(Inputs!$C$7="BAU",'Output -Jobs vs Yr'!AE13,J14*(1+Inputs!M7) )</f>
        <v>548903.45268157544</v>
      </c>
      <c r="AF14" s="174">
        <f>IF(Inputs!$C$7="BAU",'Output -Jobs vs Yr'!AF13,K14*(1+Inputs!N7) )</f>
        <v>557036.62837939162</v>
      </c>
      <c r="AG14" s="174">
        <f>IF(Inputs!$C$7="BAU",'Output -Jobs vs Yr'!AG13,L14*(1+Inputs!O7) )</f>
        <v>563681.86258556205</v>
      </c>
      <c r="AH14" s="184">
        <f>IF(Inputs!$C$7="BAU",'Output -Jobs vs Yr'!AH13,M14*(1+Inputs!P7) )</f>
        <v>569194.74962619529</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5.3550171656260581E-2</v>
      </c>
      <c r="D16" s="381">
        <f t="shared" si="1"/>
        <v>6.7580166581757389E-2</v>
      </c>
      <c r="E16" s="381">
        <f t="shared" si="1"/>
        <v>7.0185748820078789E-2</v>
      </c>
      <c r="F16" s="381">
        <f t="shared" si="1"/>
        <v>7.4506637881381912E-2</v>
      </c>
      <c r="G16" s="381">
        <f t="shared" si="1"/>
        <v>8.2709411208845895E-2</v>
      </c>
      <c r="H16" s="381">
        <f t="shared" si="1"/>
        <v>8.4742535569825472E-2</v>
      </c>
      <c r="I16" s="381">
        <f t="shared" si="1"/>
        <v>0.10187267170548189</v>
      </c>
      <c r="J16" s="381">
        <f t="shared" si="1"/>
        <v>0.11020561096548506</v>
      </c>
      <c r="K16" s="381">
        <f t="shared" si="1"/>
        <v>0.11093958206305082</v>
      </c>
      <c r="L16" s="381">
        <f t="shared" si="1"/>
        <v>0.11085766652638826</v>
      </c>
      <c r="M16" s="381">
        <f t="shared" si="1"/>
        <v>0.11327616990400366</v>
      </c>
      <c r="N16" s="381">
        <f>Inputs!C11</f>
        <v>0.12</v>
      </c>
      <c r="O16" s="381">
        <f t="shared" ref="O16:W16" si="2">O95</f>
        <v>0.12272483011039793</v>
      </c>
      <c r="P16" s="381">
        <f t="shared" si="2"/>
        <v>0.12549563321954696</v>
      </c>
      <c r="Q16" s="381">
        <f t="shared" si="2"/>
        <v>0.1283930613128284</v>
      </c>
      <c r="R16" s="381">
        <f t="shared" si="2"/>
        <v>0.13130842331034073</v>
      </c>
      <c r="S16" s="381">
        <f t="shared" si="2"/>
        <v>0.1347449287804689</v>
      </c>
      <c r="T16" s="381">
        <f t="shared" si="2"/>
        <v>0.13801277896926528</v>
      </c>
      <c r="U16" s="381">
        <f t="shared" si="2"/>
        <v>0.14136200340334301</v>
      </c>
      <c r="V16" s="381">
        <f t="shared" si="2"/>
        <v>0.14485333553861329</v>
      </c>
      <c r="W16" s="381">
        <f t="shared" si="2"/>
        <v>0.14892195841397629</v>
      </c>
      <c r="X16" s="382">
        <f>Inputs!C12</f>
        <v>0.15</v>
      </c>
      <c r="Y16" s="383">
        <f>Y95</f>
        <v>0.15740642448872808</v>
      </c>
      <c r="Z16" s="383">
        <f t="shared" ref="Z16:AG16" si="3">Z95</f>
        <v>0.1622770779794262</v>
      </c>
      <c r="AA16" s="383">
        <f t="shared" si="3"/>
        <v>0.16732246582661409</v>
      </c>
      <c r="AB16" s="383">
        <f t="shared" si="3"/>
        <v>0.1725082186955044</v>
      </c>
      <c r="AC16" s="383">
        <f t="shared" si="3"/>
        <v>0.17779475800615638</v>
      </c>
      <c r="AD16" s="383">
        <f t="shared" si="3"/>
        <v>0.18326795887473052</v>
      </c>
      <c r="AE16" s="383">
        <f t="shared" si="3"/>
        <v>0.18882464670178745</v>
      </c>
      <c r="AF16" s="383">
        <f t="shared" si="3"/>
        <v>0.19459270464571174</v>
      </c>
      <c r="AG16" s="383">
        <f t="shared" si="3"/>
        <v>0.20056789445438988</v>
      </c>
      <c r="AH16" s="382">
        <f>Inputs!C13</f>
        <v>0.2</v>
      </c>
      <c r="AI16" s="384" t="s">
        <v>0</v>
      </c>
      <c r="AJ16" s="385"/>
      <c r="AK16" s="386"/>
      <c r="AL16" s="387"/>
    </row>
    <row r="17" spans="1:37" s="281" customFormat="1">
      <c r="A17" s="281" t="s">
        <v>115</v>
      </c>
      <c r="B17" s="282"/>
      <c r="C17" s="337"/>
      <c r="D17" s="332">
        <f>D16/C16-1</f>
        <v>0.26199719798389398</v>
      </c>
      <c r="E17" s="332">
        <f t="shared" ref="E17:M17" si="4">E16/D16-1</f>
        <v>3.8555427873490089E-2</v>
      </c>
      <c r="F17" s="332">
        <f t="shared" si="4"/>
        <v>6.1563624153668561E-2</v>
      </c>
      <c r="G17" s="332">
        <f t="shared" si="4"/>
        <v>0.11009453064468144</v>
      </c>
      <c r="H17" s="284"/>
      <c r="I17" s="284">
        <f t="shared" si="4"/>
        <v>0.20214330407356851</v>
      </c>
      <c r="J17" s="284">
        <f t="shared" si="4"/>
        <v>8.1797592234490901E-2</v>
      </c>
      <c r="K17" s="284">
        <f t="shared" si="4"/>
        <v>6.660015684642584E-3</v>
      </c>
      <c r="L17" s="284">
        <f t="shared" si="4"/>
        <v>-7.3837971208512432E-4</v>
      </c>
      <c r="M17" s="284">
        <f t="shared" si="4"/>
        <v>2.1816293391307306E-2</v>
      </c>
      <c r="N17" s="284">
        <f>N16/M16-1</f>
        <v>5.9357851714923582E-2</v>
      </c>
      <c r="O17" s="284">
        <f>O16/N16-1</f>
        <v>2.2706917586649444E-2</v>
      </c>
      <c r="P17" s="284">
        <f t="shared" ref="P17:X17" si="5">P16/O16-1</f>
        <v>2.257736357554152E-2</v>
      </c>
      <c r="Q17" s="284">
        <f t="shared" si="5"/>
        <v>2.3087879784729815E-2</v>
      </c>
      <c r="R17" s="284">
        <f t="shared" si="5"/>
        <v>2.2706538559814193E-2</v>
      </c>
      <c r="S17" s="284">
        <f t="shared" si="5"/>
        <v>2.6171249212292746E-2</v>
      </c>
      <c r="T17" s="284">
        <f t="shared" si="5"/>
        <v>2.4252120049137238E-2</v>
      </c>
      <c r="U17" s="284">
        <f t="shared" si="5"/>
        <v>2.4267495076115919E-2</v>
      </c>
      <c r="V17" s="284">
        <f t="shared" si="5"/>
        <v>2.469781165529028E-2</v>
      </c>
      <c r="W17" s="284">
        <f t="shared" si="5"/>
        <v>2.8087878406351408E-2</v>
      </c>
      <c r="X17" s="283">
        <f t="shared" si="5"/>
        <v>7.2389699779997763E-3</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0.10545361215087456</v>
      </c>
      <c r="D18" s="332">
        <f t="shared" ref="D18:G18" si="6">($N$18-$C$18)/($N$11-$C$11)+C18</f>
        <v>0.1051675599780794</v>
      </c>
      <c r="E18" s="332">
        <f t="shared" si="6"/>
        <v>0.10488150780528424</v>
      </c>
      <c r="F18" s="332">
        <f t="shared" si="6"/>
        <v>0.10459545563248908</v>
      </c>
      <c r="G18" s="332">
        <f t="shared" si="6"/>
        <v>0.10430940345969392</v>
      </c>
      <c r="H18" s="284">
        <f>H32/H14</f>
        <v>9.903557520135578E-2</v>
      </c>
      <c r="I18" s="172">
        <f>($N$18-$H$18)/($N$11-$H$11)+H18</f>
        <v>9.9580819042817792E-2</v>
      </c>
      <c r="J18" s="172">
        <f t="shared" ref="J18:M18" si="7">($N$18-$H$18)/($N$11-$H$11)+I18</f>
        <v>0.1001260628842798</v>
      </c>
      <c r="K18" s="172">
        <f t="shared" si="7"/>
        <v>0.10067130672574182</v>
      </c>
      <c r="L18" s="172">
        <f t="shared" si="7"/>
        <v>0.10121655056720383</v>
      </c>
      <c r="M18" s="172">
        <f t="shared" si="7"/>
        <v>0.10176179440866584</v>
      </c>
      <c r="N18" s="180">
        <f>Inputs!C36</f>
        <v>0.10230703825012781</v>
      </c>
      <c r="O18" s="91">
        <f t="shared" ref="O18:W18" si="8">($X$18-$N$18)/($X$11-$N$11)+N18</f>
        <v>0.10125485025476572</v>
      </c>
      <c r="P18" s="91">
        <f t="shared" si="8"/>
        <v>0.10020266225940361</v>
      </c>
      <c r="Q18" s="91">
        <f t="shared" si="8"/>
        <v>9.9150474264041499E-2</v>
      </c>
      <c r="R18" s="91">
        <f t="shared" si="8"/>
        <v>9.8098286268679391E-2</v>
      </c>
      <c r="S18" s="22">
        <f t="shared" si="8"/>
        <v>9.7046098273317283E-2</v>
      </c>
      <c r="T18" s="91">
        <f t="shared" si="8"/>
        <v>9.5993910277955175E-2</v>
      </c>
      <c r="U18" s="91">
        <f t="shared" si="8"/>
        <v>9.4941722282593066E-2</v>
      </c>
      <c r="V18" s="91">
        <f t="shared" si="8"/>
        <v>9.3889534287230958E-2</v>
      </c>
      <c r="W18" s="91">
        <f t="shared" si="8"/>
        <v>9.283734629186885E-2</v>
      </c>
      <c r="X18" s="185">
        <f>Inputs!F36</f>
        <v>9.1785158296506797E-2</v>
      </c>
      <c r="Y18" s="172">
        <f>($AH$18-$X$18)/($AH$11-$X$11)+X18</f>
        <v>9.0987162654280362E-2</v>
      </c>
      <c r="Z18" s="172">
        <f t="shared" ref="Z18:AG18" si="9">($AH$18-$X$18)/($AH$11-$X$11)+Y18</f>
        <v>9.0189167012053928E-2</v>
      </c>
      <c r="AA18" s="172">
        <f t="shared" si="9"/>
        <v>8.9391171369827493E-2</v>
      </c>
      <c r="AB18" s="172">
        <f t="shared" si="9"/>
        <v>8.8593175727601059E-2</v>
      </c>
      <c r="AC18" s="172">
        <f t="shared" si="9"/>
        <v>8.7795180085374624E-2</v>
      </c>
      <c r="AD18" s="172">
        <f t="shared" si="9"/>
        <v>8.699718444314819E-2</v>
      </c>
      <c r="AE18" s="172">
        <f t="shared" si="9"/>
        <v>8.6199188800921756E-2</v>
      </c>
      <c r="AF18" s="172">
        <f t="shared" si="9"/>
        <v>8.5401193158695321E-2</v>
      </c>
      <c r="AG18" s="172">
        <f t="shared" si="9"/>
        <v>8.4603197516468887E-2</v>
      </c>
      <c r="AH18" s="185">
        <f>Inputs!H36</f>
        <v>8.3805201874242494E-2</v>
      </c>
      <c r="AK18"/>
    </row>
    <row r="19" spans="1:37" s="281" customFormat="1">
      <c r="A19" s="281" t="s">
        <v>114</v>
      </c>
      <c r="B19" s="285"/>
      <c r="C19" s="330">
        <f t="shared" ref="C19:AH19" si="10">C16*C14</f>
        <v>21073.010000000006</v>
      </c>
      <c r="D19" s="330">
        <f t="shared" si="10"/>
        <v>27600.010352656045</v>
      </c>
      <c r="E19" s="330">
        <f t="shared" si="10"/>
        <v>29087.14336182316</v>
      </c>
      <c r="F19" s="330">
        <f t="shared" si="10"/>
        <v>32366.640433356504</v>
      </c>
      <c r="G19" s="330">
        <f t="shared" si="10"/>
        <v>34618.086412525241</v>
      </c>
      <c r="H19" s="286">
        <f t="shared" si="10"/>
        <v>35023.416870182467</v>
      </c>
      <c r="I19" s="286">
        <f t="shared" si="10"/>
        <v>44065.279693170458</v>
      </c>
      <c r="J19" s="286">
        <f t="shared" si="10"/>
        <v>50162.701022759858</v>
      </c>
      <c r="K19" s="286">
        <f t="shared" si="10"/>
        <v>50223.44744274702</v>
      </c>
      <c r="L19" s="286">
        <f t="shared" si="10"/>
        <v>50300.086189832153</v>
      </c>
      <c r="M19" s="286">
        <f t="shared" si="10"/>
        <v>51984.596276898097</v>
      </c>
      <c r="N19" s="287">
        <f t="shared" si="10"/>
        <v>55866.832085853675</v>
      </c>
      <c r="O19" s="286">
        <f t="shared" si="10"/>
        <v>57725.007998078509</v>
      </c>
      <c r="P19" s="286">
        <f t="shared" si="10"/>
        <v>59801.247692026001</v>
      </c>
      <c r="Q19" s="286">
        <f t="shared" si="10"/>
        <v>62411.435842245803</v>
      </c>
      <c r="R19" s="286">
        <f t="shared" si="10"/>
        <v>64828.159036848825</v>
      </c>
      <c r="S19" s="286">
        <f t="shared" si="10"/>
        <v>67172.381607897114</v>
      </c>
      <c r="T19" s="286">
        <f t="shared" si="10"/>
        <v>69398.048742208543</v>
      </c>
      <c r="U19" s="286">
        <f t="shared" si="10"/>
        <v>71702.900405570093</v>
      </c>
      <c r="V19" s="286">
        <f t="shared" si="10"/>
        <v>74208.445018146987</v>
      </c>
      <c r="W19" s="286">
        <f t="shared" si="10"/>
        <v>76638.249776701006</v>
      </c>
      <c r="X19" s="287">
        <f>Inputs!C12*'Output -Jobs vs Yr'!X14</f>
        <v>77918.737985711065</v>
      </c>
      <c r="Y19" s="286">
        <f t="shared" si="10"/>
        <v>82125.836503161685</v>
      </c>
      <c r="Z19" s="286">
        <f t="shared" si="10"/>
        <v>85237.225354927315</v>
      </c>
      <c r="AA19" s="286">
        <f t="shared" si="10"/>
        <v>88312.416835989497</v>
      </c>
      <c r="AB19" s="286">
        <f t="shared" si="10"/>
        <v>91669.853440493622</v>
      </c>
      <c r="AC19" s="286">
        <f t="shared" si="10"/>
        <v>95431.428883479588</v>
      </c>
      <c r="AD19" s="286">
        <f t="shared" si="10"/>
        <v>99232.248520674024</v>
      </c>
      <c r="AE19" s="286">
        <f t="shared" si="10"/>
        <v>103646.50052598979</v>
      </c>
      <c r="AF19" s="286">
        <f t="shared" si="10"/>
        <v>108395.26410307405</v>
      </c>
      <c r="AG19" s="286">
        <f t="shared" si="10"/>
        <v>113056.48432091491</v>
      </c>
      <c r="AH19" s="287">
        <f t="shared" si="10"/>
        <v>113838.94992523907</v>
      </c>
    </row>
    <row r="20" spans="1:37" s="20" customFormat="1">
      <c r="A20" s="20" t="s">
        <v>211</v>
      </c>
      <c r="B20" s="33"/>
      <c r="C20" s="330">
        <f>'Output - Jobs vs Yr (BAU)'!C18</f>
        <v>21073.01</v>
      </c>
      <c r="D20" s="330">
        <f>'Output - Jobs vs Yr (BAU)'!D18</f>
        <v>27600.01</v>
      </c>
      <c r="E20" s="330">
        <f>'Output - Jobs vs Yr (BAU)'!E18</f>
        <v>29087.142882302065</v>
      </c>
      <c r="F20" s="330">
        <f>'Output - Jobs vs Yr (BAU)'!F18</f>
        <v>32366.639475655058</v>
      </c>
      <c r="G20" s="330">
        <f>'Output - Jobs vs Yr (BAU)'!G18</f>
        <v>34618.085880971717</v>
      </c>
      <c r="H20" s="286">
        <f>'Output - Jobs vs Yr (BAU)'!H18</f>
        <v>35022.416870182467</v>
      </c>
      <c r="I20" s="83">
        <f>'Output - Jobs vs Yr (BAU)'!I18</f>
        <v>43896.165852162885</v>
      </c>
      <c r="J20" s="83">
        <f>'Output - Jobs vs Yr (BAU)'!J18</f>
        <v>50005.778616751493</v>
      </c>
      <c r="K20" s="83">
        <f>'Output - Jobs vs Yr (BAU)'!K18</f>
        <v>50107.531129922339</v>
      </c>
      <c r="L20" s="83">
        <f>'Output - Jobs vs Yr (BAU)'!L18</f>
        <v>50161.345624913301</v>
      </c>
      <c r="M20" s="83">
        <f>'Output - Jobs vs Yr (BAU)'!M18</f>
        <v>50230.876592421322</v>
      </c>
      <c r="N20" s="177">
        <f>'Output - Jobs vs Yr (BAU)'!N18</f>
        <v>50335.371707797109</v>
      </c>
      <c r="O20" s="83">
        <f>'Output - Jobs vs Yr (BAU)'!O18</f>
        <v>50486.821942917049</v>
      </c>
      <c r="P20" s="83">
        <f>'Output - Jobs vs Yr (BAU)'!P18</f>
        <v>50634.293308680171</v>
      </c>
      <c r="Q20" s="83">
        <f>'Output - Jobs vs Yr (BAU)'!Q18</f>
        <v>50883.421024479998</v>
      </c>
      <c r="R20" s="83">
        <f>'Output - Jobs vs Yr (BAU)'!R18</f>
        <v>51045.651516079488</v>
      </c>
      <c r="S20" s="83">
        <f>'Output - Jobs vs Yr (BAU)'!S18</f>
        <v>51406.898079722159</v>
      </c>
      <c r="T20" s="83">
        <f>'Output - Jobs vs Yr (BAU)'!T18</f>
        <v>51620.051452438718</v>
      </c>
      <c r="U20" s="83">
        <f>'Output - Jobs vs Yr (BAU)'!U18</f>
        <v>51872.779724633088</v>
      </c>
      <c r="V20" s="83">
        <f>'Output - Jobs vs Yr (BAU)'!V18</f>
        <v>52151.631109598035</v>
      </c>
      <c r="W20" s="83">
        <f>'Output - Jobs vs Yr (BAU)'!W18</f>
        <v>52725.546338130931</v>
      </c>
      <c r="X20" s="184">
        <f>'Output - Jobs vs Yr (BAU)'!X18</f>
        <v>53119.109586378188</v>
      </c>
      <c r="Y20" s="174">
        <f>'Output - Jobs vs Yr (BAU)'!Y18</f>
        <v>53526.166150592035</v>
      </c>
      <c r="Z20" s="174">
        <f>'Output - Jobs vs Yr (BAU)'!Z18</f>
        <v>53945.898847870427</v>
      </c>
      <c r="AA20" s="174">
        <f>'Output - Jobs vs Yr (BAU)'!AA18</f>
        <v>54400.680130089262</v>
      </c>
      <c r="AB20" s="174">
        <f>'Output - Jobs vs Yr (BAU)'!AB18</f>
        <v>54947.635214779737</v>
      </c>
      <c r="AC20" s="174">
        <f>'Output - Jobs vs Yr (BAU)'!AC18</f>
        <v>55410.594816396275</v>
      </c>
      <c r="AD20" s="174">
        <f>'Output - Jobs vs Yr (BAU)'!AD18</f>
        <v>55827.440133054144</v>
      </c>
      <c r="AE20" s="174">
        <f>'Output - Jobs vs Yr (BAU)'!AE18</f>
        <v>56488.919717437078</v>
      </c>
      <c r="AF20" s="174">
        <f>'Output - Jobs vs Yr (BAU)'!AF18</f>
        <v>57088.685801040076</v>
      </c>
      <c r="AG20" s="174">
        <f>'Output - Jobs vs Yr (BAU)'!AG18</f>
        <v>57810.278598537756</v>
      </c>
      <c r="AH20" s="184">
        <f>'Output - Jobs vs Yr (BAU)'!AH18</f>
        <v>58714.265239482665</v>
      </c>
    </row>
    <row r="21" spans="1:37" s="20" customFormat="1">
      <c r="A21" s="20" t="s">
        <v>116</v>
      </c>
      <c r="B21" s="33"/>
      <c r="C21" s="330">
        <f t="shared" ref="C21:AH21" si="11">MAX(C19:C20)</f>
        <v>21073.010000000006</v>
      </c>
      <c r="D21" s="330">
        <f t="shared" si="11"/>
        <v>27600.010352656045</v>
      </c>
      <c r="E21" s="330">
        <f t="shared" si="11"/>
        <v>29087.14336182316</v>
      </c>
      <c r="F21" s="330">
        <f t="shared" si="11"/>
        <v>32366.640433356504</v>
      </c>
      <c r="G21" s="330">
        <f t="shared" si="11"/>
        <v>34618.086412525241</v>
      </c>
      <c r="H21" s="286">
        <f t="shared" si="11"/>
        <v>35023.416870182467</v>
      </c>
      <c r="I21" s="83">
        <f t="shared" si="11"/>
        <v>44065.279693170458</v>
      </c>
      <c r="J21" s="83">
        <f t="shared" si="11"/>
        <v>50162.701022759858</v>
      </c>
      <c r="K21" s="83">
        <f t="shared" si="11"/>
        <v>50223.44744274702</v>
      </c>
      <c r="L21" s="83">
        <f t="shared" si="11"/>
        <v>50300.086189832153</v>
      </c>
      <c r="M21" s="83">
        <f t="shared" si="11"/>
        <v>51984.596276898097</v>
      </c>
      <c r="N21" s="177">
        <f t="shared" si="11"/>
        <v>55866.832085853675</v>
      </c>
      <c r="O21" s="83">
        <f t="shared" si="11"/>
        <v>57725.007998078509</v>
      </c>
      <c r="P21" s="83">
        <f t="shared" si="11"/>
        <v>59801.247692026001</v>
      </c>
      <c r="Q21" s="83">
        <f t="shared" si="11"/>
        <v>62411.435842245803</v>
      </c>
      <c r="R21" s="83">
        <f t="shared" si="11"/>
        <v>64828.159036848825</v>
      </c>
      <c r="S21" s="83">
        <f t="shared" si="11"/>
        <v>67172.381607897114</v>
      </c>
      <c r="T21" s="83">
        <f t="shared" si="11"/>
        <v>69398.048742208543</v>
      </c>
      <c r="U21" s="83">
        <f t="shared" si="11"/>
        <v>71702.900405570093</v>
      </c>
      <c r="V21" s="83">
        <f t="shared" si="11"/>
        <v>74208.445018146987</v>
      </c>
      <c r="W21" s="83">
        <f t="shared" si="11"/>
        <v>76638.249776701006</v>
      </c>
      <c r="X21" s="184">
        <f t="shared" si="11"/>
        <v>77918.737985711065</v>
      </c>
      <c r="Y21" s="174">
        <f t="shared" si="11"/>
        <v>82125.836503161685</v>
      </c>
      <c r="Z21" s="174">
        <f t="shared" si="11"/>
        <v>85237.225354927315</v>
      </c>
      <c r="AA21" s="174">
        <f t="shared" si="11"/>
        <v>88312.416835989497</v>
      </c>
      <c r="AB21" s="174">
        <f t="shared" si="11"/>
        <v>91669.853440493622</v>
      </c>
      <c r="AC21" s="174">
        <f t="shared" si="11"/>
        <v>95431.428883479588</v>
      </c>
      <c r="AD21" s="174">
        <f t="shared" si="11"/>
        <v>99232.248520674024</v>
      </c>
      <c r="AE21" s="174">
        <f t="shared" si="11"/>
        <v>103646.50052598979</v>
      </c>
      <c r="AF21" s="174">
        <f t="shared" si="11"/>
        <v>108395.26410307405</v>
      </c>
      <c r="AG21" s="174">
        <f t="shared" si="11"/>
        <v>113056.48432091491</v>
      </c>
      <c r="AH21" s="184">
        <f t="shared" si="11"/>
        <v>113838.94992523907</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2.6148419771345223E-3</v>
      </c>
      <c r="D26" s="332">
        <f t="shared" ref="D26:G26" si="21">C26+($N$26-$C$26)/($N$11-$C$11)</f>
        <v>2.6977564832728271E-3</v>
      </c>
      <c r="E26" s="332">
        <f t="shared" si="21"/>
        <v>2.7806709894111319E-3</v>
      </c>
      <c r="F26" s="332">
        <f t="shared" si="21"/>
        <v>2.8635854955494366E-3</v>
      </c>
      <c r="G26" s="332">
        <f t="shared" si="21"/>
        <v>2.9465000016877414E-3</v>
      </c>
      <c r="H26" s="284">
        <f>H31/H14</f>
        <v>3.7809060359001545E-3</v>
      </c>
      <c r="I26" s="91">
        <f>H26+($N$26-$H$26)/($N$11-$H$11)</f>
        <v>3.7385719540261077E-3</v>
      </c>
      <c r="J26" s="172">
        <f t="shared" ref="J26:M26" si="22">I26+($N$26-$H$26)/($N$11-$H$11)</f>
        <v>3.6962378721520609E-3</v>
      </c>
      <c r="K26" s="172">
        <f t="shared" si="22"/>
        <v>3.653903790278014E-3</v>
      </c>
      <c r="L26" s="172">
        <f t="shared" si="22"/>
        <v>3.6115697084039672E-3</v>
      </c>
      <c r="M26" s="172">
        <f t="shared" si="22"/>
        <v>3.5692356265299204E-3</v>
      </c>
      <c r="N26" s="180">
        <f>Inputs!C35</f>
        <v>3.5269015446558732E-3</v>
      </c>
      <c r="O26" s="91">
        <f t="shared" ref="O26:W26" si="23">N26+($X$26-$N$26)/($X$11-$N$11)</f>
        <v>3.4906287375295626E-3</v>
      </c>
      <c r="P26" s="91">
        <f t="shared" si="23"/>
        <v>3.4543559304032519E-3</v>
      </c>
      <c r="Q26" s="91">
        <f t="shared" si="23"/>
        <v>3.4180831232769413E-3</v>
      </c>
      <c r="R26" s="91">
        <f t="shared" si="23"/>
        <v>3.3818103161506307E-3</v>
      </c>
      <c r="S26" s="22">
        <f t="shared" si="23"/>
        <v>3.3455375090243201E-3</v>
      </c>
      <c r="T26" s="91">
        <f t="shared" si="23"/>
        <v>3.3092647018980095E-3</v>
      </c>
      <c r="U26" s="91">
        <f t="shared" si="23"/>
        <v>3.2729918947716988E-3</v>
      </c>
      <c r="V26" s="91">
        <f t="shared" si="23"/>
        <v>3.2367190876453882E-3</v>
      </c>
      <c r="W26" s="91">
        <f t="shared" si="23"/>
        <v>3.2004462805190776E-3</v>
      </c>
      <c r="X26" s="185">
        <f>Inputs!F35</f>
        <v>3.1641734733927674E-3</v>
      </c>
      <c r="Y26" s="172">
        <f>X26+($AH$26-$X$26)/($AH$11-$X$11)</f>
        <v>3.1366636157003176E-3</v>
      </c>
      <c r="Z26" s="172">
        <f t="shared" ref="Z26:AG26" si="24">Y26+($AH$26-$X$26)/($AH$11-$X$11)</f>
        <v>3.1091537580078678E-3</v>
      </c>
      <c r="AA26" s="172">
        <f t="shared" si="24"/>
        <v>3.0816439003154179E-3</v>
      </c>
      <c r="AB26" s="172">
        <f t="shared" si="24"/>
        <v>3.0541340426229681E-3</v>
      </c>
      <c r="AC26" s="172">
        <f t="shared" si="24"/>
        <v>3.0266241849305183E-3</v>
      </c>
      <c r="AD26" s="172">
        <f t="shared" si="24"/>
        <v>2.9991143272380684E-3</v>
      </c>
      <c r="AE26" s="172">
        <f t="shared" si="24"/>
        <v>2.9716044695456186E-3</v>
      </c>
      <c r="AF26" s="172">
        <f t="shared" si="24"/>
        <v>2.9440946118531688E-3</v>
      </c>
      <c r="AG26" s="172">
        <f t="shared" si="24"/>
        <v>2.916584754160719E-3</v>
      </c>
      <c r="AH26" s="185">
        <f>Inputs!H35</f>
        <v>2.8890748964682678E-3</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0.1003916357823416</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1028.99</v>
      </c>
      <c r="D31" s="330">
        <f t="shared" ref="D31:AH31" si="27">D26*D14</f>
        <v>1101.7745387945556</v>
      </c>
      <c r="E31" s="330">
        <f t="shared" si="27"/>
        <v>1152.395993072678</v>
      </c>
      <c r="F31" s="330">
        <f t="shared" si="27"/>
        <v>1243.978318175918</v>
      </c>
      <c r="G31" s="330">
        <f t="shared" si="27"/>
        <v>1233.2597969458488</v>
      </c>
      <c r="H31" s="286">
        <f>'Output - Jobs vs Yr (BAU)'!H7</f>
        <v>1562.618434200728</v>
      </c>
      <c r="I31" s="174">
        <f t="shared" si="27"/>
        <v>1617.1286768985201</v>
      </c>
      <c r="J31" s="174">
        <f t="shared" si="27"/>
        <v>1682.430446738641</v>
      </c>
      <c r="K31" s="174">
        <f t="shared" si="27"/>
        <v>1654.1584307356227</v>
      </c>
      <c r="L31" s="174">
        <f t="shared" si="27"/>
        <v>1638.698281368426</v>
      </c>
      <c r="M31" s="174">
        <f t="shared" si="27"/>
        <v>1637.9903488926261</v>
      </c>
      <c r="N31" s="184">
        <f t="shared" si="27"/>
        <v>1641.973469821897</v>
      </c>
      <c r="O31" s="174">
        <f t="shared" si="27"/>
        <v>1641.8565958572451</v>
      </c>
      <c r="P31" s="174">
        <f t="shared" si="27"/>
        <v>1646.0715748497305</v>
      </c>
      <c r="Q31" s="174">
        <f t="shared" si="27"/>
        <v>1661.5187251598568</v>
      </c>
      <c r="R31" s="174">
        <f t="shared" si="27"/>
        <v>1669.6304127398953</v>
      </c>
      <c r="S31" s="174">
        <f t="shared" si="27"/>
        <v>1667.8009649316698</v>
      </c>
      <c r="T31" s="174">
        <f t="shared" si="27"/>
        <v>1664.0235404167288</v>
      </c>
      <c r="U31" s="174">
        <f t="shared" si="27"/>
        <v>1660.1562386565847</v>
      </c>
      <c r="V31" s="174">
        <f t="shared" si="27"/>
        <v>1658.1730034838731</v>
      </c>
      <c r="W31" s="174">
        <f t="shared" si="27"/>
        <v>1647.0143426499258</v>
      </c>
      <c r="X31" s="184">
        <f t="shared" si="27"/>
        <v>1643.6560254308556</v>
      </c>
      <c r="Y31" s="174">
        <f t="shared" si="27"/>
        <v>1636.5350023363701</v>
      </c>
      <c r="Z31" s="174">
        <f t="shared" si="27"/>
        <v>1633.1058140450061</v>
      </c>
      <c r="AA31" s="174">
        <f t="shared" si="27"/>
        <v>1626.4846404232962</v>
      </c>
      <c r="AB31" s="174">
        <f t="shared" si="27"/>
        <v>1622.9488785635808</v>
      </c>
      <c r="AC31" s="174">
        <f t="shared" si="27"/>
        <v>1624.5421063044776</v>
      </c>
      <c r="AD31" s="174">
        <f t="shared" si="27"/>
        <v>1623.9001082880352</v>
      </c>
      <c r="AE31" s="174">
        <f t="shared" si="27"/>
        <v>1631.1239533375915</v>
      </c>
      <c r="AF31" s="174">
        <f t="shared" si="27"/>
        <v>1639.9685362166229</v>
      </c>
      <c r="AG31" s="174">
        <f t="shared" si="27"/>
        <v>1644.0259266139676</v>
      </c>
      <c r="AH31" s="184">
        <f t="shared" si="27"/>
        <v>1644.4462623465818</v>
      </c>
      <c r="AI31" s="127"/>
    </row>
    <row r="32" spans="1:37">
      <c r="A32" s="9" t="s">
        <v>59</v>
      </c>
      <c r="B32" s="35">
        <v>0</v>
      </c>
      <c r="C32" s="330">
        <f>EIA_electricity_aeo2014!E52*1000</f>
        <v>41498</v>
      </c>
      <c r="D32" s="330">
        <f t="shared" ref="D32:AH32" si="28">D18*D14</f>
        <v>42950.852165287542</v>
      </c>
      <c r="E32" s="330">
        <f t="shared" si="28"/>
        <v>43466.138138056456</v>
      </c>
      <c r="F32" s="330">
        <f t="shared" si="28"/>
        <v>45437.609314885332</v>
      </c>
      <c r="G32" s="330">
        <f t="shared" si="28"/>
        <v>43658.779452421521</v>
      </c>
      <c r="H32" s="286">
        <f>EIA_electricity_aeo2014!J52*1000</f>
        <v>40930.61662519395</v>
      </c>
      <c r="I32" s="174">
        <f t="shared" si="28"/>
        <v>43073.933074836932</v>
      </c>
      <c r="J32" s="174">
        <f t="shared" si="28"/>
        <v>45574.755341841803</v>
      </c>
      <c r="K32" s="174">
        <f t="shared" si="28"/>
        <v>45574.897510064751</v>
      </c>
      <c r="L32" s="174">
        <f t="shared" si="28"/>
        <v>45925.567233150818</v>
      </c>
      <c r="M32" s="174">
        <f t="shared" si="28"/>
        <v>46700.429606953257</v>
      </c>
      <c r="N32" s="184">
        <f t="shared" si="28"/>
        <v>47629.75105934083</v>
      </c>
      <c r="O32" s="174">
        <f t="shared" si="28"/>
        <v>47626.360823174422</v>
      </c>
      <c r="P32" s="174">
        <f t="shared" si="28"/>
        <v>47748.627354164229</v>
      </c>
      <c r="Q32" s="174">
        <f t="shared" si="28"/>
        <v>48196.712501317881</v>
      </c>
      <c r="R32" s="174">
        <f t="shared" si="28"/>
        <v>48432.013294667653</v>
      </c>
      <c r="S32" s="174">
        <f t="shared" si="28"/>
        <v>48378.945358258614</v>
      </c>
      <c r="T32" s="174">
        <f t="shared" si="28"/>
        <v>48269.371243573551</v>
      </c>
      <c r="U32" s="174">
        <f t="shared" si="28"/>
        <v>48157.190003442432</v>
      </c>
      <c r="V32" s="174">
        <f t="shared" si="28"/>
        <v>48099.661060798411</v>
      </c>
      <c r="W32" s="174">
        <f t="shared" si="28"/>
        <v>47775.974809196443</v>
      </c>
      <c r="X32" s="184">
        <f t="shared" si="28"/>
        <v>47678.558001883517</v>
      </c>
      <c r="Y32" s="174">
        <f t="shared" si="28"/>
        <v>47471.994032664836</v>
      </c>
      <c r="Z32" s="174">
        <f t="shared" si="28"/>
        <v>47372.521423846745</v>
      </c>
      <c r="AA32" s="174">
        <f t="shared" si="28"/>
        <v>47180.456900808545</v>
      </c>
      <c r="AB32" s="174">
        <f t="shared" si="28"/>
        <v>47077.892845859693</v>
      </c>
      <c r="AC32" s="174">
        <f t="shared" si="28"/>
        <v>47124.108599082538</v>
      </c>
      <c r="AD32" s="174">
        <f t="shared" si="28"/>
        <v>47105.485761219592</v>
      </c>
      <c r="AE32" s="174">
        <f t="shared" si="28"/>
        <v>47315.032351176946</v>
      </c>
      <c r="AF32" s="174">
        <f t="shared" si="28"/>
        <v>47571.592696696811</v>
      </c>
      <c r="AG32" s="174">
        <f t="shared" si="28"/>
        <v>47689.287956777378</v>
      </c>
      <c r="AH32" s="184">
        <f t="shared" si="28"/>
        <v>47701.480898182206</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649</v>
      </c>
      <c r="D34" s="330">
        <f>MAX(D58*D$14,'Output - Jobs vs Yr (BAU)'!D10)</f>
        <v>900</v>
      </c>
      <c r="E34" s="330">
        <f>MAX(E58*E$14,'Output - Jobs vs Yr (BAU)'!E10)</f>
        <v>907.79740746565699</v>
      </c>
      <c r="F34" s="330">
        <f>MAX(F58*F$14,'Output - Jobs vs Yr (BAU)'!F10)</f>
        <v>876.62369691839797</v>
      </c>
      <c r="G34" s="330">
        <f>MAX(G58*G$14,'Output - Jobs vs Yr (BAU)'!G10)</f>
        <v>971.00244332514092</v>
      </c>
      <c r="H34" s="286">
        <f>'Output - Jobs vs Yr (BAU)'!H10</f>
        <v>999.02923796168704</v>
      </c>
      <c r="I34" s="286">
        <f>MAX(I58*I$14,'Output - Jobs vs Yr (BAU)'!I10)</f>
        <v>1097.3620128898488</v>
      </c>
      <c r="J34" s="286">
        <f>MAX(J58*J$14,'Output - Jobs vs Yr (BAU)'!J10)</f>
        <v>1211.9319687935831</v>
      </c>
      <c r="K34" s="286">
        <f>MAX(K58*K$14,'Output - Jobs vs Yr (BAU)'!K10)</f>
        <v>1265.0595736874493</v>
      </c>
      <c r="L34" s="286">
        <f>MAX(L58*L$14,'Output - Jobs vs Yr (BAU)'!L10)</f>
        <v>1330.7115518427113</v>
      </c>
      <c r="M34" s="286">
        <f>MAX(M58*M$14,'Output - Jobs vs Yr (BAU)'!M10)</f>
        <v>1412.5603042567018</v>
      </c>
      <c r="N34" s="287">
        <f>MAX(Inputs!$E17*N$21,'Output - Jobs vs Yr (BAU)'!N10)</f>
        <v>1503.9507876038051</v>
      </c>
      <c r="O34" s="286">
        <f>MAX(O58*O$14,'Output - Jobs vs Yr (BAU)'!O10)</f>
        <v>1553.7580420427184</v>
      </c>
      <c r="P34" s="286">
        <f>MAX(P58*P$14,'Output - Jobs vs Yr (BAU)'!P10)</f>
        <v>1609.624076604741</v>
      </c>
      <c r="Q34" s="286">
        <f>MAX(Q58*Q$14,'Output - Jobs vs Yr (BAU)'!Q10)</f>
        <v>1710.2963772201263</v>
      </c>
      <c r="R34" s="286">
        <f>MAX(R58*R$14,'Output - Jobs vs Yr (BAU)'!R10)</f>
        <v>1784.6238608176163</v>
      </c>
      <c r="S34" s="286">
        <f>MAX(S58*S$14,'Output - Jobs vs Yr (BAU)'!S10)</f>
        <v>2015.1533093934088</v>
      </c>
      <c r="T34" s="286">
        <f>MAX(T58*T$14,'Output - Jobs vs Yr (BAU)'!T10)</f>
        <v>2082.9644636212001</v>
      </c>
      <c r="U34" s="286">
        <f>MAX(U58*U$14,'Output - Jobs vs Yr (BAU)'!U10)</f>
        <v>2129.1326745169558</v>
      </c>
      <c r="V34" s="286">
        <f>MAX(V58*V$14,'Output - Jobs vs Yr (BAU)'!V10)</f>
        <v>2172.1913865071142</v>
      </c>
      <c r="W34" s="286">
        <f>MAX(W58*W$14,'Output - Jobs vs Yr (BAU)'!W10)</f>
        <v>2432.83599668838</v>
      </c>
      <c r="X34" s="287">
        <f>Inputs!F17*'Output -Jobs vs Yr'!$X$14</f>
        <v>2097.5942788848038</v>
      </c>
      <c r="Y34" s="286">
        <f>MAX(Y58*Y$14,'Output - Jobs vs Yr (BAU)'!Y10)</f>
        <v>2505.4826914083746</v>
      </c>
      <c r="Z34" s="286">
        <f>MAX(Z58*Z$14,'Output - Jobs vs Yr (BAU)'!Z10)</f>
        <v>2530.3360259276569</v>
      </c>
      <c r="AA34" s="286">
        <f>MAX(AA58*AA$14,'Output - Jobs vs Yr (BAU)'!AA10)</f>
        <v>2563.6522852109911</v>
      </c>
      <c r="AB34" s="286">
        <f>MAX(AB58*AB$14,'Output - Jobs vs Yr (BAU)'!AB10)</f>
        <v>2601.96881699606</v>
      </c>
      <c r="AC34" s="286">
        <f>MAX(AC58*AC$14,'Output - Jobs vs Yr (BAU)'!AC10)</f>
        <v>2634.6435811641018</v>
      </c>
      <c r="AD34" s="286">
        <f>MAX(AD58*AD$14,'Output - Jobs vs Yr (BAU)'!AD10)</f>
        <v>2680.1391363542675</v>
      </c>
      <c r="AE34" s="286">
        <f>MAX(AE58*AE$14,'Output - Jobs vs Yr (BAU)'!AE10)</f>
        <v>2729.267056651378</v>
      </c>
      <c r="AF34" s="286">
        <f>MAX(AF58*AF$14,'Output - Jobs vs Yr (BAU)'!AF10)</f>
        <v>2831.4283866653041</v>
      </c>
      <c r="AG34" s="286">
        <f>MAX(AG58*AG$14,'Output - Jobs vs Yr (BAU)'!AG10)</f>
        <v>2948.8301809778854</v>
      </c>
      <c r="AH34" s="287">
        <f>Inputs!I17*'Output -Jobs vs Yr'!$AH$14</f>
        <v>3064.5764581200565</v>
      </c>
      <c r="AI34" s="127"/>
    </row>
    <row r="35" spans="1:36" s="20" customFormat="1">
      <c r="A35" s="9" t="s">
        <v>50</v>
      </c>
      <c r="B35" s="35">
        <v>1</v>
      </c>
      <c r="C35" s="330">
        <f>EIA_RE_aeo2014!E74*1000</f>
        <v>0</v>
      </c>
      <c r="D35" s="330">
        <f>MAX(D59*D$14,'Output - Jobs vs Yr (BAU)'!D11)</f>
        <v>0</v>
      </c>
      <c r="E35" s="330">
        <f>MAX(E59*E$14,'Output - Jobs vs Yr (BAU)'!E11)</f>
        <v>4.0118830000000001E-2</v>
      </c>
      <c r="F35" s="330">
        <f>MAX(F59*F$14,'Output - Jobs vs Yr (BAU)'!F11)</f>
        <v>3.7581990000000003E-2</v>
      </c>
      <c r="G35" s="330">
        <f>MAX(G59*G$14,'Output - Jobs vs Yr (BAU)'!G11)</f>
        <v>4.1090540000000002E-2</v>
      </c>
      <c r="H35" s="286">
        <f>'Output - Jobs vs Yr (BAU)'!H11</f>
        <v>4.1090700000000001E-2</v>
      </c>
      <c r="I35" s="286">
        <f>MAX(I59*I$14,'Output - Jobs vs Yr (BAU)'!I11)</f>
        <v>4.4198377481726371E-2</v>
      </c>
      <c r="J35" s="286">
        <f>MAX(J59*J$14,'Output - Jobs vs Yr (BAU)'!J11)</f>
        <v>4.7799759274253492E-2</v>
      </c>
      <c r="K35" s="286">
        <f>MAX(K59*K$14,'Output - Jobs vs Yr (BAU)'!K11)</f>
        <v>4.8859555182436745E-2</v>
      </c>
      <c r="L35" s="286">
        <f>MAX(L59*L$14,'Output - Jobs vs Yr (BAU)'!L11)</f>
        <v>5.0328446087571012E-2</v>
      </c>
      <c r="M35" s="286">
        <f>MAX(M59*M$14,'Output - Jobs vs Yr (BAU)'!M11)</f>
        <v>5.2315171758573045E-2</v>
      </c>
      <c r="N35" s="287">
        <f>MAX(Inputs!$E19*N$21,'Output - Jobs vs Yr (BAU)'!N11)</f>
        <v>5.4543794395471058E-2</v>
      </c>
      <c r="O35" s="286">
        <f>MAX(O59*O$14,'Output - Jobs vs Yr (BAU)'!O11)</f>
        <v>5.6350154462509766E-2</v>
      </c>
      <c r="P35" s="286">
        <f>MAX(P59*P$14,'Output - Jobs vs Yr (BAU)'!P11)</f>
        <v>5.8376248353318616E-2</v>
      </c>
      <c r="Q35" s="286">
        <f>MAX(Q59*Q$14,'Output - Jobs vs Yr (BAU)'!Q11)</f>
        <v>6.089311224042477E-2</v>
      </c>
      <c r="R35" s="286">
        <f>MAX(R59*R$14,'Output - Jobs vs Yr (BAU)'!R11)</f>
        <v>6.3242299833313351E-2</v>
      </c>
      <c r="S35" s="286">
        <f>MAX(S59*S$14,'Output - Jobs vs Yr (BAU)'!S11)</f>
        <v>6.5298900877224827E-2</v>
      </c>
      <c r="T35" s="286">
        <f>MAX(T59*T$14,'Output - Jobs vs Yr (BAU)'!T11)</f>
        <v>6.7351382383763397E-2</v>
      </c>
      <c r="U35" s="286">
        <f>MAX(U59*U$14,'Output - Jobs vs Yr (BAU)'!U11)</f>
        <v>6.9472605730781595E-2</v>
      </c>
      <c r="V35" s="286">
        <f>MAX(V59*V$14,'Output - Jobs vs Yr (BAU)'!V11)</f>
        <v>7.1750575523201146E-2</v>
      </c>
      <c r="W35" s="286">
        <f>MAX(W59*W$14,'Output - Jobs vs Yr (BAU)'!W11)</f>
        <v>7.3701851519360248E-2</v>
      </c>
      <c r="X35" s="287">
        <f>Inputs!F19*'Output -Jobs vs Yr'!$X$14</f>
        <v>7.6073467307328571E-2</v>
      </c>
      <c r="Y35" s="286">
        <f>MAX(Y59*Y$14,'Output - Jobs vs Yr (BAU)'!Y11)</f>
        <v>7.8638240217582575E-2</v>
      </c>
      <c r="Z35" s="286">
        <f>MAX(Z59*Z$14,'Output - Jobs vs Yr (BAU)'!Z11)</f>
        <v>8.147838885913089E-2</v>
      </c>
      <c r="AA35" s="286">
        <f>MAX(AA59*AA$14,'Output - Jobs vs Yr (BAU)'!AA11)</f>
        <v>8.4261986865845573E-2</v>
      </c>
      <c r="AB35" s="286">
        <f>MAX(AB59*AB$14,'Output - Jobs vs Yr (BAU)'!AB11)</f>
        <v>8.7312173874747351E-2</v>
      </c>
      <c r="AC35" s="286">
        <f>MAX(AC59*AC$14,'Output - Jobs vs Yr (BAU)'!AC11)</f>
        <v>9.0766252059123004E-2</v>
      </c>
      <c r="AD35" s="286">
        <f>MAX(AD59*AD$14,'Output - Jobs vs Yr (BAU)'!AD11)</f>
        <v>9.4234968900268334E-2</v>
      </c>
      <c r="AE35" s="286">
        <f>MAX(AE59*AE$14,'Output - Jobs vs Yr (BAU)'!AE11)</f>
        <v>9.8318589297454087E-2</v>
      </c>
      <c r="AF35" s="286">
        <f>MAX(AF59*AF$14,'Output - Jobs vs Yr (BAU)'!AF11)</f>
        <v>0.10268743435005062</v>
      </c>
      <c r="AG35" s="286">
        <f>MAX(AG59*AG$14,'Output - Jobs vs Yr (BAU)'!AG11)</f>
        <v>0.10694524609723378</v>
      </c>
      <c r="AH35" s="287">
        <f>Inputs!I19*'Output -Jobs vs Yr'!$AH$14</f>
        <v>0.11114301719088936</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398</v>
      </c>
      <c r="D37" s="330">
        <f>MAX(D61*D$14,'Output - Jobs vs Yr (BAU)'!D12)</f>
        <v>449</v>
      </c>
      <c r="E37" s="330">
        <f>MAX(E61*E$14,'Output - Jobs vs Yr (BAU)'!E12)</f>
        <v>827.19765600641028</v>
      </c>
      <c r="F37" s="330">
        <f>MAX(F61*F$14,'Output - Jobs vs Yr (BAU)'!F12)</f>
        <v>856.52609674666041</v>
      </c>
      <c r="G37" s="330">
        <f>MAX(G61*G$14,'Output - Jobs vs Yr (BAU)'!G12)</f>
        <v>696.67074710658562</v>
      </c>
      <c r="H37" s="286">
        <f>'Output - Jobs vs Yr (BAU)'!H12</f>
        <v>749.63944152077954</v>
      </c>
      <c r="I37" s="118">
        <f>MAX(I61*I$14,'Output - Jobs vs Yr (BAU)'!I12)</f>
        <v>791.62883958105419</v>
      </c>
      <c r="J37" s="118">
        <f>MAX(J61*J$14,'Output - Jobs vs Yr (BAU)'!J12)</f>
        <v>840.51870403316002</v>
      </c>
      <c r="K37" s="118">
        <f>MAX(K61*K$14,'Output - Jobs vs Yr (BAU)'!K12)</f>
        <v>843.48540758938861</v>
      </c>
      <c r="L37" s="118">
        <f>MAX(L61*L$14,'Output - Jobs vs Yr (BAU)'!L12)</f>
        <v>852.99793227193902</v>
      </c>
      <c r="M37" s="118">
        <f>MAX(M61*M$14,'Output - Jobs vs Yr (BAU)'!M12)</f>
        <v>870.49945665423354</v>
      </c>
      <c r="N37" s="184">
        <f>MAX(Inputs!$E20*N$21,'Output - Jobs vs Yr (BAU)'!N12)</f>
        <v>891.03053589310184</v>
      </c>
      <c r="O37" s="174">
        <f>MAX(O61*O$14,'Output - Jobs vs Yr (BAU)'!O12)</f>
        <v>920.5393369654945</v>
      </c>
      <c r="P37" s="174">
        <f>MAX(P61*P$14,'Output - Jobs vs Yr (BAU)'!P12)</f>
        <v>953.63772231448036</v>
      </c>
      <c r="Q37" s="174">
        <f>MAX(Q61*Q$14,'Output - Jobs vs Yr (BAU)'!Q12)</f>
        <v>994.75335431173653</v>
      </c>
      <c r="R37" s="174">
        <f>MAX(R61*R$14,'Output - Jobs vs Yr (BAU)'!R12)</f>
        <v>1033.1298168040259</v>
      </c>
      <c r="S37" s="174">
        <f>MAX(S61*S$14,'Output - Jobs vs Yr (BAU)'!S12)</f>
        <v>1066.7265687459285</v>
      </c>
      <c r="T37" s="174">
        <f>MAX(T61*T$14,'Output - Jobs vs Yr (BAU)'!T12)</f>
        <v>1100.2560236903682</v>
      </c>
      <c r="U37" s="174">
        <f>MAX(U61*U$14,'Output - Jobs vs Yr (BAU)'!U12)</f>
        <v>1134.9084492612508</v>
      </c>
      <c r="V37" s="174">
        <f>MAX(V61*V$14,'Output - Jobs vs Yr (BAU)'!V12)</f>
        <v>1172.1214937035058</v>
      </c>
      <c r="W37" s="174">
        <f>MAX(W61*W$14,'Output - Jobs vs Yr (BAU)'!W12)</f>
        <v>1203.9976496586066</v>
      </c>
      <c r="X37" s="184">
        <f>Inputs!F20*'Output -Jobs vs Yr'!$X$14</f>
        <v>1242.7405004248042</v>
      </c>
      <c r="Y37" s="174">
        <f>MAX(Y61*Y$14,'Output - Jobs vs Yr (BAU)'!Y12)</f>
        <v>1284.6387769564694</v>
      </c>
      <c r="Z37" s="174">
        <f>MAX(Z61*Z$14,'Output - Jobs vs Yr (BAU)'!Z12)</f>
        <v>1331.0356071393176</v>
      </c>
      <c r="AA37" s="174">
        <f>MAX(AA61*AA$14,'Output - Jobs vs Yr (BAU)'!AA12)</f>
        <v>1376.5086229264246</v>
      </c>
      <c r="AB37" s="174">
        <f>MAX(AB61*AB$14,'Output - Jobs vs Yr (BAU)'!AB12)</f>
        <v>1426.3366518569089</v>
      </c>
      <c r="AC37" s="174">
        <f>MAX(AC61*AC$14,'Output - Jobs vs Yr (BAU)'!AC12)</f>
        <v>1482.7626700639676</v>
      </c>
      <c r="AD37" s="174">
        <f>MAX(AD61*AD$14,'Output - Jobs vs Yr (BAU)'!AD12)</f>
        <v>1539.4278262028624</v>
      </c>
      <c r="AE37" s="174">
        <f>MAX(AE61*AE$14,'Output - Jobs vs Yr (BAU)'!AE12)</f>
        <v>1606.138081901365</v>
      </c>
      <c r="AF37" s="174">
        <f>MAX(AF61*AF$14,'Output - Jobs vs Yr (BAU)'!AF12)</f>
        <v>1677.5077838371046</v>
      </c>
      <c r="AG37" s="174">
        <f>MAX(AG61*AG$14,'Output - Jobs vs Yr (BAU)'!AG12)</f>
        <v>1747.0636393633488</v>
      </c>
      <c r="AH37" s="184">
        <f>Inputs!I20*'Output -Jobs vs Yr'!$AH$14</f>
        <v>1815.6386673494296</v>
      </c>
      <c r="AI37" s="127"/>
    </row>
    <row r="38" spans="1:36" s="20" customFormat="1">
      <c r="A38" s="9" t="s">
        <v>347</v>
      </c>
      <c r="B38" s="35">
        <v>1</v>
      </c>
      <c r="C38" s="330">
        <f>'Output - Jobs vs Yr (BAU)'!C13</f>
        <v>0</v>
      </c>
      <c r="D38" s="330">
        <f>MAX(D62*D$14,'Output - Jobs vs Yr (BAU)'!D13)</f>
        <v>0</v>
      </c>
      <c r="E38" s="330">
        <f>MAX(E62*E$14,'Output - Jobs vs Yr (BAU)'!E13)</f>
        <v>63.253</v>
      </c>
      <c r="F38" s="330">
        <f>MAX(F62*F$14,'Output - Jobs vs Yr (BAU)'!F13)</f>
        <v>109.19599999999998</v>
      </c>
      <c r="G38" s="330">
        <f>MAX(G62*G$14,'Output - Jobs vs Yr (BAU)'!G13)</f>
        <v>203.63300000000001</v>
      </c>
      <c r="H38" s="286">
        <f>'Output - Jobs vs Yr (BAU)'!H13</f>
        <v>345.07000000000005</v>
      </c>
      <c r="I38" s="118">
        <f>MAX(I62*I$14,'Output - Jobs vs Yr (BAU)'!I13)</f>
        <v>613.06200000000001</v>
      </c>
      <c r="J38" s="118">
        <f>MAX(J62*J$14,'Output - Jobs vs Yr (BAU)'!J13)</f>
        <v>940.63400000000001</v>
      </c>
      <c r="K38" s="118">
        <f>MAX(K62*K$14,'Output - Jobs vs Yr (BAU)'!K13)</f>
        <v>944.05499999999995</v>
      </c>
      <c r="L38" s="118">
        <f>MAX(L62*L$14,'Output - Jobs vs Yr (BAU)'!L13)</f>
        <v>951.399</v>
      </c>
      <c r="M38" s="118">
        <f>MAX(M62*M$14,'Output - Jobs vs Yr (BAU)'!M13)</f>
        <v>967.60899999999992</v>
      </c>
      <c r="N38" s="184">
        <f>MAX(Inputs!$E21*N$21,'Output - Jobs vs Yr (BAU)'!N13)</f>
        <v>1116.6835432881114</v>
      </c>
      <c r="O38" s="174">
        <f>MAX(O62*O$14,'Output - Jobs vs Yr (BAU)'!O13)</f>
        <v>1153.665432474068</v>
      </c>
      <c r="P38" s="174">
        <f>MAX(P62*P$14,'Output - Jobs vs Yr (BAU)'!P13)</f>
        <v>1195.1459662377895</v>
      </c>
      <c r="Q38" s="174">
        <f>MAX(Q62*Q$14,'Output - Jobs vs Yr (BAU)'!Q13)</f>
        <v>1246.6741100821598</v>
      </c>
      <c r="R38" s="174">
        <f>MAX(R62*R$14,'Output - Jobs vs Yr (BAU)'!R13)</f>
        <v>1294.7693912071763</v>
      </c>
      <c r="S38" s="174">
        <f>MAX(S62*S$14,'Output - Jobs vs Yr (BAU)'!S13)</f>
        <v>1399.788</v>
      </c>
      <c r="T38" s="174">
        <f>MAX(T62*T$14,'Output - Jobs vs Yr (BAU)'!T13)</f>
        <v>1552.991</v>
      </c>
      <c r="U38" s="174">
        <f>MAX(U62*U$14,'Output - Jobs vs Yr (BAU)'!U13)</f>
        <v>1739.915</v>
      </c>
      <c r="V38" s="174">
        <f>MAX(V62*V$14,'Output - Jobs vs Yr (BAU)'!V13)</f>
        <v>1977.624</v>
      </c>
      <c r="W38" s="174">
        <f>MAX(W62*W$14,'Output - Jobs vs Yr (BAU)'!W13)</f>
        <v>2240.9290000000001</v>
      </c>
      <c r="X38" s="184">
        <f>Inputs!F21*'Output -Jobs vs Yr'!$X$14</f>
        <v>1557.4638685205523</v>
      </c>
      <c r="Y38" s="174">
        <f>MAX(Y62*Y$14,'Output - Jobs vs Yr (BAU)'!Y13)</f>
        <v>2834.9169999999999</v>
      </c>
      <c r="Z38" s="174">
        <f>MAX(Z62*Z$14,'Output - Jobs vs Yr (BAU)'!Z13)</f>
        <v>3147.8709999999996</v>
      </c>
      <c r="AA38" s="174">
        <f>MAX(AA62*AA$14,'Output - Jobs vs Yr (BAU)'!AA13)</f>
        <v>3471.3700000000003</v>
      </c>
      <c r="AB38" s="174">
        <f>MAX(AB62*AB$14,'Output - Jobs vs Yr (BAU)'!AB13)</f>
        <v>3811.8669999999997</v>
      </c>
      <c r="AC38" s="174">
        <f>MAX(AC62*AC$14,'Output - Jobs vs Yr (BAU)'!AC13)</f>
        <v>4167.8620000000001</v>
      </c>
      <c r="AD38" s="174">
        <f>MAX(AD62*AD$14,'Output - Jobs vs Yr (BAU)'!AD13)</f>
        <v>4535.99</v>
      </c>
      <c r="AE38" s="174">
        <f>MAX(AE62*AE$14,'Output - Jobs vs Yr (BAU)'!AE13)</f>
        <v>4913.6429999999991</v>
      </c>
      <c r="AF38" s="174">
        <f>MAX(AF62*AF$14,'Output - Jobs vs Yr (BAU)'!AF13)</f>
        <v>5294.335</v>
      </c>
      <c r="AG38" s="174">
        <f>MAX(AG62*AG$14,'Output - Jobs vs Yr (BAU)'!AG13)</f>
        <v>5680.6349999999993</v>
      </c>
      <c r="AH38" s="184">
        <f>Inputs!I21*'Output -Jobs vs Yr'!$AH$14</f>
        <v>2275.448190285038</v>
      </c>
      <c r="AI38" s="127"/>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0.10440211097813111</v>
      </c>
      <c r="J39" s="118">
        <f>MAX(J63*J$14,'Output - Jobs vs Yr (BAU)'!J14)</f>
        <v>0.10959106712929498</v>
      </c>
      <c r="K39" s="118">
        <f>MAX(K63*K$14,'Output - Jobs vs Yr (BAU)'!K14)</f>
        <v>0.10872901364949869</v>
      </c>
      <c r="L39" s="118">
        <f>MAX(L63*L$14,'Output - Jobs vs Yr (BAU)'!L14)</f>
        <v>0.10870661038682426</v>
      </c>
      <c r="M39" s="118">
        <f>MAX(M63*M$14,'Output - Jobs vs Yr (BAU)'!M14)</f>
        <v>0.10967725719318019</v>
      </c>
      <c r="N39" s="184">
        <f>MAX(Inputs!$E22*N$21,'Output - Jobs vs Yr (BAU)'!N14)</f>
        <v>0.11098921134459357</v>
      </c>
      <c r="O39" s="174">
        <f>MAX(O63*O$14,'Output - Jobs vs Yr (BAU)'!O14)</f>
        <v>0.11466490867124754</v>
      </c>
      <c r="P39" s="174">
        <f>MAX(P63*P$14,'Output - Jobs vs Yr (BAU)'!P14)</f>
        <v>0.11878773447651726</v>
      </c>
      <c r="Q39" s="174">
        <f>MAX(Q63*Q$14,'Output - Jobs vs Yr (BAU)'!Q14)</f>
        <v>0.12390921054886755</v>
      </c>
      <c r="R39" s="174">
        <f>MAX(R63*R$14,'Output - Jobs vs Yr (BAU)'!R14)</f>
        <v>0.12868948814277215</v>
      </c>
      <c r="S39" s="174">
        <f>MAX(S63*S$14,'Output - Jobs vs Yr (BAU)'!S14)</f>
        <v>0.13287439185994288</v>
      </c>
      <c r="T39" s="174">
        <f>MAX(T63*T$14,'Output - Jobs vs Yr (BAU)'!T14)</f>
        <v>0.13705091287823482</v>
      </c>
      <c r="U39" s="174">
        <f>MAX(U63*U$14,'Output - Jobs vs Yr (BAU)'!U14)</f>
        <v>0.14136731420272422</v>
      </c>
      <c r="V39" s="174">
        <f>MAX(V63*V$14,'Output - Jobs vs Yr (BAU)'!V14)</f>
        <v>0.14600267324823366</v>
      </c>
      <c r="W39" s="174">
        <f>MAX(W63*W$14,'Output - Jobs vs Yr (BAU)'!W14)</f>
        <v>0.14997325480255466</v>
      </c>
      <c r="X39" s="184">
        <f>Inputs!F22*'Output -Jobs vs Yr'!$X$14</f>
        <v>0.1547991707263805</v>
      </c>
      <c r="Y39" s="174">
        <f>MAX(Y63*Y$14,'Output - Jobs vs Yr (BAU)'!Y14)</f>
        <v>0.16001813515197802</v>
      </c>
      <c r="Z39" s="174">
        <f>MAX(Z63*Z$14,'Output - Jobs vs Yr (BAU)'!Z14)</f>
        <v>0.16579745177856461</v>
      </c>
      <c r="AA39" s="174">
        <f>MAX(AA63*AA$14,'Output - Jobs vs Yr (BAU)'!AA14)</f>
        <v>0.17146169554616175</v>
      </c>
      <c r="AB39" s="174">
        <f>MAX(AB63*AB$14,'Output - Jobs vs Yr (BAU)'!AB14)</f>
        <v>0.17766841171476849</v>
      </c>
      <c r="AC39" s="174">
        <f>MAX(AC63*AC$14,'Output - Jobs vs Yr (BAU)'!AC14)</f>
        <v>0.18469699155332575</v>
      </c>
      <c r="AD39" s="174">
        <f>MAX(AD63*AD$14,'Output - Jobs vs Yr (BAU)'!AD14)</f>
        <v>0.1917553590696201</v>
      </c>
      <c r="AE39" s="174">
        <f>MAX(AE63*AE$14,'Output - Jobs vs Yr (BAU)'!AE14)</f>
        <v>0.20006497178244551</v>
      </c>
      <c r="AF39" s="174">
        <f>MAX(AF63*AF$14,'Output - Jobs vs Yr (BAU)'!AF14)</f>
        <v>0.20895497791877479</v>
      </c>
      <c r="AG39" s="174">
        <f>MAX(AG63*AG$14,'Output - Jobs vs Yr (BAU)'!AG14)</f>
        <v>0.21761904636343077</v>
      </c>
      <c r="AH39" s="184">
        <f>Inputs!I22*'Output -Jobs vs Yr'!$AH$14</f>
        <v>0.22616094023520456</v>
      </c>
      <c r="AI39" s="127"/>
    </row>
    <row r="40" spans="1:36" s="20" customFormat="1">
      <c r="A40" s="9" t="s">
        <v>344</v>
      </c>
      <c r="B40" s="35">
        <v>1</v>
      </c>
      <c r="C40" s="330">
        <f>'Output - Jobs vs Yr (BAU)'!C15</f>
        <v>0.01</v>
      </c>
      <c r="D40" s="330">
        <f>MAX(D64*D$14,'Output - Jobs vs Yr (BAU)'!D15)</f>
        <v>1.0352656043467771E-2</v>
      </c>
      <c r="E40" s="330">
        <f>MAX(E64*E$14,'Output - Jobs vs Yr (BAU)'!E15)</f>
        <v>1.0479521090654153E-2</v>
      </c>
      <c r="F40" s="330">
        <f>MAX(F64*F$14,'Output - Jobs vs Yr (BAU)'!F15)</f>
        <v>1.0957701447833061E-2</v>
      </c>
      <c r="G40" s="330">
        <f>MAX(G64*G$14,'Output - Jobs vs Yr (BAU)'!G15)</f>
        <v>1.0531553523166976E-2</v>
      </c>
      <c r="H40" s="286">
        <f>'Output - Jobs vs Yr (BAU)'!H15</f>
        <v>0.01</v>
      </c>
      <c r="I40" s="118">
        <f>MAX(I64*I$14,'Output - Jobs vs Yr (BAU)'!I15)</f>
        <v>1.0440211097813111E-2</v>
      </c>
      <c r="J40" s="118">
        <f>MAX(J64*J$14,'Output - Jobs vs Yr (BAU)'!J15)</f>
        <v>1.0959106712929495E-2</v>
      </c>
      <c r="K40" s="118">
        <f>MAX(K64*K$14,'Output - Jobs vs Yr (BAU)'!K15)</f>
        <v>1.0872901364949863E-2</v>
      </c>
      <c r="L40" s="118">
        <f>MAX(L64*L$14,'Output - Jobs vs Yr (BAU)'!L15)</f>
        <v>1.087066103868242E-2</v>
      </c>
      <c r="M40" s="118">
        <f>MAX(M64*M$14,'Output - Jobs vs Yr (BAU)'!M15)</f>
        <v>1.0967725719318014E-2</v>
      </c>
      <c r="N40" s="184">
        <f>MAX(Inputs!$E18*N$21,'Output - Jobs vs Yr (BAU)'!N15)</f>
        <v>1.1098921134459356E-2</v>
      </c>
      <c r="O40" s="174">
        <f>MAX(O64*O$14,'Output - Jobs vs Yr (BAU)'!O15)</f>
        <v>1.1466490867124748E-2</v>
      </c>
      <c r="P40" s="174">
        <f>MAX(P64*P$14,'Output - Jobs vs Yr (BAU)'!P15)</f>
        <v>1.1878773447651718E-2</v>
      </c>
      <c r="Q40" s="174">
        <f>MAX(Q64*Q$14,'Output - Jobs vs Yr (BAU)'!Q15)</f>
        <v>1.2390921054886751E-2</v>
      </c>
      <c r="R40" s="174">
        <f>MAX(R64*R$14,'Output - Jobs vs Yr (BAU)'!R15)</f>
        <v>1.2868948814277208E-2</v>
      </c>
      <c r="S40" s="174">
        <f>MAX(S64*S$14,'Output - Jobs vs Yr (BAU)'!S15)</f>
        <v>1.3287439185994282E-2</v>
      </c>
      <c r="T40" s="174">
        <f>MAX(T64*T$14,'Output - Jobs vs Yr (BAU)'!T15)</f>
        <v>1.3705091287823476E-2</v>
      </c>
      <c r="U40" s="174">
        <f>MAX(U64*U$14,'Output - Jobs vs Yr (BAU)'!U15)</f>
        <v>1.4136731420272415E-2</v>
      </c>
      <c r="V40" s="174">
        <f>MAX(V64*V$14,'Output - Jobs vs Yr (BAU)'!V15)</f>
        <v>1.4600267324823358E-2</v>
      </c>
      <c r="W40" s="174">
        <f>MAX(W64*W$14,'Output - Jobs vs Yr (BAU)'!W15)</f>
        <v>1.4997325480255459E-2</v>
      </c>
      <c r="X40" s="184">
        <f>Inputs!F18*'Output -Jobs vs Yr'!$X$14</f>
        <v>1.5479917072638049E-2</v>
      </c>
      <c r="Y40" s="174">
        <f>MAX(Y64*Y$14,'Output - Jobs vs Yr (BAU)'!Y15)</f>
        <v>1.6001813515197805E-2</v>
      </c>
      <c r="Z40" s="174">
        <f>MAX(Z64*Z$14,'Output - Jobs vs Yr (BAU)'!Z15)</f>
        <v>1.6579745177856462E-2</v>
      </c>
      <c r="AA40" s="174">
        <f>MAX(AA64*AA$14,'Output - Jobs vs Yr (BAU)'!AA15)</f>
        <v>1.7146169554616179E-2</v>
      </c>
      <c r="AB40" s="174">
        <f>MAX(AB64*AB$14,'Output - Jobs vs Yr (BAU)'!AB15)</f>
        <v>1.7766841171476852E-2</v>
      </c>
      <c r="AC40" s="174">
        <f>MAX(AC64*AC$14,'Output - Jobs vs Yr (BAU)'!AC15)</f>
        <v>1.8469699155332576E-2</v>
      </c>
      <c r="AD40" s="174">
        <f>MAX(AD64*AD$14,'Output - Jobs vs Yr (BAU)'!AD15)</f>
        <v>1.9175535906962009E-2</v>
      </c>
      <c r="AE40" s="174">
        <f>MAX(AE64*AE$14,'Output - Jobs vs Yr (BAU)'!AE15)</f>
        <v>2.0006497178244553E-2</v>
      </c>
      <c r="AF40" s="174">
        <f>MAX(AF64*AF$14,'Output - Jobs vs Yr (BAU)'!AF15)</f>
        <v>2.0895497791877479E-2</v>
      </c>
      <c r="AG40" s="174">
        <f>MAX(AG64*AG$14,'Output - Jobs vs Yr (BAU)'!AG15)</f>
        <v>2.1761904636343078E-2</v>
      </c>
      <c r="AH40" s="184">
        <f>Inputs!I18*'Output -Jobs vs Yr'!$AH$14</f>
        <v>2.2616094023520456E-2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20026</v>
      </c>
      <c r="D42" s="330">
        <f>MAX(D66*D$14,'Output - Jobs vs Yr (BAU)'!D16)</f>
        <v>26251</v>
      </c>
      <c r="E42" s="330">
        <f>MAX(E66*E$14,'Output - Jobs vs Yr (BAU)'!E16)</f>
        <v>27288.744699999999</v>
      </c>
      <c r="F42" s="330">
        <f>MAX(F66*F$14,'Output - Jobs vs Yr (BAU)'!F16)</f>
        <v>30524.146099999998</v>
      </c>
      <c r="G42" s="330">
        <f>MAX(G66*G$14,'Output - Jobs vs Yr (BAU)'!G16)</f>
        <v>32746.628599999993</v>
      </c>
      <c r="H42" s="286">
        <f>'Output - Jobs vs Yr (BAU)'!H16</f>
        <v>32928.527099999999</v>
      </c>
      <c r="I42" s="118">
        <f>MAX(I66*I$14,'Output - Jobs vs Yr (BAU)'!I16)</f>
        <v>41561.067799999997</v>
      </c>
      <c r="J42" s="118">
        <f>MAX(J66*J$14,'Output - Jobs vs Yr (BAU)'!J16)</f>
        <v>47166.447999999997</v>
      </c>
      <c r="K42" s="118">
        <f>MAX(K66*K$14,'Output - Jobs vs Yr (BAU)'!K16)</f>
        <v>47166.678999999989</v>
      </c>
      <c r="L42" s="118">
        <f>MAX(L66*L$14,'Output - Jobs vs Yr (BAU)'!L16)</f>
        <v>47159.807799999988</v>
      </c>
      <c r="M42" s="118">
        <f>MAX(M66*M$14,'Output - Jobs vs Yr (BAU)'!M16)</f>
        <v>48727.754555832485</v>
      </c>
      <c r="N42" s="184">
        <f>MAX(Inputs!$E23*N$21,'Output - Jobs vs Yr (BAU)'!N16)</f>
        <v>52354.99058714178</v>
      </c>
      <c r="O42" s="174">
        <f>MAX(O66*O$14,'Output - Jobs vs Yr (BAU)'!O16)</f>
        <v>54088.862705042229</v>
      </c>
      <c r="P42" s="174">
        <f>MAX(P66*P$14,'Output - Jobs vs Yr (BAU)'!P16)</f>
        <v>56033.650884112714</v>
      </c>
      <c r="Q42" s="174">
        <f>MAX(Q66*Q$14,'Output - Jobs vs Yr (BAU)'!Q16)</f>
        <v>58449.514807387932</v>
      </c>
      <c r="R42" s="174">
        <f>MAX(R66*R$14,'Output - Jobs vs Yr (BAU)'!R16)</f>
        <v>60704.431167283212</v>
      </c>
      <c r="S42" s="174">
        <f>MAX(S66*S$14,'Output - Jobs vs Yr (BAU)'!S16)</f>
        <v>62678.502269025856</v>
      </c>
      <c r="T42" s="174">
        <f>MAX(T66*T$14,'Output - Jobs vs Yr (BAU)'!T16)</f>
        <v>64648.619147510413</v>
      </c>
      <c r="U42" s="174">
        <f>MAX(U66*U$14,'Output - Jobs vs Yr (BAU)'!U16)</f>
        <v>66684.719305140534</v>
      </c>
      <c r="V42" s="174">
        <f>MAX(V66*V$14,'Output - Jobs vs Yr (BAU)'!V16)</f>
        <v>68871.275784420272</v>
      </c>
      <c r="W42" s="174">
        <f>MAX(W66*W$14,'Output - Jobs vs Yr (BAU)'!W16)</f>
        <v>70744.248457922222</v>
      </c>
      <c r="X42" s="184">
        <f>Inputs!F23*'Output -Jobs vs Yr'!$X$14</f>
        <v>73020.692985325775</v>
      </c>
      <c r="Y42" s="174">
        <f>MAX(Y66*Y$14,'Output - Jobs vs Yr (BAU)'!Y16)</f>
        <v>75482.543376607951</v>
      </c>
      <c r="Z42" s="174">
        <f>MAX(Z66*Z$14,'Output - Jobs vs Yr (BAU)'!Z16)</f>
        <v>78208.718866274517</v>
      </c>
      <c r="AA42" s="174">
        <f>MAX(AA66*AA$14,'Output - Jobs vs Yr (BAU)'!AA16)</f>
        <v>80880.613058000119</v>
      </c>
      <c r="AB42" s="174">
        <f>MAX(AB66*AB$14,'Output - Jobs vs Yr (BAU)'!AB16)</f>
        <v>83808.398224213903</v>
      </c>
      <c r="AC42" s="174">
        <f>MAX(AC66*AC$14,'Output - Jobs vs Yr (BAU)'!AC16)</f>
        <v>87123.866699308754</v>
      </c>
      <c r="AD42" s="174">
        <f>MAX(AD66*AD$14,'Output - Jobs vs Yr (BAU)'!AD16)</f>
        <v>90453.386392253014</v>
      </c>
      <c r="AE42" s="174">
        <f>MAX(AE66*AE$14,'Output - Jobs vs Yr (BAU)'!AE16)</f>
        <v>94373.133997378798</v>
      </c>
      <c r="AF42" s="174">
        <f>MAX(AF66*AF$14,'Output - Jobs vs Yr (BAU)'!AF16)</f>
        <v>98566.660394661565</v>
      </c>
      <c r="AG42" s="174">
        <f>MAX(AG66*AG$14,'Output - Jobs vs Yr (BAU)'!AG16)</f>
        <v>102653.60917437657</v>
      </c>
      <c r="AH42" s="184">
        <f>Inputs!I23*'Output -Jobs vs Yr'!$AH$14</f>
        <v>106682.92668943305</v>
      </c>
      <c r="AI42" s="127"/>
    </row>
    <row r="43" spans="1:36">
      <c r="A43" s="10" t="s">
        <v>332</v>
      </c>
      <c r="B43" s="37"/>
      <c r="C43" s="330">
        <f>SUM(C31:C42)</f>
        <v>63600</v>
      </c>
      <c r="D43" s="330">
        <f t="shared" ref="D43:AG43" si="29">SUM(D31:D42)</f>
        <v>71652.637056738138</v>
      </c>
      <c r="E43" s="330">
        <f t="shared" si="29"/>
        <v>73705.677492952294</v>
      </c>
      <c r="F43" s="330">
        <f t="shared" si="29"/>
        <v>79048.228066417752</v>
      </c>
      <c r="G43" s="330">
        <f t="shared" si="29"/>
        <v>79510.125661892613</v>
      </c>
      <c r="H43" s="286">
        <f t="shared" si="29"/>
        <v>77516.651929577143</v>
      </c>
      <c r="I43" s="83">
        <f t="shared" si="29"/>
        <v>88756.341444905906</v>
      </c>
      <c r="J43" s="83">
        <f t="shared" si="29"/>
        <v>97419.8868113403</v>
      </c>
      <c r="K43" s="83">
        <f t="shared" si="29"/>
        <v>97452.503383547402</v>
      </c>
      <c r="L43" s="83">
        <f t="shared" si="29"/>
        <v>97864.351704351386</v>
      </c>
      <c r="M43" s="83">
        <f t="shared" si="29"/>
        <v>100323.01623274398</v>
      </c>
      <c r="N43" s="184">
        <f t="shared" si="29"/>
        <v>105145.55661501639</v>
      </c>
      <c r="O43" s="83">
        <f t="shared" si="29"/>
        <v>106993.22541711017</v>
      </c>
      <c r="P43" s="83">
        <f t="shared" si="29"/>
        <v>109195.94662103997</v>
      </c>
      <c r="Q43" s="83">
        <f t="shared" si="29"/>
        <v>112269.66706872353</v>
      </c>
      <c r="R43" s="83">
        <f t="shared" si="29"/>
        <v>114929.80274425636</v>
      </c>
      <c r="S43" s="83">
        <f t="shared" si="29"/>
        <v>117219.12793108739</v>
      </c>
      <c r="T43" s="83">
        <f t="shared" si="29"/>
        <v>119331.44352619883</v>
      </c>
      <c r="U43" s="83">
        <f t="shared" si="29"/>
        <v>121520.24664766912</v>
      </c>
      <c r="V43" s="83">
        <f t="shared" si="29"/>
        <v>123966.27908242928</v>
      </c>
      <c r="W43" s="83">
        <f t="shared" si="29"/>
        <v>126061.23892854739</v>
      </c>
      <c r="X43" s="184">
        <f t="shared" si="29"/>
        <v>127257.95201302541</v>
      </c>
      <c r="Y43" s="174">
        <f t="shared" si="29"/>
        <v>131234.36553816288</v>
      </c>
      <c r="Z43" s="174">
        <f t="shared" si="29"/>
        <v>134242.85259281905</v>
      </c>
      <c r="AA43" s="174">
        <f t="shared" si="29"/>
        <v>137119.35837722133</v>
      </c>
      <c r="AB43" s="174">
        <f t="shared" si="29"/>
        <v>140370.69516491692</v>
      </c>
      <c r="AC43" s="174">
        <f t="shared" si="29"/>
        <v>144180.07958886662</v>
      </c>
      <c r="AD43" s="174">
        <f t="shared" si="29"/>
        <v>147961.63439018163</v>
      </c>
      <c r="AE43" s="174">
        <f t="shared" si="29"/>
        <v>152592.65683050433</v>
      </c>
      <c r="AF43" s="174">
        <f t="shared" si="29"/>
        <v>157606.82533598747</v>
      </c>
      <c r="AG43" s="174">
        <f t="shared" si="29"/>
        <v>162389.79820430625</v>
      </c>
      <c r="AH43" s="184">
        <f>SUM(AH31:AH42)</f>
        <v>163211.8770857678</v>
      </c>
      <c r="AI43" s="127"/>
    </row>
    <row r="44" spans="1:36">
      <c r="A44" s="10" t="s">
        <v>124</v>
      </c>
      <c r="B44" s="37"/>
      <c r="C44" s="331">
        <f>SUMPRODUCT($B34:$B42,C34:C42)</f>
        <v>21073.01</v>
      </c>
      <c r="D44" s="331">
        <f>SUMPRODUCT($B34:$B42,D34:D42)</f>
        <v>27600.010352656045</v>
      </c>
      <c r="E44" s="331">
        <f t="shared" ref="E44:AG44" si="30">SUMPRODUCT($B34:$B42*E34:E42)</f>
        <v>29087.143361823157</v>
      </c>
      <c r="F44" s="331">
        <f t="shared" si="30"/>
        <v>32366.640433356504</v>
      </c>
      <c r="G44" s="331">
        <f t="shared" si="30"/>
        <v>34618.086412525241</v>
      </c>
      <c r="H44" s="402">
        <f t="shared" si="30"/>
        <v>35023.416870182467</v>
      </c>
      <c r="I44" s="14">
        <f>SUMPRODUCT($B34:$B42*I34:I42)</f>
        <v>44065.279693170458</v>
      </c>
      <c r="J44" s="14">
        <f t="shared" si="30"/>
        <v>50162.701022759858</v>
      </c>
      <c r="K44" s="14">
        <f t="shared" si="30"/>
        <v>50223.447442747027</v>
      </c>
      <c r="L44" s="14">
        <f t="shared" si="30"/>
        <v>50300.086189832153</v>
      </c>
      <c r="M44" s="14">
        <f t="shared" si="30"/>
        <v>51984.59627689809</v>
      </c>
      <c r="N44" s="182">
        <f t="shared" si="30"/>
        <v>55873.832085853675</v>
      </c>
      <c r="O44" s="14">
        <f t="shared" si="30"/>
        <v>57725.007998078509</v>
      </c>
      <c r="P44" s="14">
        <f t="shared" si="30"/>
        <v>59801.247692026001</v>
      </c>
      <c r="Q44" s="14">
        <f t="shared" si="30"/>
        <v>62411.435842245795</v>
      </c>
      <c r="R44" s="14">
        <f t="shared" si="30"/>
        <v>64828.159036848825</v>
      </c>
      <c r="S44" s="14">
        <f t="shared" si="30"/>
        <v>67172.381607897114</v>
      </c>
      <c r="T44" s="14">
        <f t="shared" si="30"/>
        <v>69398.048742208528</v>
      </c>
      <c r="U44" s="14">
        <f t="shared" si="30"/>
        <v>71702.900405570093</v>
      </c>
      <c r="V44" s="14">
        <f t="shared" si="30"/>
        <v>74208.445018146987</v>
      </c>
      <c r="W44" s="14">
        <f t="shared" si="30"/>
        <v>76638.249776701006</v>
      </c>
      <c r="X44" s="187">
        <f t="shared" si="30"/>
        <v>77935.737985711035</v>
      </c>
      <c r="Y44" s="14">
        <f t="shared" si="30"/>
        <v>82125.836503161685</v>
      </c>
      <c r="Z44" s="14">
        <f t="shared" si="30"/>
        <v>85237.225354927301</v>
      </c>
      <c r="AA44" s="14">
        <f t="shared" si="30"/>
        <v>88312.416835989497</v>
      </c>
      <c r="AB44" s="14">
        <f t="shared" si="30"/>
        <v>91669.853440493636</v>
      </c>
      <c r="AC44" s="14">
        <f t="shared" si="30"/>
        <v>95431.428883479588</v>
      </c>
      <c r="AD44" s="14">
        <f t="shared" si="30"/>
        <v>99232.248520674024</v>
      </c>
      <c r="AE44" s="14">
        <f t="shared" si="30"/>
        <v>103646.5005259898</v>
      </c>
      <c r="AF44" s="14">
        <f t="shared" si="30"/>
        <v>108395.26410307403</v>
      </c>
      <c r="AG44" s="14">
        <f t="shared" si="30"/>
        <v>113056.4843209149</v>
      </c>
      <c r="AH44" s="187">
        <f>SUMPRODUCT($B34:$B42*AH34:AH42)</f>
        <v>113865.94992523902</v>
      </c>
      <c r="AI44" s="127"/>
    </row>
    <row r="45" spans="1:36">
      <c r="A45" s="10" t="s">
        <v>117</v>
      </c>
      <c r="B45" s="37"/>
      <c r="C45" s="332">
        <f t="shared" ref="C45:AG45" si="31">C44/C14</f>
        <v>5.3550171656260567E-2</v>
      </c>
      <c r="D45" s="332">
        <f t="shared" si="31"/>
        <v>6.7580166581757389E-2</v>
      </c>
      <c r="E45" s="332">
        <f t="shared" si="31"/>
        <v>7.0185748820078775E-2</v>
      </c>
      <c r="F45" s="332">
        <f t="shared" si="31"/>
        <v>7.4506637881381912E-2</v>
      </c>
      <c r="G45" s="332">
        <f t="shared" si="31"/>
        <v>8.2709411208845895E-2</v>
      </c>
      <c r="H45" s="284">
        <f t="shared" si="31"/>
        <v>8.4742535569825486E-2</v>
      </c>
      <c r="I45" s="23">
        <f t="shared" si="31"/>
        <v>0.10187267170548189</v>
      </c>
      <c r="J45" s="23">
        <f t="shared" si="31"/>
        <v>0.11020561096548506</v>
      </c>
      <c r="K45" s="23">
        <f t="shared" si="31"/>
        <v>0.11093958206305084</v>
      </c>
      <c r="L45" s="23">
        <f t="shared" si="31"/>
        <v>0.11085766652638826</v>
      </c>
      <c r="M45" s="23">
        <f t="shared" si="31"/>
        <v>0.11327616990400365</v>
      </c>
      <c r="N45" s="178">
        <f t="shared" si="31"/>
        <v>0.12001503575500234</v>
      </c>
      <c r="O45" s="23">
        <f t="shared" si="31"/>
        <v>0.12272483011039792</v>
      </c>
      <c r="P45" s="23">
        <f t="shared" si="31"/>
        <v>0.12549563321954696</v>
      </c>
      <c r="Q45" s="207">
        <f t="shared" si="31"/>
        <v>0.1283930613128284</v>
      </c>
      <c r="R45" s="207">
        <f t="shared" si="31"/>
        <v>0.13130842331034073</v>
      </c>
      <c r="S45" s="207">
        <f t="shared" si="31"/>
        <v>0.1347449287804689</v>
      </c>
      <c r="T45" s="207">
        <f t="shared" si="31"/>
        <v>0.13801277896926525</v>
      </c>
      <c r="U45" s="207">
        <f t="shared" si="31"/>
        <v>0.14136200340334301</v>
      </c>
      <c r="V45" s="207">
        <f t="shared" si="31"/>
        <v>0.14485333553861329</v>
      </c>
      <c r="W45" s="207">
        <f t="shared" si="31"/>
        <v>0.14892195841397629</v>
      </c>
      <c r="X45" s="185">
        <f t="shared" si="31"/>
        <v>0.15003272640273593</v>
      </c>
      <c r="Y45" s="172">
        <f t="shared" si="31"/>
        <v>0.15740642448872808</v>
      </c>
      <c r="Z45" s="172">
        <f t="shared" si="31"/>
        <v>0.16227707797942617</v>
      </c>
      <c r="AA45" s="172">
        <f t="shared" si="31"/>
        <v>0.16732246582661409</v>
      </c>
      <c r="AB45" s="172">
        <f t="shared" si="31"/>
        <v>0.17250821869550442</v>
      </c>
      <c r="AC45" s="172">
        <f t="shared" si="31"/>
        <v>0.17779475800615638</v>
      </c>
      <c r="AD45" s="172">
        <f t="shared" si="31"/>
        <v>0.18326795887473052</v>
      </c>
      <c r="AE45" s="172">
        <f t="shared" si="31"/>
        <v>0.18882464670178747</v>
      </c>
      <c r="AF45" s="172">
        <f t="shared" si="31"/>
        <v>0.19459270464571171</v>
      </c>
      <c r="AG45" s="172">
        <f t="shared" si="31"/>
        <v>0.20056789445438986</v>
      </c>
      <c r="AH45" s="185">
        <f>AH44/AH14</f>
        <v>0.20004743543403677</v>
      </c>
      <c r="AI45" s="127"/>
    </row>
    <row r="46" spans="1:36" s="252" customFormat="1">
      <c r="A46" s="10" t="s">
        <v>333</v>
      </c>
      <c r="B46" s="37"/>
      <c r="C46" s="330">
        <f>SUM(EIA_electricity_aeo2014!E50,EIA_electricity_aeo2014!E55)*1000</f>
        <v>1715</v>
      </c>
      <c r="D46" s="330">
        <f>SUM(EIA_electricity_aeo2014!F50,EIA_electricity_aeo2014!F55)*1000</f>
        <v>1047</v>
      </c>
      <c r="E46" s="330">
        <f>SUM(EIA_electricity_aeo2014!G50,EIA_electricity_aeo2014!G55)*1000</f>
        <v>1678.750036968077</v>
      </c>
      <c r="F46" s="330">
        <f>SUM(EIA_electricity_aeo2014!H50,EIA_electricity_aeo2014!H55)*1000</f>
        <v>1228.2448593122406</v>
      </c>
      <c r="G46" s="330">
        <f>SUM(EIA_electricity_aeo2014!I50,EIA_electricity_aeo2014!I55)*1000</f>
        <v>202.31784814102173</v>
      </c>
      <c r="H46" s="286">
        <f>SUM(EIA_electricity_aeo2014!J50,EIA_electricity_aeo2014!J55)*1000</f>
        <v>212.25020608805295</v>
      </c>
      <c r="I46" s="286">
        <f>SUM(EIA_electricity_aeo2014!K50,EIA_electricity_aeo2014!K55)*1000</f>
        <v>192.56453607677466</v>
      </c>
      <c r="J46" s="286">
        <f>SUM(EIA_electricity_aeo2014!L50,EIA_electricity_aeo2014!L55)*1000</f>
        <v>165.04700146820738</v>
      </c>
      <c r="K46" s="286">
        <f>SUM(EIA_electricity_aeo2014!M50,EIA_electricity_aeo2014!M55)*1000</f>
        <v>-72.544174177515458</v>
      </c>
      <c r="L46" s="286">
        <f>SUM(EIA_electricity_aeo2014!N50,EIA_electricity_aeo2014!N55)*1000</f>
        <v>-66.157238606074415</v>
      </c>
      <c r="M46" s="286">
        <f>SUM(EIA_electricity_aeo2014!O50,EIA_electricity_aeo2014!O55)*1000</f>
        <v>-62.613394458625848</v>
      </c>
      <c r="N46" s="286">
        <f>SUM(EIA_electricity_aeo2014!P50,EIA_electricity_aeo2014!P55)*1000</f>
        <v>-62.323114596330001</v>
      </c>
      <c r="O46" s="286">
        <f>SUM(EIA_electricity_aeo2014!Q50,EIA_electricity_aeo2014!Q55)*1000</f>
        <v>-58.349446500385817</v>
      </c>
      <c r="P46" s="286">
        <f>SUM(EIA_electricity_aeo2014!R50,EIA_electricity_aeo2014!R55)*1000</f>
        <v>-55.342970156991186</v>
      </c>
      <c r="Q46" s="286">
        <f>SUM(EIA_electricity_aeo2014!S50,EIA_electricity_aeo2014!S55)*1000</f>
        <v>-53.578458780607185</v>
      </c>
      <c r="R46" s="286">
        <f>SUM(EIA_electricity_aeo2014!T50,EIA_electricity_aeo2014!T55)*1000</f>
        <v>-48.726354685482534</v>
      </c>
      <c r="S46" s="286">
        <f>SUM(EIA_electricity_aeo2014!U50,EIA_electricity_aeo2014!U55)*1000</f>
        <v>-41.644000912916198</v>
      </c>
      <c r="T46" s="286">
        <f>SUM(EIA_electricity_aeo2014!V50,EIA_electricity_aeo2014!V55)*1000</f>
        <v>-44.444273840154317</v>
      </c>
      <c r="U46" s="286">
        <f>SUM(EIA_electricity_aeo2014!W50,EIA_electricity_aeo2014!W55)*1000</f>
        <v>-44.517301550572149</v>
      </c>
      <c r="V46" s="286">
        <f>SUM(EIA_electricity_aeo2014!X50,EIA_electricity_aeo2014!X55)*1000</f>
        <v>-42.514458421742063</v>
      </c>
      <c r="W46" s="286">
        <f>SUM(EIA_electricity_aeo2014!Y50,EIA_electricity_aeo2014!Y55)*1000</f>
        <v>-41.778349061564413</v>
      </c>
      <c r="X46" s="286">
        <f>SUM(EIA_electricity_aeo2014!Z50,EIA_electricity_aeo2014!Z55)*1000</f>
        <v>-40.898733015288236</v>
      </c>
      <c r="Y46" s="286">
        <f>SUM(EIA_electricity_aeo2014!AA50,EIA_electricity_aeo2014!AA55)*1000</f>
        <v>-40.572773755163325</v>
      </c>
      <c r="Z46" s="286">
        <f>SUM(EIA_electricity_aeo2014!AB50,EIA_electricity_aeo2014!AB55)*1000</f>
        <v>-40.418044227416019</v>
      </c>
      <c r="AA46" s="286">
        <f>SUM(EIA_electricity_aeo2014!AC50,EIA_electricity_aeo2014!AC55)*1000</f>
        <v>-40.602184192641552</v>
      </c>
      <c r="AB46" s="286">
        <f>SUM(EIA_electricity_aeo2014!AD50,EIA_electricity_aeo2014!AD55)*1000</f>
        <v>-40.611218063599189</v>
      </c>
      <c r="AC46" s="286">
        <f>SUM(EIA_electricity_aeo2014!AE50,EIA_electricity_aeo2014!AE55)*1000</f>
        <v>-40.736638051646068</v>
      </c>
      <c r="AD46" s="286">
        <f>SUM(EIA_electricity_aeo2014!AF50,EIA_electricity_aeo2014!AF55)*1000</f>
        <v>-40.838849255663334</v>
      </c>
      <c r="AE46" s="286">
        <f>SUM(EIA_electricity_aeo2014!AG50,EIA_electricity_aeo2014!AG55)*1000</f>
        <v>-40.707108430769743</v>
      </c>
      <c r="AF46" s="286">
        <f>SUM(EIA_electricity_aeo2014!AH50,EIA_electricity_aeo2014!AH55)*1000</f>
        <v>-40.829208572493002</v>
      </c>
      <c r="AG46" s="286">
        <f>SUM(EIA_electricity_aeo2014!AI50,EIA_electricity_aeo2014!AI55)*1000</f>
        <v>-40.657027846505819</v>
      </c>
      <c r="AH46" s="286">
        <f>SUM(EIA_electricity_aeo2014!AJ50,EIA_electricity_aeo2014!AJ55)*1000</f>
        <v>-40.249190185425057</v>
      </c>
      <c r="AI46" s="292"/>
    </row>
    <row r="47" spans="1:36" s="252" customFormat="1">
      <c r="A47" s="10" t="s">
        <v>142</v>
      </c>
      <c r="B47" s="37"/>
      <c r="C47" s="330">
        <f>(C$14-C$43-C$46)*0.7</f>
        <v>229742.79999999993</v>
      </c>
      <c r="D47" s="330">
        <f>(D$14-D$30-D$43-D$46)*EIA_electricity_aeo2014!F60</f>
        <v>149571.23109367452</v>
      </c>
      <c r="E47" s="330">
        <f>(E$14-E$30-E$43-E$46)*EIA_electricity_aeo2014!G60</f>
        <v>141692.65298480119</v>
      </c>
      <c r="F47" s="330">
        <f>(F$14-F$30-F$43-F$46)*EIA_electricity_aeo2014!H60</f>
        <v>121187.40816616963</v>
      </c>
      <c r="G47" s="330">
        <f>(G$14-G$30-G$43-G$46)*EIA_electricity_aeo2014!I60</f>
        <v>130081.98656778326</v>
      </c>
      <c r="H47" s="286">
        <f>(H$14-H$30-H$43-H$46)*EIA_electricity_aeo2014!J60</f>
        <v>135042.71259391645</v>
      </c>
      <c r="I47" s="286">
        <f>(I$14-I$30-I$43-I$46)*EIA_electricity_aeo2014!K60</f>
        <v>127711.6841282113</v>
      </c>
      <c r="J47" s="286">
        <f>(J$14-J$30-J$43-J$46)*EIA_electricity_aeo2014!L60</f>
        <v>122464.99101158812</v>
      </c>
      <c r="K47" s="286">
        <f>(K$14-K$30-K$43-K$46)*EIA_electricity_aeo2014!M60</f>
        <v>129587.69504096908</v>
      </c>
      <c r="L47" s="286">
        <f>(L$14-L$30-L$43-L$46)*EIA_electricity_aeo2014!N60</f>
        <v>132296.76059630327</v>
      </c>
      <c r="M47" s="286">
        <f>(M$14-M$30-M$43-M$46)*EIA_electricity_aeo2014!O60</f>
        <v>132701.13314631602</v>
      </c>
      <c r="N47" s="287">
        <f>(N$14-N$43-N$46)*EIA_electricity_aeo2014!P60 - N30</f>
        <v>130655.19023798265</v>
      </c>
      <c r="O47" s="286">
        <f>(O$14-O$43-O$46)*EIA_electricity_aeo2014!Q60 - O30</f>
        <v>131161.65287411486</v>
      </c>
      <c r="P47" s="286">
        <f>(P$14-P$43-P$46)*EIA_electricity_aeo2014!R60 - P30</f>
        <v>131483.26430659572</v>
      </c>
      <c r="Q47" s="286">
        <f>(Q$14-Q$43-Q$46)*EIA_electricity_aeo2014!S60 - Q30</f>
        <v>130633.73649288734</v>
      </c>
      <c r="R47" s="286">
        <f>(R$14-R$43-R$46)*EIA_electricity_aeo2014!T60 - R30</f>
        <v>131535.92231826633</v>
      </c>
      <c r="S47" s="286">
        <f>(S$14-S$43-S$46)*EIA_electricity_aeo2014!U60 - S30</f>
        <v>132216.06698836881</v>
      </c>
      <c r="T47" s="286">
        <f>(T$14-T$43-T$46)*EIA_electricity_aeo2014!V60 - T30</f>
        <v>131529.86628085299</v>
      </c>
      <c r="U47" s="286">
        <f>(U$14-U$43-U$46)*EIA_electricity_aeo2014!W60 - U30</f>
        <v>130964.25243479203</v>
      </c>
      <c r="V47" s="286">
        <f>(V$14-V$43-V$46)*EIA_electricity_aeo2014!X60 - V30</f>
        <v>130301.97145611368</v>
      </c>
      <c r="W47" s="286">
        <f>(W$14-W$43-W$46)*EIA_electricity_aeo2014!Y60 - W30</f>
        <v>129349.67952181793</v>
      </c>
      <c r="X47" s="287">
        <f>(X$14-X$43-X$46)*EIA_electricity_aeo2014!Z60 - X30</f>
        <v>129291.22850043532</v>
      </c>
      <c r="Y47" s="286">
        <f>(Y$14-Y$43-Y$46)*EIA_electricity_aeo2014!AA60 - Y30</f>
        <v>128130.36400145516</v>
      </c>
      <c r="Z47" s="286">
        <f>(Z$14-Z$43-Z$46)*EIA_electricity_aeo2014!AB60 - Z30</f>
        <v>127329.8485214379</v>
      </c>
      <c r="AA47" s="286">
        <f>(AA$14-AA$43-AA$46)*EIA_electricity_aeo2014!AC60 - AA30</f>
        <v>126467.02931155296</v>
      </c>
      <c r="AB47" s="286">
        <f>(AB$14-AB$43-AB$46)*EIA_electricity_aeo2014!AD60 - AB30</f>
        <v>125594.79878551512</v>
      </c>
      <c r="AC47" s="286">
        <f>(AC$14-AC$43-AC$46)*EIA_electricity_aeo2014!AE60 - AC30</f>
        <v>124593.27146535978</v>
      </c>
      <c r="AD47" s="286">
        <f>(AD$14-AD$43-AD$46)*EIA_electricity_aeo2014!AF60 - AD30</f>
        <v>123565.37681992994</v>
      </c>
      <c r="AE47" s="286">
        <f>(AE$14-AE$43-AE$46)*EIA_electricity_aeo2014!AG60 - AE30</f>
        <v>122438.13358523855</v>
      </c>
      <c r="AF47" s="286">
        <f>(AF$14-AF$43-AF$46)*EIA_electricity_aeo2014!AH60 - AF30</f>
        <v>121234.11272400191</v>
      </c>
      <c r="AG47" s="286">
        <f>(AG$14-AG$43-AG$46)*EIA_electricity_aeo2014!AI60 - AG30</f>
        <v>120214.73805535943</v>
      </c>
      <c r="AH47" s="287">
        <f>(AH$14-AH$43-AH$46)*EIA_electricity_aeo2014!AJ60 - AH30</f>
        <v>120400.95233044014</v>
      </c>
      <c r="AI47" s="292"/>
      <c r="AJ47" s="398"/>
    </row>
    <row r="48" spans="1:36" s="252" customFormat="1">
      <c r="A48" s="10" t="s">
        <v>222</v>
      </c>
      <c r="B48" s="37"/>
      <c r="C48" s="330">
        <f>(C$14-C$43-C$46)* 0.3</f>
        <v>98461.199999999983</v>
      </c>
      <c r="D48" s="330">
        <f t="shared" ref="D48:AH48" si="32">(D$14-SUM(D30:D42,D46:D47))</f>
        <v>186133.13184958734</v>
      </c>
      <c r="E48" s="330">
        <f t="shared" si="32"/>
        <v>197353.82391842868</v>
      </c>
      <c r="F48" s="330">
        <f>(F$14-SUM(F30:F42,F46:F47))</f>
        <v>232948.96256487261</v>
      </c>
      <c r="G48" s="330">
        <f t="shared" si="32"/>
        <v>208756.32377911283</v>
      </c>
      <c r="H48" s="286">
        <f t="shared" si="32"/>
        <v>200520.44261420827</v>
      </c>
      <c r="I48" s="286">
        <f t="shared" si="32"/>
        <v>215891.91838459525</v>
      </c>
      <c r="J48" s="286">
        <f t="shared" si="32"/>
        <v>235123.82343847677</v>
      </c>
      <c r="K48" s="286">
        <f t="shared" si="32"/>
        <v>225742.24882287876</v>
      </c>
      <c r="L48" s="286">
        <f t="shared" si="32"/>
        <v>223640.79245938116</v>
      </c>
      <c r="M48" s="286">
        <f t="shared" si="32"/>
        <v>225957.54930008517</v>
      </c>
      <c r="N48" s="287">
        <f t="shared" si="32"/>
        <v>229818.51031037793</v>
      </c>
      <c r="O48" s="286">
        <f t="shared" si="32"/>
        <v>232264.7496850692</v>
      </c>
      <c r="P48" s="286">
        <f t="shared" si="32"/>
        <v>235896.67827863907</v>
      </c>
      <c r="Q48" s="286">
        <f t="shared" si="32"/>
        <v>243246.81597795966</v>
      </c>
      <c r="R48" s="286">
        <f t="shared" si="32"/>
        <v>247292.06734065834</v>
      </c>
      <c r="S48" s="286">
        <f t="shared" si="32"/>
        <v>249121.54880247609</v>
      </c>
      <c r="T48" s="286">
        <f t="shared" si="32"/>
        <v>252020.98224074784</v>
      </c>
      <c r="U48" s="286">
        <f t="shared" si="32"/>
        <v>254788.96715371113</v>
      </c>
      <c r="V48" s="286">
        <f t="shared" si="32"/>
        <v>258074.82463679358</v>
      </c>
      <c r="W48" s="286">
        <f t="shared" si="32"/>
        <v>259251.0716720362</v>
      </c>
      <c r="X48" s="287">
        <f t="shared" si="32"/>
        <v>262949.97145762836</v>
      </c>
      <c r="Y48" s="286">
        <f t="shared" si="32"/>
        <v>262419.70959737274</v>
      </c>
      <c r="Z48" s="286">
        <f t="shared" si="32"/>
        <v>263725.05096783035</v>
      </c>
      <c r="AA48" s="286">
        <f t="shared" si="32"/>
        <v>264251.93968255608</v>
      </c>
      <c r="AB48" s="286">
        <f t="shared" si="32"/>
        <v>265469.23943580955</v>
      </c>
      <c r="AC48" s="286">
        <f t="shared" si="32"/>
        <v>268017.90597979299</v>
      </c>
      <c r="AD48" s="286">
        <f t="shared" si="32"/>
        <v>269973.71582670457</v>
      </c>
      <c r="AE48" s="286">
        <f t="shared" si="32"/>
        <v>273913.36937426333</v>
      </c>
      <c r="AF48" s="286">
        <f t="shared" si="32"/>
        <v>278236.51952797471</v>
      </c>
      <c r="AG48" s="286">
        <f t="shared" si="32"/>
        <v>281117.98335374286</v>
      </c>
      <c r="AH48" s="287">
        <f t="shared" si="32"/>
        <v>285622.16940017277</v>
      </c>
      <c r="AI48" s="292"/>
    </row>
    <row r="49" spans="1:35" s="252" customFormat="1">
      <c r="A49" s="10" t="s">
        <v>334</v>
      </c>
      <c r="B49" s="37"/>
      <c r="C49" s="330">
        <f>SUM(C43,C46:C48)</f>
        <v>393518.99999999988</v>
      </c>
      <c r="D49" s="330">
        <f t="shared" ref="D49:M49" si="33">SUM(D43,D46:D48)+D30</f>
        <v>408404</v>
      </c>
      <c r="E49" s="330">
        <f t="shared" si="33"/>
        <v>414430.90443315025</v>
      </c>
      <c r="F49" s="330">
        <f t="shared" si="33"/>
        <v>434412.84365677222</v>
      </c>
      <c r="G49" s="330">
        <f t="shared" si="33"/>
        <v>418550.75385692972</v>
      </c>
      <c r="H49" s="286">
        <f>SUM(H43,H46:H48)+H30</f>
        <v>413292.0573437899</v>
      </c>
      <c r="I49" s="286">
        <f t="shared" si="33"/>
        <v>432552.50849378924</v>
      </c>
      <c r="J49" s="286">
        <f t="shared" si="33"/>
        <v>455173.74826287339</v>
      </c>
      <c r="K49" s="286">
        <f t="shared" si="33"/>
        <v>452709.90307321772</v>
      </c>
      <c r="L49" s="286">
        <f t="shared" si="33"/>
        <v>453735.74752142973</v>
      </c>
      <c r="M49" s="286">
        <f t="shared" si="33"/>
        <v>458919.08528468653</v>
      </c>
      <c r="N49" s="287">
        <f t="shared" ref="N49:AH49" si="34">SUM(N43,N46:N48)+N30</f>
        <v>465556.93404878065</v>
      </c>
      <c r="O49" s="286">
        <f t="shared" si="34"/>
        <v>470361.27852979384</v>
      </c>
      <c r="P49" s="286">
        <f t="shared" si="34"/>
        <v>476520.54623611778</v>
      </c>
      <c r="Q49" s="286">
        <f t="shared" si="34"/>
        <v>486096.64108078991</v>
      </c>
      <c r="R49" s="286">
        <f t="shared" si="34"/>
        <v>493709.06604849553</v>
      </c>
      <c r="S49" s="286">
        <f t="shared" si="34"/>
        <v>498515.09972101939</v>
      </c>
      <c r="T49" s="286">
        <f t="shared" si="34"/>
        <v>502837.84777395951</v>
      </c>
      <c r="U49" s="286">
        <f t="shared" si="34"/>
        <v>507228.9489346217</v>
      </c>
      <c r="V49" s="286">
        <f t="shared" si="34"/>
        <v>512300.56071691477</v>
      </c>
      <c r="W49" s="286">
        <f t="shared" si="34"/>
        <v>514620.21177333995</v>
      </c>
      <c r="X49" s="287">
        <f t="shared" si="34"/>
        <v>519458.25323807378</v>
      </c>
      <c r="Y49" s="286">
        <f t="shared" si="34"/>
        <v>521743.86636323563</v>
      </c>
      <c r="Z49" s="286">
        <f t="shared" si="34"/>
        <v>525257.33403785992</v>
      </c>
      <c r="AA49" s="286">
        <f t="shared" si="34"/>
        <v>527797.72518713772</v>
      </c>
      <c r="AB49" s="286">
        <f t="shared" si="34"/>
        <v>531394.12216817797</v>
      </c>
      <c r="AC49" s="286">
        <f t="shared" si="34"/>
        <v>536750.52039596776</v>
      </c>
      <c r="AD49" s="286">
        <f t="shared" si="34"/>
        <v>541459.88818756049</v>
      </c>
      <c r="AE49" s="286">
        <f t="shared" si="34"/>
        <v>548903.45268157544</v>
      </c>
      <c r="AF49" s="286">
        <f t="shared" si="34"/>
        <v>557036.62837939162</v>
      </c>
      <c r="AG49" s="286">
        <f t="shared" si="34"/>
        <v>563681.86258556205</v>
      </c>
      <c r="AH49" s="287">
        <f t="shared" si="34"/>
        <v>569194.74962619529</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0.30973270323774571</v>
      </c>
      <c r="E51" s="332">
        <f t="shared" ref="E51:X51" si="36">E44/D44-1</f>
        <v>5.3881610556135051E-2</v>
      </c>
      <c r="F51" s="332">
        <f t="shared" si="36"/>
        <v>0.11274730662749377</v>
      </c>
      <c r="G51" s="332">
        <f>G44/F44-1</f>
        <v>6.9560694252605693E-2</v>
      </c>
      <c r="H51" s="284"/>
      <c r="I51" s="164">
        <f t="shared" ref="I51:N51" si="37">I44/H44-1</f>
        <v>0.25816621080982727</v>
      </c>
      <c r="J51" s="172">
        <f t="shared" si="37"/>
        <v>0.1383724640362245</v>
      </c>
      <c r="K51" s="172">
        <f t="shared" si="37"/>
        <v>1.2109878206041369E-3</v>
      </c>
      <c r="L51" s="172">
        <f t="shared" si="37"/>
        <v>1.5259555245086265E-3</v>
      </c>
      <c r="M51" s="172">
        <f t="shared" si="37"/>
        <v>3.348920876017214E-2</v>
      </c>
      <c r="N51" s="172">
        <f t="shared" si="37"/>
        <v>7.4815158479627497E-2</v>
      </c>
      <c r="O51" s="172">
        <f t="shared" ref="O51:R51" si="38">O44/N44-1</f>
        <v>3.3131357616216217E-2</v>
      </c>
      <c r="P51" s="172">
        <f t="shared" si="38"/>
        <v>3.5967767973572373E-2</v>
      </c>
      <c r="Q51" s="172">
        <f t="shared" si="38"/>
        <v>4.3647720590415773E-2</v>
      </c>
      <c r="R51" s="172">
        <f t="shared" si="38"/>
        <v>3.8722441840813637E-2</v>
      </c>
      <c r="S51" s="164">
        <f t="shared" si="36"/>
        <v>3.6160560563131439E-2</v>
      </c>
      <c r="T51" s="164">
        <f t="shared" si="36"/>
        <v>3.3133664179174405E-2</v>
      </c>
      <c r="U51" s="164">
        <f t="shared" si="36"/>
        <v>3.3212052862225949E-2</v>
      </c>
      <c r="V51" s="164">
        <f t="shared" si="36"/>
        <v>3.4943420676219361E-2</v>
      </c>
      <c r="W51" s="164">
        <f t="shared" si="36"/>
        <v>3.2742968242493564E-2</v>
      </c>
      <c r="X51" s="185">
        <f t="shared" si="36"/>
        <v>1.6930034451341003E-2</v>
      </c>
      <c r="Y51" s="172">
        <f t="shared" ref="Y51:AH51" si="39">Y44/X44-1</f>
        <v>5.3763506008230433E-2</v>
      </c>
      <c r="Z51" s="172">
        <f t="shared" si="39"/>
        <v>3.788562752290292E-2</v>
      </c>
      <c r="AA51" s="172">
        <f t="shared" si="39"/>
        <v>3.6078033608638815E-2</v>
      </c>
      <c r="AB51" s="172">
        <f t="shared" si="39"/>
        <v>3.8017718513348342E-2</v>
      </c>
      <c r="AC51" s="172">
        <f t="shared" si="39"/>
        <v>4.1033941931932105E-2</v>
      </c>
      <c r="AD51" s="172">
        <f t="shared" si="39"/>
        <v>3.9827755715941215E-2</v>
      </c>
      <c r="AE51" s="172">
        <f t="shared" si="39"/>
        <v>4.4484046981925651E-2</v>
      </c>
      <c r="AF51" s="172">
        <f t="shared" si="39"/>
        <v>4.581692148779748E-2</v>
      </c>
      <c r="AG51" s="172">
        <f t="shared" si="39"/>
        <v>4.3002065232374598E-2</v>
      </c>
      <c r="AH51" s="185">
        <f t="shared" si="39"/>
        <v>7.1598335043430161E-3</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2.6148419771345227E-3</v>
      </c>
      <c r="D56" s="336">
        <f t="shared" si="40"/>
        <v>2.6977564832728271E-3</v>
      </c>
      <c r="E56" s="336">
        <f t="shared" si="40"/>
        <v>2.7806709894111314E-3</v>
      </c>
      <c r="F56" s="336">
        <f t="shared" si="40"/>
        <v>2.8635854955494366E-3</v>
      </c>
      <c r="G56" s="336">
        <f t="shared" si="40"/>
        <v>2.9465000016877414E-3</v>
      </c>
      <c r="H56" s="396">
        <f t="shared" si="40"/>
        <v>3.7809060359001545E-3</v>
      </c>
      <c r="I56" s="173">
        <f t="shared" si="40"/>
        <v>3.7385719540261077E-3</v>
      </c>
      <c r="J56" s="173">
        <f t="shared" si="40"/>
        <v>3.6962378721520609E-3</v>
      </c>
      <c r="K56" s="173">
        <f t="shared" si="40"/>
        <v>3.6539037902780145E-3</v>
      </c>
      <c r="L56" s="173">
        <f t="shared" si="40"/>
        <v>3.6115697084039672E-3</v>
      </c>
      <c r="M56" s="173">
        <f t="shared" si="40"/>
        <v>3.5692356265299204E-3</v>
      </c>
      <c r="N56" s="178">
        <f>N26</f>
        <v>3.5269015446558732E-3</v>
      </c>
      <c r="O56" s="116">
        <f t="shared" ref="O56:AH56" si="41">O31/O$49</f>
        <v>3.4906287375295626E-3</v>
      </c>
      <c r="P56" s="116">
        <f t="shared" si="41"/>
        <v>3.4543559304032519E-3</v>
      </c>
      <c r="Q56" s="116">
        <f t="shared" si="41"/>
        <v>3.4180831232769413E-3</v>
      </c>
      <c r="R56" s="116">
        <f t="shared" si="41"/>
        <v>3.3818103161506307E-3</v>
      </c>
      <c r="S56" s="116">
        <f t="shared" si="41"/>
        <v>3.3455375090243201E-3</v>
      </c>
      <c r="T56" s="116">
        <f t="shared" si="41"/>
        <v>3.3092647018980095E-3</v>
      </c>
      <c r="U56" s="116">
        <f t="shared" si="41"/>
        <v>3.2729918947716988E-3</v>
      </c>
      <c r="V56" s="116">
        <f t="shared" si="41"/>
        <v>3.2367190876453882E-3</v>
      </c>
      <c r="W56" s="116">
        <f t="shared" si="41"/>
        <v>3.2004462805190776E-3</v>
      </c>
      <c r="X56" s="178">
        <f t="shared" si="41"/>
        <v>3.1641734733927674E-3</v>
      </c>
      <c r="Y56" s="173">
        <f t="shared" si="41"/>
        <v>3.1366636157003176E-3</v>
      </c>
      <c r="Z56" s="173">
        <f t="shared" si="41"/>
        <v>3.1091537580078678E-3</v>
      </c>
      <c r="AA56" s="173">
        <f t="shared" si="41"/>
        <v>3.0816439003154179E-3</v>
      </c>
      <c r="AB56" s="173">
        <f t="shared" si="41"/>
        <v>3.0541340426229681E-3</v>
      </c>
      <c r="AC56" s="173">
        <f t="shared" si="41"/>
        <v>3.0266241849305183E-3</v>
      </c>
      <c r="AD56" s="173">
        <f t="shared" si="41"/>
        <v>2.9991143272380684E-3</v>
      </c>
      <c r="AE56" s="173">
        <f t="shared" si="41"/>
        <v>2.9716044695456186E-3</v>
      </c>
      <c r="AF56" s="173">
        <f t="shared" si="41"/>
        <v>2.9440946118531688E-3</v>
      </c>
      <c r="AG56" s="173">
        <f t="shared" si="41"/>
        <v>2.916584754160719E-3</v>
      </c>
      <c r="AH56" s="178">
        <f t="shared" si="41"/>
        <v>2.8890748964682678E-3</v>
      </c>
      <c r="AI56" s="127"/>
    </row>
    <row r="57" spans="1:35">
      <c r="A57" s="9" t="s">
        <v>59</v>
      </c>
      <c r="B57" s="37"/>
      <c r="C57" s="336">
        <f t="shared" ref="C57:M57" si="42">C32/C$49</f>
        <v>0.10545361215087458</v>
      </c>
      <c r="D57" s="336">
        <f t="shared" si="42"/>
        <v>0.1051675599780794</v>
      </c>
      <c r="E57" s="336">
        <f t="shared" si="42"/>
        <v>0.10488150780528424</v>
      </c>
      <c r="F57" s="336">
        <f t="shared" si="42"/>
        <v>0.10459545563248908</v>
      </c>
      <c r="G57" s="336">
        <f t="shared" si="42"/>
        <v>0.10430940345969392</v>
      </c>
      <c r="H57" s="396">
        <f t="shared" si="42"/>
        <v>9.903557520135578E-2</v>
      </c>
      <c r="I57" s="116">
        <f t="shared" si="42"/>
        <v>9.9580819042817792E-2</v>
      </c>
      <c r="J57" s="116">
        <f t="shared" si="42"/>
        <v>0.1001260628842798</v>
      </c>
      <c r="K57" s="116">
        <f t="shared" si="42"/>
        <v>0.10067130672574182</v>
      </c>
      <c r="L57" s="116">
        <f t="shared" si="42"/>
        <v>0.10121655056720381</v>
      </c>
      <c r="M57" s="116">
        <f t="shared" si="42"/>
        <v>0.10176179440866584</v>
      </c>
      <c r="N57" s="178">
        <f>N18</f>
        <v>0.10230703825012781</v>
      </c>
      <c r="O57" s="116">
        <f t="shared" ref="O57:AH57" si="43">O32/O$49</f>
        <v>0.10125485025476572</v>
      </c>
      <c r="P57" s="116">
        <f t="shared" si="43"/>
        <v>0.10020266225940361</v>
      </c>
      <c r="Q57" s="116">
        <f t="shared" si="43"/>
        <v>9.9150474264041513E-2</v>
      </c>
      <c r="R57" s="116">
        <f t="shared" si="43"/>
        <v>9.8098286268679391E-2</v>
      </c>
      <c r="S57" s="116">
        <f t="shared" si="43"/>
        <v>9.7046098273317283E-2</v>
      </c>
      <c r="T57" s="116">
        <f t="shared" si="43"/>
        <v>9.5993910277955175E-2</v>
      </c>
      <c r="U57" s="116">
        <f t="shared" si="43"/>
        <v>9.4941722282593066E-2</v>
      </c>
      <c r="V57" s="116">
        <f t="shared" si="43"/>
        <v>9.3889534287230958E-2</v>
      </c>
      <c r="W57" s="116">
        <f>W32/W$49</f>
        <v>9.283734629186885E-2</v>
      </c>
      <c r="X57" s="178">
        <f t="shared" si="43"/>
        <v>9.1785158296506797E-2</v>
      </c>
      <c r="Y57" s="173">
        <f t="shared" si="43"/>
        <v>9.0987162654280362E-2</v>
      </c>
      <c r="Z57" s="173">
        <f t="shared" si="43"/>
        <v>9.0189167012053928E-2</v>
      </c>
      <c r="AA57" s="173">
        <f t="shared" si="43"/>
        <v>8.9391171369827493E-2</v>
      </c>
      <c r="AB57" s="173">
        <f t="shared" si="43"/>
        <v>8.8593175727601059E-2</v>
      </c>
      <c r="AC57" s="173">
        <f t="shared" si="43"/>
        <v>8.7795180085374624E-2</v>
      </c>
      <c r="AD57" s="173">
        <f t="shared" si="43"/>
        <v>8.699718444314819E-2</v>
      </c>
      <c r="AE57" s="173">
        <f t="shared" si="43"/>
        <v>8.6199188800921756E-2</v>
      </c>
      <c r="AF57" s="173">
        <f t="shared" si="43"/>
        <v>8.5401193158695321E-2</v>
      </c>
      <c r="AG57" s="173">
        <f t="shared" si="43"/>
        <v>8.4603197516468887E-2</v>
      </c>
      <c r="AH57" s="178">
        <f t="shared" si="43"/>
        <v>8.3805201874242494E-2</v>
      </c>
      <c r="AI57" s="127"/>
    </row>
    <row r="58" spans="1:35">
      <c r="A58" s="9" t="s">
        <v>121</v>
      </c>
      <c r="B58" s="37"/>
      <c r="C58" s="336">
        <f>C34/C$49</f>
        <v>1.6492215115407392E-3</v>
      </c>
      <c r="D58" s="336">
        <f t="shared" ref="D58:G59" si="44">C58*($N71)</f>
        <v>1.7308878867075932E-3</v>
      </c>
      <c r="E58" s="336">
        <f t="shared" si="44"/>
        <v>1.8165982285497683E-3</v>
      </c>
      <c r="F58" s="336">
        <f t="shared" si="44"/>
        <v>1.90655278675923E-3</v>
      </c>
      <c r="G58" s="336">
        <f t="shared" si="44"/>
        <v>2.0009617270194324E-3</v>
      </c>
      <c r="H58" s="396">
        <f>H34/H$49</f>
        <v>2.4172476102792889E-3</v>
      </c>
      <c r="I58" s="116">
        <f t="shared" ref="I58:N59" si="45">H58*($N71)</f>
        <v>2.5369452062849501E-3</v>
      </c>
      <c r="J58" s="116">
        <f t="shared" si="45"/>
        <v>2.6625700041331564E-3</v>
      </c>
      <c r="K58" s="116">
        <f t="shared" si="45"/>
        <v>2.7944155078110772E-3</v>
      </c>
      <c r="L58" s="116">
        <f t="shared" si="45"/>
        <v>2.9327897550762462E-3</v>
      </c>
      <c r="M58" s="116">
        <f t="shared" si="45"/>
        <v>3.0780160371417808E-3</v>
      </c>
      <c r="N58" s="178">
        <f t="shared" si="45"/>
        <v>3.2304336539990689E-3</v>
      </c>
      <c r="O58" s="116">
        <f t="shared" ref="O58:W58" si="46">N58*$X71</f>
        <v>3.3033289791610677E-3</v>
      </c>
      <c r="P58" s="116">
        <f t="shared" si="46"/>
        <v>3.3778692006433781E-3</v>
      </c>
      <c r="Q58" s="116">
        <f t="shared" si="46"/>
        <v>3.4540914358317659E-3</v>
      </c>
      <c r="R58" s="116">
        <f t="shared" si="46"/>
        <v>3.5320336396725831E-3</v>
      </c>
      <c r="S58" s="116">
        <f t="shared" si="46"/>
        <v>3.6117346235724759E-3</v>
      </c>
      <c r="T58" s="116">
        <f t="shared" si="46"/>
        <v>3.693234074724566E-3</v>
      </c>
      <c r="U58" s="116">
        <f t="shared" si="46"/>
        <v>3.7765725758707341E-3</v>
      </c>
      <c r="V58" s="116">
        <f t="shared" si="46"/>
        <v>3.8617916255098399E-3</v>
      </c>
      <c r="W58" s="116">
        <f t="shared" si="46"/>
        <v>3.9489336585619463E-3</v>
      </c>
      <c r="X58" s="178">
        <f t="shared" ref="X58:X66" si="47">X34/X$49</f>
        <v>4.0380420674988333E-3</v>
      </c>
      <c r="Y58" s="173">
        <f>X58*$AH71</f>
        <v>4.1558963994809345E-3</v>
      </c>
      <c r="Z58" s="173">
        <f t="shared" ref="Z58:AG58" si="48">Y58*$AH71</f>
        <v>4.2771904290528013E-3</v>
      </c>
      <c r="AA58" s="173">
        <f t="shared" si="48"/>
        <v>4.4020245472591243E-3</v>
      </c>
      <c r="AB58" s="173">
        <f t="shared" si="48"/>
        <v>4.5305020751585257E-3</v>
      </c>
      <c r="AC58" s="173">
        <f t="shared" si="48"/>
        <v>4.6627293493389692E-3</v>
      </c>
      <c r="AD58" s="173">
        <f t="shared" si="48"/>
        <v>4.7988158099290289E-3</v>
      </c>
      <c r="AE58" s="173">
        <f t="shared" si="48"/>
        <v>4.9388740911778528E-3</v>
      </c>
      <c r="AF58" s="173">
        <f t="shared" si="48"/>
        <v>5.083020114678794E-3</v>
      </c>
      <c r="AG58" s="173">
        <f t="shared" si="48"/>
        <v>5.2313731853138676E-3</v>
      </c>
      <c r="AH58" s="178">
        <f t="shared" ref="AH58:AH66" si="49">AH34/AH$49</f>
        <v>5.3840560899984444E-3</v>
      </c>
      <c r="AI58" s="127"/>
    </row>
    <row r="59" spans="1:35">
      <c r="A59" s="9" t="s">
        <v>50</v>
      </c>
      <c r="B59" s="37"/>
      <c r="C59" s="336">
        <f t="shared" ref="C59:C65" si="50">C35/C$49</f>
        <v>0</v>
      </c>
      <c r="D59" s="336">
        <f t="shared" si="44"/>
        <v>0</v>
      </c>
      <c r="E59" s="336">
        <f t="shared" si="44"/>
        <v>0</v>
      </c>
      <c r="F59" s="336">
        <f t="shared" si="44"/>
        <v>0</v>
      </c>
      <c r="G59" s="336">
        <f t="shared" si="44"/>
        <v>0</v>
      </c>
      <c r="H59" s="396">
        <f>H35/H$49</f>
        <v>9.9422912368769308E-8</v>
      </c>
      <c r="I59" s="116">
        <f t="shared" si="45"/>
        <v>1.0218037489975854E-7</v>
      </c>
      <c r="J59" s="116">
        <f t="shared" si="45"/>
        <v>1.0501431476810043E-7</v>
      </c>
      <c r="K59" s="116">
        <f t="shared" si="45"/>
        <v>1.0792685304817506E-7</v>
      </c>
      <c r="L59" s="116">
        <f t="shared" si="45"/>
        <v>1.1092016964167899E-7</v>
      </c>
      <c r="M59" s="116">
        <f t="shared" si="45"/>
        <v>1.1399650490918192E-7</v>
      </c>
      <c r="N59" s="178">
        <f t="shared" si="45"/>
        <v>1.171581613469342E-7</v>
      </c>
      <c r="O59" s="116">
        <f t="shared" ref="O59:V59" si="51">N59*$X72</f>
        <v>1.1980185664654029E-7</v>
      </c>
      <c r="P59" s="116">
        <f t="shared" si="51"/>
        <v>1.2250520741322445E-7</v>
      </c>
      <c r="Q59" s="116">
        <f t="shared" si="51"/>
        <v>1.2526955978349221E-7</v>
      </c>
      <c r="R59" s="116">
        <f t="shared" si="51"/>
        <v>1.2809629026966512E-7</v>
      </c>
      <c r="S59" s="116">
        <f t="shared" si="51"/>
        <v>1.3098680644531653E-7</v>
      </c>
      <c r="T59" s="116">
        <f t="shared" si="51"/>
        <v>1.3394254764617448E-7</v>
      </c>
      <c r="U59" s="116">
        <f t="shared" si="51"/>
        <v>1.3696498568684047E-7</v>
      </c>
      <c r="V59" s="116">
        <f t="shared" si="51"/>
        <v>1.4005562559368117E-7</v>
      </c>
      <c r="W59" s="116">
        <f>V59*$X72</f>
        <v>1.43216006354258E-7</v>
      </c>
      <c r="X59" s="178">
        <f t="shared" si="47"/>
        <v>1.4644770168366776E-7</v>
      </c>
      <c r="Y59" s="173">
        <f>X59*$AH72</f>
        <v>1.5072192561787587E-7</v>
      </c>
      <c r="Z59" s="173">
        <f t="shared" ref="Z59:AG59" si="52">Y59*$AH72</f>
        <v>1.5512089709014519E-7</v>
      </c>
      <c r="AA59" s="173">
        <f t="shared" si="52"/>
        <v>1.5964825698323987E-7</v>
      </c>
      <c r="AB59" s="173">
        <f t="shared" si="52"/>
        <v>1.6430775244276113E-7</v>
      </c>
      <c r="AC59" s="173">
        <f t="shared" si="52"/>
        <v>1.6910323997853523E-7</v>
      </c>
      <c r="AD59" s="173">
        <f t="shared" si="52"/>
        <v>1.7403868865651882E-7</v>
      </c>
      <c r="AE59" s="173">
        <f t="shared" si="52"/>
        <v>1.7911818338386316E-7</v>
      </c>
      <c r="AF59" s="173">
        <f t="shared" si="52"/>
        <v>1.8434592828985624E-7</v>
      </c>
      <c r="AG59" s="173">
        <f t="shared" si="52"/>
        <v>1.8972625020554112E-7</v>
      </c>
      <c r="AH59" s="178">
        <f t="shared" si="49"/>
        <v>1.9526360224489036E-7</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1.0113869978323794E-3</v>
      </c>
      <c r="D61" s="336">
        <f t="shared" ref="D61:M61" si="56">C61*($N74)</f>
        <v>1.0204806384770146E-3</v>
      </c>
      <c r="E61" s="336">
        <f t="shared" si="56"/>
        <v>1.0296560423837353E-3</v>
      </c>
      <c r="F61" s="336">
        <f t="shared" si="56"/>
        <v>1.0389139447070622E-3</v>
      </c>
      <c r="G61" s="336">
        <f t="shared" si="56"/>
        <v>1.0482550872114788E-3</v>
      </c>
      <c r="H61" s="396">
        <f t="shared" si="53"/>
        <v>1.8138249409840577E-3</v>
      </c>
      <c r="I61" s="116">
        <f t="shared" si="56"/>
        <v>1.830133507577198E-3</v>
      </c>
      <c r="J61" s="116">
        <f t="shared" si="56"/>
        <v>1.8465887086874372E-3</v>
      </c>
      <c r="K61" s="116">
        <f t="shared" si="56"/>
        <v>1.8631918627434354E-3</v>
      </c>
      <c r="L61" s="116">
        <f t="shared" si="56"/>
        <v>1.8799443000281841E-3</v>
      </c>
      <c r="M61" s="116">
        <f t="shared" si="56"/>
        <v>1.8968473627855914E-3</v>
      </c>
      <c r="N61" s="178">
        <f>M61*($N74)</f>
        <v>1.9139024053280256E-3</v>
      </c>
      <c r="O61" s="116">
        <f t="shared" ref="O61:W61" si="57">N61*$X74</f>
        <v>1.9570899625131139E-3</v>
      </c>
      <c r="P61" s="116">
        <f t="shared" si="57"/>
        <v>2.0012520548105582E-3</v>
      </c>
      <c r="Q61" s="116">
        <f t="shared" si="57"/>
        <v>2.0464106727830838E-3</v>
      </c>
      <c r="R61" s="116">
        <f t="shared" si="57"/>
        <v>2.0925883032144781E-3</v>
      </c>
      <c r="S61" s="116">
        <f t="shared" si="57"/>
        <v>2.1398079403069101E-3</v>
      </c>
      <c r="T61" s="116">
        <f t="shared" si="57"/>
        <v>2.1880930971309182E-3</v>
      </c>
      <c r="U61" s="116">
        <f t="shared" si="57"/>
        <v>2.2374678173337709E-3</v>
      </c>
      <c r="V61" s="116">
        <f t="shared" si="57"/>
        <v>2.2879566871120264E-3</v>
      </c>
      <c r="W61" s="116">
        <f t="shared" si="57"/>
        <v>2.3395848474542565E-3</v>
      </c>
      <c r="X61" s="178">
        <f t="shared" si="47"/>
        <v>2.3923780066600303E-3</v>
      </c>
      <c r="Y61" s="173">
        <f t="shared" si="55"/>
        <v>2.4622019726095062E-3</v>
      </c>
      <c r="Z61" s="173">
        <f t="shared" si="55"/>
        <v>2.5340638214551387E-3</v>
      </c>
      <c r="AA61" s="173">
        <f t="shared" si="55"/>
        <v>2.6080230308654041E-3</v>
      </c>
      <c r="AB61" s="173">
        <f t="shared" si="55"/>
        <v>2.6841408144245441E-3</v>
      </c>
      <c r="AC61" s="173">
        <f t="shared" si="55"/>
        <v>2.762480172297019E-3</v>
      </c>
      <c r="AD61" s="173">
        <f t="shared" si="55"/>
        <v>2.8431059433706531E-3</v>
      </c>
      <c r="AE61" s="173">
        <f t="shared" si="55"/>
        <v>2.9260848589216333E-3</v>
      </c>
      <c r="AF61" s="173">
        <f t="shared" si="55"/>
        <v>3.0114855978457707E-3</v>
      </c>
      <c r="AG61" s="173">
        <f t="shared" si="55"/>
        <v>3.0993788435017449E-3</v>
      </c>
      <c r="AH61" s="178">
        <f t="shared" si="49"/>
        <v>3.189837342213374E-3</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8.3493015137467181E-4</v>
      </c>
      <c r="I62" s="116">
        <f t="shared" si="58"/>
        <v>9.9548489213524896E-4</v>
      </c>
      <c r="J62" s="116">
        <f t="shared" si="58"/>
        <v>1.1869138620014036E-3</v>
      </c>
      <c r="K62" s="116">
        <f t="shared" si="58"/>
        <v>1.4151540891689282E-3</v>
      </c>
      <c r="L62" s="116">
        <f t="shared" si="58"/>
        <v>1.6872842758063351E-3</v>
      </c>
      <c r="M62" s="116">
        <f t="shared" si="58"/>
        <v>2.0117443387774208E-3</v>
      </c>
      <c r="N62" s="178">
        <f t="shared" si="58"/>
        <v>2.3985971674328138E-3</v>
      </c>
      <c r="O62" s="116">
        <f t="shared" ref="O62:W62" si="59">N62*$X75</f>
        <v>2.4527219504124039E-3</v>
      </c>
      <c r="P62" s="116">
        <f t="shared" si="59"/>
        <v>2.5080680690011425E-3</v>
      </c>
      <c r="Q62" s="116">
        <f t="shared" si="59"/>
        <v>2.5646630828600209E-3</v>
      </c>
      <c r="R62" s="116">
        <f t="shared" si="59"/>
        <v>2.6225351735388127E-3</v>
      </c>
      <c r="S62" s="116">
        <f t="shared" si="59"/>
        <v>2.6817131585091074E-3</v>
      </c>
      <c r="T62" s="116">
        <f t="shared" si="59"/>
        <v>2.7422265055140008E-3</v>
      </c>
      <c r="U62" s="116">
        <f t="shared" si="59"/>
        <v>2.8041053472415926E-3</v>
      </c>
      <c r="V62" s="116">
        <f t="shared" si="59"/>
        <v>2.8673804963295899E-3</v>
      </c>
      <c r="W62" s="116">
        <f t="shared" si="59"/>
        <v>2.9320834607084955E-3</v>
      </c>
      <c r="X62" s="178">
        <f t="shared" si="47"/>
        <v>2.9982464592910193E-3</v>
      </c>
      <c r="Y62" s="173">
        <f t="shared" si="55"/>
        <v>3.085753307330449E-3</v>
      </c>
      <c r="Z62" s="173">
        <f t="shared" si="55"/>
        <v>3.1758141310212354E-3</v>
      </c>
      <c r="AA62" s="173">
        <f t="shared" si="55"/>
        <v>3.2685034707196346E-3</v>
      </c>
      <c r="AB62" s="173">
        <f t="shared" si="55"/>
        <v>3.3638980423174093E-3</v>
      </c>
      <c r="AC62" s="173">
        <f t="shared" si="55"/>
        <v>3.4620768007370259E-3</v>
      </c>
      <c r="AD62" s="173">
        <f t="shared" si="55"/>
        <v>3.5631210052800267E-3</v>
      </c>
      <c r="AE62" s="173">
        <f t="shared" si="55"/>
        <v>3.6671142868826565E-3</v>
      </c>
      <c r="AF62" s="173">
        <f t="shared" si="55"/>
        <v>3.7741427173344157E-3</v>
      </c>
      <c r="AG62" s="173">
        <f t="shared" si="55"/>
        <v>3.8842948805168239E-3</v>
      </c>
      <c r="AH62" s="178">
        <f t="shared" si="49"/>
        <v>3.9976619457213593E-3</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2.4195964626732886E-7</v>
      </c>
      <c r="I63" s="116">
        <f t="shared" si="60"/>
        <v>2.4136286098923446E-7</v>
      </c>
      <c r="J63" s="116">
        <f t="shared" si="60"/>
        <v>2.4076754766182956E-7</v>
      </c>
      <c r="K63" s="116">
        <f t="shared" si="60"/>
        <v>2.4017370265459759E-7</v>
      </c>
      <c r="L63" s="116">
        <f t="shared" si="60"/>
        <v>2.3958132234597649E-7</v>
      </c>
      <c r="M63" s="116">
        <f t="shared" si="60"/>
        <v>2.3899040312333676E-7</v>
      </c>
      <c r="N63" s="178">
        <f t="shared" si="60"/>
        <v>2.3840094138295931E-7</v>
      </c>
      <c r="O63" s="116">
        <f t="shared" ref="O63:W63" si="61">N63*$X76</f>
        <v>2.437805021485934E-7</v>
      </c>
      <c r="P63" s="116">
        <f t="shared" si="61"/>
        <v>2.4928145368501587E-7</v>
      </c>
      <c r="Q63" s="116">
        <f t="shared" si="61"/>
        <v>2.5490653519713106E-7</v>
      </c>
      <c r="R63" s="116">
        <f t="shared" si="61"/>
        <v>2.6065854770050215E-7</v>
      </c>
      <c r="S63" s="116">
        <f t="shared" si="61"/>
        <v>2.6654035541611973E-7</v>
      </c>
      <c r="T63" s="116">
        <f t="shared" si="61"/>
        <v>2.7255488719664408E-7</v>
      </c>
      <c r="U63" s="116">
        <f t="shared" si="61"/>
        <v>2.7870513798483036E-7</v>
      </c>
      <c r="V63" s="116">
        <f t="shared" si="61"/>
        <v>2.8499417030486383E-7</v>
      </c>
      <c r="W63" s="116">
        <f t="shared" si="61"/>
        <v>2.9142511578734706E-7</v>
      </c>
      <c r="X63" s="178">
        <f t="shared" si="47"/>
        <v>2.9800117672869898E-7</v>
      </c>
      <c r="Y63" s="173">
        <f t="shared" si="55"/>
        <v>3.06698641744212E-7</v>
      </c>
      <c r="Z63" s="173">
        <f t="shared" si="55"/>
        <v>3.156499510516385E-7</v>
      </c>
      <c r="AA63" s="173">
        <f t="shared" si="55"/>
        <v>3.2486251335275785E-7</v>
      </c>
      <c r="AB63" s="173">
        <f t="shared" si="55"/>
        <v>3.3434395357978612E-7</v>
      </c>
      <c r="AC63" s="173">
        <f t="shared" si="55"/>
        <v>3.4410211920627928E-7</v>
      </c>
      <c r="AD63" s="173">
        <f t="shared" si="55"/>
        <v>3.5414508674222691E-7</v>
      </c>
      <c r="AE63" s="173">
        <f t="shared" si="55"/>
        <v>3.6448116841871146E-7</v>
      </c>
      <c r="AF63" s="173">
        <f t="shared" si="55"/>
        <v>3.7511891906766643E-7</v>
      </c>
      <c r="AG63" s="173">
        <f t="shared" si="55"/>
        <v>3.8606714320242666E-7</v>
      </c>
      <c r="AH63" s="178">
        <f t="shared" si="49"/>
        <v>3.9733490230493204E-7</v>
      </c>
      <c r="AI63" s="127"/>
    </row>
    <row r="64" spans="1:35">
      <c r="A64" s="9" t="s">
        <v>344</v>
      </c>
      <c r="B64" s="37"/>
      <c r="C64" s="336">
        <f t="shared" si="50"/>
        <v>2.541173361387888E-8</v>
      </c>
      <c r="D64" s="336">
        <f t="shared" ref="D64:N64" si="62">C64*($N77)</f>
        <v>2.5349056433011847E-8</v>
      </c>
      <c r="E64" s="336">
        <f t="shared" si="62"/>
        <v>2.5286533843290038E-8</v>
      </c>
      <c r="F64" s="336">
        <f t="shared" si="62"/>
        <v>2.5224165463419621E-8</v>
      </c>
      <c r="G64" s="336">
        <f t="shared" si="62"/>
        <v>2.5161950913047222E-8</v>
      </c>
      <c r="H64" s="396">
        <f t="shared" si="53"/>
        <v>2.4195964626732888E-8</v>
      </c>
      <c r="I64" s="116">
        <f t="shared" si="62"/>
        <v>2.4136286098923446E-8</v>
      </c>
      <c r="J64" s="116">
        <f t="shared" si="62"/>
        <v>2.407675476618295E-8</v>
      </c>
      <c r="K64" s="116">
        <f t="shared" si="62"/>
        <v>2.4017370265459747E-8</v>
      </c>
      <c r="L64" s="116">
        <f t="shared" si="62"/>
        <v>2.3958132234597637E-8</v>
      </c>
      <c r="M64" s="116">
        <f t="shared" si="62"/>
        <v>2.3899040312333662E-8</v>
      </c>
      <c r="N64" s="178">
        <f t="shared" si="62"/>
        <v>2.3840094138295914E-8</v>
      </c>
      <c r="O64" s="116">
        <f t="shared" ref="O64:W64" si="63">N64*$X77</f>
        <v>2.4378050214859325E-8</v>
      </c>
      <c r="P64" s="116">
        <f t="shared" si="63"/>
        <v>2.4928145368501571E-8</v>
      </c>
      <c r="Q64" s="116">
        <f t="shared" si="63"/>
        <v>2.5490653519713094E-8</v>
      </c>
      <c r="R64" s="116">
        <f t="shared" si="63"/>
        <v>2.6065854770050202E-8</v>
      </c>
      <c r="S64" s="116">
        <f t="shared" si="63"/>
        <v>2.6654035541611961E-8</v>
      </c>
      <c r="T64" s="116">
        <f t="shared" si="63"/>
        <v>2.7255488719664396E-8</v>
      </c>
      <c r="U64" s="116">
        <f t="shared" si="63"/>
        <v>2.7870513798483023E-8</v>
      </c>
      <c r="V64" s="116">
        <f t="shared" si="63"/>
        <v>2.849941703048637E-8</v>
      </c>
      <c r="W64" s="116">
        <f t="shared" si="63"/>
        <v>2.9142511578734693E-8</v>
      </c>
      <c r="X64" s="178">
        <f t="shared" si="47"/>
        <v>2.9800117672869897E-8</v>
      </c>
      <c r="Y64" s="173">
        <f t="shared" si="55"/>
        <v>3.0669864174421202E-8</v>
      </c>
      <c r="Z64" s="173">
        <f t="shared" si="55"/>
        <v>3.1564995105163852E-8</v>
      </c>
      <c r="AA64" s="173">
        <f t="shared" si="55"/>
        <v>3.2486251335275792E-8</v>
      </c>
      <c r="AB64" s="173">
        <f t="shared" si="55"/>
        <v>3.343439535797862E-8</v>
      </c>
      <c r="AC64" s="173">
        <f t="shared" si="55"/>
        <v>3.4410211920627934E-8</v>
      </c>
      <c r="AD64" s="173">
        <f t="shared" si="55"/>
        <v>3.5414508674222693E-8</v>
      </c>
      <c r="AE64" s="173">
        <f t="shared" si="55"/>
        <v>3.6448116841871149E-8</v>
      </c>
      <c r="AF64" s="173">
        <f t="shared" si="55"/>
        <v>3.7511891906766644E-8</v>
      </c>
      <c r="AG64" s="173">
        <f t="shared" si="55"/>
        <v>3.8606714320242667E-8</v>
      </c>
      <c r="AH64" s="178">
        <f t="shared" si="49"/>
        <v>3.9733490230493203E-8</v>
      </c>
      <c r="AI64" s="127"/>
    </row>
    <row r="65" spans="1:35">
      <c r="A65" s="9" t="s">
        <v>120</v>
      </c>
      <c r="B65" s="37"/>
      <c r="C65" s="336">
        <f t="shared" si="50"/>
        <v>0</v>
      </c>
      <c r="D65" s="336">
        <v>0</v>
      </c>
      <c r="E65" s="336">
        <v>0</v>
      </c>
      <c r="F65" s="336">
        <v>0</v>
      </c>
      <c r="G65" s="336">
        <v>0</v>
      </c>
      <c r="H65" s="396">
        <f t="shared" si="53"/>
        <v>2.4195964626732885E-6</v>
      </c>
      <c r="I65" s="173">
        <v>0</v>
      </c>
      <c r="J65" s="173">
        <v>0</v>
      </c>
      <c r="K65" s="173">
        <v>0</v>
      </c>
      <c r="L65" s="173">
        <v>0</v>
      </c>
      <c r="M65" s="173">
        <v>0</v>
      </c>
      <c r="N65" s="178">
        <v>0</v>
      </c>
      <c r="O65" s="116">
        <f t="shared" ref="O65:AG65" si="64">O41/O$49</f>
        <v>1.7008202769168339E-5</v>
      </c>
      <c r="P65" s="116">
        <f t="shared" si="64"/>
        <v>1.8886908594158426E-5</v>
      </c>
      <c r="Q65" s="116">
        <f t="shared" si="64"/>
        <v>2.0572040937715483E-5</v>
      </c>
      <c r="R65" s="116">
        <f t="shared" si="64"/>
        <v>2.2280328145563168E-5</v>
      </c>
      <c r="S65" s="116">
        <f t="shared" si="64"/>
        <v>2.4071487517059119E-5</v>
      </c>
      <c r="T65" s="116">
        <f t="shared" si="64"/>
        <v>2.5853264740413661E-5</v>
      </c>
      <c r="U65" s="116">
        <f t="shared" si="64"/>
        <v>2.7600948308264841E-5</v>
      </c>
      <c r="V65" s="116">
        <f t="shared" si="64"/>
        <v>2.9279686867820249E-5</v>
      </c>
      <c r="W65" s="116">
        <f t="shared" si="64"/>
        <v>3.1090889230458482E-5</v>
      </c>
      <c r="X65" s="178">
        <f t="shared" si="47"/>
        <v>3.2726402735984066E-5</v>
      </c>
      <c r="Y65" s="173">
        <f t="shared" si="64"/>
        <v>3.4499686839573663E-5</v>
      </c>
      <c r="Z65" s="173">
        <f t="shared" si="64"/>
        <v>3.6172745754808444E-5</v>
      </c>
      <c r="AA65" s="173">
        <f t="shared" si="64"/>
        <v>3.7893304661191435E-5</v>
      </c>
      <c r="AB65" s="173">
        <f t="shared" si="64"/>
        <v>3.9518690787012183E-5</v>
      </c>
      <c r="AC65" s="173">
        <f t="shared" si="64"/>
        <v>4.0987384574439384E-5</v>
      </c>
      <c r="AD65" s="173">
        <f t="shared" si="64"/>
        <v>4.2477754126881608E-5</v>
      </c>
      <c r="AE65" s="173">
        <f t="shared" si="64"/>
        <v>4.3723536229827009E-5</v>
      </c>
      <c r="AF65" s="173">
        <f t="shared" si="64"/>
        <v>4.4880352074393156E-5</v>
      </c>
      <c r="AG65" s="173">
        <f t="shared" si="64"/>
        <v>4.612530884130306E-5</v>
      </c>
      <c r="AH65" s="178">
        <f t="shared" si="49"/>
        <v>4.743543403682411E-5</v>
      </c>
      <c r="AI65" s="127"/>
    </row>
    <row r="66" spans="1:35">
      <c r="A66" s="9" t="s">
        <v>53</v>
      </c>
      <c r="B66" s="37"/>
      <c r="C66" s="336">
        <f>C42/C$49</f>
        <v>5.0889537735153846E-2</v>
      </c>
      <c r="D66" s="336">
        <f t="shared" ref="D66:N66" si="65">C66*($N79)</f>
        <v>5.3898107048430524E-2</v>
      </c>
      <c r="E66" s="336">
        <f t="shared" si="65"/>
        <v>5.7084541787797281E-2</v>
      </c>
      <c r="F66" s="336">
        <f t="shared" si="65"/>
        <v>6.0459357286791082E-2</v>
      </c>
      <c r="G66" s="336">
        <f t="shared" si="65"/>
        <v>6.4033690541302438E-2</v>
      </c>
      <c r="H66" s="396">
        <f t="shared" si="53"/>
        <v>7.9673747692201521E-2</v>
      </c>
      <c r="I66" s="116">
        <f t="shared" si="65"/>
        <v>8.4384028096555083E-2</v>
      </c>
      <c r="J66" s="116">
        <f t="shared" si="65"/>
        <v>8.937277841264607E-2</v>
      </c>
      <c r="K66" s="116">
        <f t="shared" si="65"/>
        <v>9.4656461671352929E-2</v>
      </c>
      <c r="L66" s="116">
        <f t="shared" si="65"/>
        <v>0.10025251419141856</v>
      </c>
      <c r="M66" s="116">
        <f t="shared" si="65"/>
        <v>0.10617940311984331</v>
      </c>
      <c r="N66" s="178">
        <f t="shared" si="65"/>
        <v>0.11245668737404324</v>
      </c>
      <c r="O66" s="116">
        <f t="shared" ref="O66:W66" si="66">N66*$X79</f>
        <v>0.11499429305513317</v>
      </c>
      <c r="P66" s="116">
        <f t="shared" si="66"/>
        <v>0.11758916027169125</v>
      </c>
      <c r="Q66" s="116">
        <f t="shared" si="66"/>
        <v>0.12024258114071919</v>
      </c>
      <c r="R66" s="116">
        <f t="shared" si="66"/>
        <v>0.12295587693607474</v>
      </c>
      <c r="S66" s="116">
        <f t="shared" si="66"/>
        <v>0.12573039874640146</v>
      </c>
      <c r="T66" s="116">
        <f t="shared" si="66"/>
        <v>0.12856752814790481</v>
      </c>
      <c r="U66" s="116">
        <f t="shared" si="66"/>
        <v>0.13146867789230959</v>
      </c>
      <c r="V66" s="116">
        <f t="shared" si="66"/>
        <v>0.13443529261034112</v>
      </c>
      <c r="W66" s="116">
        <f t="shared" si="66"/>
        <v>0.13746884953108082</v>
      </c>
      <c r="X66" s="178">
        <f t="shared" si="47"/>
        <v>0.140570859217554</v>
      </c>
      <c r="Y66" s="173">
        <f t="shared" si="55"/>
        <v>0.14467356157486164</v>
      </c>
      <c r="Z66" s="173">
        <f t="shared" si="55"/>
        <v>0.14889600543994941</v>
      </c>
      <c r="AA66" s="173">
        <f t="shared" si="55"/>
        <v>0.15324168558953682</v>
      </c>
      <c r="AB66" s="173">
        <f t="shared" si="55"/>
        <v>0.15771419879892809</v>
      </c>
      <c r="AC66" s="173">
        <f t="shared" si="55"/>
        <v>0.16231724681894366</v>
      </c>
      <c r="AD66" s="173">
        <f t="shared" si="55"/>
        <v>0.16705463943973661</v>
      </c>
      <c r="AE66" s="173">
        <f t="shared" si="55"/>
        <v>0.17193029764402962</v>
      </c>
      <c r="AF66" s="173">
        <f t="shared" si="55"/>
        <v>0.17694825685238222</v>
      </c>
      <c r="AG66" s="173">
        <f t="shared" si="55"/>
        <v>0.18211267026317463</v>
      </c>
      <c r="AH66" s="178">
        <f t="shared" si="49"/>
        <v>0.18742781229007199</v>
      </c>
      <c r="AI66" s="127"/>
    </row>
    <row r="67" spans="1:35" s="1" customFormat="1">
      <c r="A67" s="11" t="s">
        <v>541</v>
      </c>
      <c r="B67" s="36"/>
      <c r="C67" s="340">
        <f t="shared" ref="C67:AG67" si="67">SUM(C58:C66)</f>
        <v>5.3550171656260581E-2</v>
      </c>
      <c r="D67" s="340">
        <f t="shared" si="67"/>
        <v>5.6649500922671563E-2</v>
      </c>
      <c r="E67" s="340">
        <f t="shared" si="67"/>
        <v>5.9930821345264632E-2</v>
      </c>
      <c r="F67" s="340">
        <f t="shared" si="67"/>
        <v>6.3404849242422831E-2</v>
      </c>
      <c r="G67" s="340">
        <f t="shared" si="67"/>
        <v>6.7082932517484262E-2</v>
      </c>
      <c r="H67" s="403">
        <f t="shared" si="67"/>
        <v>8.4742535569825472E-2</v>
      </c>
      <c r="I67" s="85">
        <f t="shared" si="67"/>
        <v>8.974695938207447E-2</v>
      </c>
      <c r="J67" s="85">
        <f t="shared" si="67"/>
        <v>9.5069220846085267E-2</v>
      </c>
      <c r="K67" s="85">
        <f t="shared" si="67"/>
        <v>0.10072959524900234</v>
      </c>
      <c r="L67" s="85">
        <f t="shared" si="67"/>
        <v>0.10675290698195355</v>
      </c>
      <c r="M67" s="85">
        <f t="shared" si="67"/>
        <v>0.11316638774449644</v>
      </c>
      <c r="N67" s="183">
        <f>SUM(N58:N66)</f>
        <v>0.12000000000000002</v>
      </c>
      <c r="O67" s="85">
        <f t="shared" si="67"/>
        <v>0.12272483011039793</v>
      </c>
      <c r="P67" s="85">
        <f t="shared" si="67"/>
        <v>0.12549563321954696</v>
      </c>
      <c r="Q67" s="85">
        <f t="shared" si="67"/>
        <v>0.12832872403988027</v>
      </c>
      <c r="R67" s="85">
        <f t="shared" si="67"/>
        <v>0.1312257292013389</v>
      </c>
      <c r="S67" s="85">
        <f t="shared" si="67"/>
        <v>0.1341881501375044</v>
      </c>
      <c r="T67" s="85">
        <f t="shared" si="67"/>
        <v>0.13721736884293828</v>
      </c>
      <c r="U67" s="85">
        <f t="shared" si="67"/>
        <v>0.14031486812170144</v>
      </c>
      <c r="V67" s="85">
        <f t="shared" si="67"/>
        <v>0.14348215465537334</v>
      </c>
      <c r="W67" s="85">
        <f t="shared" si="67"/>
        <v>0.14672100617066969</v>
      </c>
      <c r="X67" s="183">
        <f t="shared" si="67"/>
        <v>0.15003272640273593</v>
      </c>
      <c r="Y67" s="85">
        <f t="shared" si="67"/>
        <v>0.15441240103155363</v>
      </c>
      <c r="Z67" s="85">
        <f t="shared" si="67"/>
        <v>0.15891974890307664</v>
      </c>
      <c r="AA67" s="85">
        <f t="shared" si="67"/>
        <v>0.16355864694006386</v>
      </c>
      <c r="AB67" s="85">
        <f t="shared" si="67"/>
        <v>0.16833279050771696</v>
      </c>
      <c r="AC67" s="85">
        <f t="shared" si="67"/>
        <v>0.17324606814146223</v>
      </c>
      <c r="AD67" s="85">
        <f t="shared" si="67"/>
        <v>0.17830272355072727</v>
      </c>
      <c r="AE67" s="85">
        <f t="shared" si="67"/>
        <v>0.18350667446471022</v>
      </c>
      <c r="AF67" s="85">
        <f t="shared" si="67"/>
        <v>0.18886238261105487</v>
      </c>
      <c r="AG67" s="85">
        <f t="shared" si="67"/>
        <v>0.1943744568814561</v>
      </c>
      <c r="AH67" s="183">
        <f>SUM(AH58:AH66)</f>
        <v>0.20004743543403677</v>
      </c>
      <c r="AI67" s="196"/>
    </row>
    <row r="68" spans="1:35" s="252" customFormat="1">
      <c r="A68" s="10" t="s">
        <v>549</v>
      </c>
      <c r="B68" s="37"/>
      <c r="C68" s="332"/>
      <c r="D68" s="332">
        <f>D67/C67-1</f>
        <v>5.7877111698271033E-2</v>
      </c>
      <c r="E68" s="332">
        <f t="shared" ref="E68:W68" si="68">E67/D67-1</f>
        <v>5.7923200895841687E-2</v>
      </c>
      <c r="F68" s="332">
        <f t="shared" si="68"/>
        <v>5.7967299949789552E-2</v>
      </c>
      <c r="G68" s="332">
        <f t="shared" si="68"/>
        <v>5.8009494841610776E-2</v>
      </c>
      <c r="H68" s="284"/>
      <c r="I68" s="284">
        <f t="shared" si="68"/>
        <v>5.9054449794288866E-2</v>
      </c>
      <c r="J68" s="284">
        <f t="shared" si="68"/>
        <v>5.9302972497961237E-2</v>
      </c>
      <c r="K68" s="284">
        <f t="shared" si="68"/>
        <v>5.9539505557546057E-2</v>
      </c>
      <c r="L68" s="284">
        <f t="shared" si="68"/>
        <v>5.979684240824823E-2</v>
      </c>
      <c r="M68" s="284">
        <f t="shared" si="68"/>
        <v>6.0077809062633492E-2</v>
      </c>
      <c r="N68" s="283">
        <f t="shared" si="68"/>
        <v>6.0385529587922315E-2</v>
      </c>
      <c r="O68" s="284">
        <f t="shared" si="68"/>
        <v>2.2706917586649222E-2</v>
      </c>
      <c r="P68" s="284">
        <f t="shared" si="68"/>
        <v>2.257736357554152E-2</v>
      </c>
      <c r="Q68" s="284">
        <f t="shared" si="68"/>
        <v>2.2575214353291351E-2</v>
      </c>
      <c r="R68" s="284">
        <f t="shared" si="68"/>
        <v>2.2574877005387739E-2</v>
      </c>
      <c r="S68" s="284">
        <f t="shared" si="68"/>
        <v>2.2575000757818486E-2</v>
      </c>
      <c r="T68" s="284">
        <f t="shared" si="68"/>
        <v>2.2574412884668327E-2</v>
      </c>
      <c r="U68" s="284">
        <f t="shared" si="68"/>
        <v>2.2573667640491069E-2</v>
      </c>
      <c r="V68" s="284">
        <f t="shared" si="68"/>
        <v>2.2572707910930578E-2</v>
      </c>
      <c r="W68" s="284">
        <f t="shared" si="68"/>
        <v>2.2573200988482922E-2</v>
      </c>
      <c r="X68" s="284">
        <f>X67/W67-1</f>
        <v>2.2571547990980712E-2</v>
      </c>
      <c r="Y68" s="289">
        <f t="shared" ref="Y68:AG68" si="69">Y67/X67-1</f>
        <v>2.9191461981842748E-2</v>
      </c>
      <c r="Z68" s="289">
        <f t="shared" si="69"/>
        <v>2.9190323066098589E-2</v>
      </c>
      <c r="AA68" s="289">
        <f t="shared" si="69"/>
        <v>2.9190192339257015E-2</v>
      </c>
      <c r="AB68" s="289">
        <f t="shared" si="69"/>
        <v>2.9189184778488642E-2</v>
      </c>
      <c r="AC68" s="289">
        <f t="shared" si="69"/>
        <v>2.918788204559597E-2</v>
      </c>
      <c r="AD68" s="289">
        <f t="shared" si="69"/>
        <v>2.9187706615864339E-2</v>
      </c>
      <c r="AE68" s="289">
        <f t="shared" si="69"/>
        <v>2.9186042761160769E-2</v>
      </c>
      <c r="AF68" s="289">
        <f t="shared" si="69"/>
        <v>2.918535885393414E-2</v>
      </c>
      <c r="AG68" s="289">
        <f t="shared" si="69"/>
        <v>2.9185665213982137E-2</v>
      </c>
      <c r="AH68" s="283">
        <f>AH67/AG67-1</f>
        <v>2.9185823300025948E-2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1.0495181360389603</v>
      </c>
      <c r="O71" s="164"/>
      <c r="P71" s="164"/>
      <c r="Q71" s="164"/>
      <c r="R71" s="164"/>
      <c r="S71" s="164"/>
      <c r="T71" s="164"/>
      <c r="U71" s="164"/>
      <c r="V71" s="164"/>
      <c r="W71" s="164"/>
      <c r="X71" s="186">
        <f>(X86/N86)^(1/10)</f>
        <v>1.0225651825635729</v>
      </c>
      <c r="Y71" s="20"/>
      <c r="Z71" s="20"/>
      <c r="AA71" s="20"/>
      <c r="AB71" s="20"/>
      <c r="AC71" s="20"/>
      <c r="AD71" s="20"/>
      <c r="AE71" s="20"/>
      <c r="AF71" s="20"/>
      <c r="AG71" s="20"/>
      <c r="AH71" s="186">
        <f>(AH86/X86)^(1/10)</f>
        <v>1.0291860089647606</v>
      </c>
      <c r="AI71" s="127"/>
    </row>
    <row r="72" spans="1:35">
      <c r="A72" s="9" t="s">
        <v>50</v>
      </c>
      <c r="B72" s="37"/>
      <c r="C72" s="332"/>
      <c r="D72" s="332"/>
      <c r="E72" s="332"/>
      <c r="F72" s="332"/>
      <c r="G72" s="332"/>
      <c r="H72" s="284"/>
      <c r="I72" s="164"/>
      <c r="J72" s="164"/>
      <c r="K72" s="395"/>
      <c r="L72" s="395"/>
      <c r="M72" s="164"/>
      <c r="N72" s="186">
        <f>(N87/H87)^(1/6)</f>
        <v>1.027734678710291</v>
      </c>
      <c r="O72" s="164"/>
      <c r="P72" s="164"/>
      <c r="Q72" s="164"/>
      <c r="R72" s="164"/>
      <c r="S72" s="164"/>
      <c r="T72" s="164"/>
      <c r="U72" s="164"/>
      <c r="V72" s="164"/>
      <c r="W72" s="164"/>
      <c r="X72" s="186">
        <f>(X87/N87)^(1/10)</f>
        <v>1.0225651825635729</v>
      </c>
      <c r="Y72" s="20"/>
      <c r="Z72" s="20"/>
      <c r="AA72" s="20"/>
      <c r="AB72" s="20"/>
      <c r="AC72" s="20"/>
      <c r="AD72" s="20"/>
      <c r="AE72" s="20"/>
      <c r="AF72" s="20"/>
      <c r="AG72" s="20"/>
      <c r="AH72" s="186">
        <f>(AH87/X87)^(1/10)</f>
        <v>1.0291860089647606</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1.0089912572181814</v>
      </c>
      <c r="O74" s="164"/>
      <c r="P74" s="164"/>
      <c r="Q74" s="164"/>
      <c r="R74" s="164"/>
      <c r="S74" s="164"/>
      <c r="T74" s="164"/>
      <c r="U74" s="164"/>
      <c r="V74" s="164"/>
      <c r="W74" s="164"/>
      <c r="X74" s="186">
        <f>(X89/N89)^(1/10)</f>
        <v>1.0225651825635729</v>
      </c>
      <c r="AH74" s="186">
        <f>(AH89/X89)^(1/10)</f>
        <v>1.0291860089647606</v>
      </c>
      <c r="AI74" s="127"/>
    </row>
    <row r="75" spans="1:35">
      <c r="A75" s="9" t="s">
        <v>347</v>
      </c>
      <c r="B75" s="37"/>
      <c r="C75" s="332"/>
      <c r="D75" s="332"/>
      <c r="E75" s="332"/>
      <c r="F75" s="332"/>
      <c r="G75" s="332"/>
      <c r="H75" s="284"/>
      <c r="I75" s="164"/>
      <c r="J75" s="164"/>
      <c r="K75" s="395"/>
      <c r="L75" s="395"/>
      <c r="M75" s="164"/>
      <c r="N75" s="179">
        <f>(N90/H90)^(1/6)</f>
        <v>1.192297212522786</v>
      </c>
      <c r="O75" s="164"/>
      <c r="P75" s="164"/>
      <c r="Q75" s="164"/>
      <c r="R75" s="164"/>
      <c r="S75" s="164"/>
      <c r="T75" s="164"/>
      <c r="U75" s="164"/>
      <c r="V75" s="164"/>
      <c r="W75" s="164"/>
      <c r="X75" s="186">
        <f>(X90/N90)^(1/10)</f>
        <v>1.0225651825635729</v>
      </c>
      <c r="AH75" s="186">
        <f>(AH90/X90)^(1/10)</f>
        <v>1.0291860089647606</v>
      </c>
      <c r="AI75" s="127"/>
    </row>
    <row r="76" spans="1:35">
      <c r="A76" s="9" t="s">
        <v>348</v>
      </c>
      <c r="B76" s="37"/>
      <c r="C76" s="332"/>
      <c r="D76" s="332"/>
      <c r="E76" s="332"/>
      <c r="F76" s="332"/>
      <c r="G76" s="332"/>
      <c r="H76" s="284"/>
      <c r="I76" s="164"/>
      <c r="J76" s="164"/>
      <c r="K76" s="395"/>
      <c r="L76" s="395"/>
      <c r="M76" s="164"/>
      <c r="N76" s="179">
        <f>(N91/H91)^(1/6)</f>
        <v>0.99753353384623877</v>
      </c>
      <c r="O76" s="164"/>
      <c r="P76" s="164"/>
      <c r="Q76" s="164"/>
      <c r="R76" s="164"/>
      <c r="S76" s="164"/>
      <c r="T76" s="164"/>
      <c r="U76" s="164"/>
      <c r="V76" s="164"/>
      <c r="W76" s="164"/>
      <c r="X76" s="186">
        <f>(X91/N91)^(1/10)</f>
        <v>1.0225651825635729</v>
      </c>
      <c r="AH76" s="186">
        <f>(AH91/X91)^(1/10)</f>
        <v>1.0291860089647606</v>
      </c>
      <c r="AI76" s="127"/>
    </row>
    <row r="77" spans="1:35">
      <c r="A77" s="9" t="s">
        <v>344</v>
      </c>
      <c r="B77" s="37"/>
      <c r="C77" s="332"/>
      <c r="D77" s="332"/>
      <c r="E77" s="332"/>
      <c r="F77" s="332"/>
      <c r="G77" s="332"/>
      <c r="H77" s="284"/>
      <c r="I77" s="164"/>
      <c r="J77" s="164"/>
      <c r="K77" s="395"/>
      <c r="L77" s="395"/>
      <c r="M77" s="164"/>
      <c r="N77" s="179">
        <f>(N92/H92)^(1/6)</f>
        <v>0.99753353384623866</v>
      </c>
      <c r="O77" s="164"/>
      <c r="P77" s="164"/>
      <c r="Q77" s="164"/>
      <c r="R77" s="164"/>
      <c r="S77" s="164"/>
      <c r="T77" s="164"/>
      <c r="U77" s="164"/>
      <c r="V77" s="164"/>
      <c r="W77" s="164"/>
      <c r="X77" s="186">
        <f>(X92/N92)^(1/10)</f>
        <v>1.0225651825635729</v>
      </c>
      <c r="AH77" s="186">
        <f>(AH92/X92)^(1/10)</f>
        <v>1.0291860089647606</v>
      </c>
      <c r="AI77" s="127"/>
    </row>
    <row r="78" spans="1:35">
      <c r="A78" s="9" t="s">
        <v>120</v>
      </c>
      <c r="B78" s="37"/>
      <c r="C78" s="332"/>
      <c r="D78" s="332"/>
      <c r="E78" s="332"/>
      <c r="F78" s="332"/>
      <c r="G78" s="332"/>
      <c r="H78" s="284"/>
      <c r="I78" s="164"/>
      <c r="J78" s="164"/>
      <c r="K78" s="395"/>
      <c r="L78" s="395"/>
      <c r="M78" s="164"/>
      <c r="N78" s="186">
        <f t="shared" ref="N78:N79" si="70">(N93/H93)^(1/6)</f>
        <v>1.3559085000006927</v>
      </c>
      <c r="O78" s="164"/>
      <c r="P78" s="164"/>
      <c r="Q78" s="164"/>
      <c r="R78" s="164"/>
      <c r="S78" s="164"/>
      <c r="T78" s="164"/>
      <c r="U78" s="164"/>
      <c r="V78" s="164"/>
      <c r="W78" s="164"/>
      <c r="X78" s="186">
        <f t="shared" ref="X78:X79" si="71">(X93/N93)^(1/10)</f>
        <v>1.0808795570595446</v>
      </c>
      <c r="AH78" s="186">
        <f t="shared" ref="AH78:AH79" si="72">(AH93/X93)^(1/10)</f>
        <v>1.0378162363207102</v>
      </c>
      <c r="AI78" s="127"/>
    </row>
    <row r="79" spans="1:35">
      <c r="A79" s="9" t="s">
        <v>53</v>
      </c>
      <c r="B79" s="37"/>
      <c r="C79" s="332"/>
      <c r="D79" s="332"/>
      <c r="E79" s="332"/>
      <c r="F79" s="332"/>
      <c r="G79" s="332"/>
      <c r="H79" s="284"/>
      <c r="I79" s="164"/>
      <c r="J79" s="164"/>
      <c r="K79" s="395"/>
      <c r="L79" s="395"/>
      <c r="M79" s="164"/>
      <c r="N79" s="186">
        <f t="shared" si="70"/>
        <v>1.0591196038945034</v>
      </c>
      <c r="O79" s="164"/>
      <c r="P79" s="164"/>
      <c r="Q79" s="164"/>
      <c r="R79" s="164"/>
      <c r="S79" s="164"/>
      <c r="T79" s="164"/>
      <c r="U79" s="164"/>
      <c r="V79" s="164"/>
      <c r="W79" s="164"/>
      <c r="X79" s="186">
        <f t="shared" si="71"/>
        <v>1.0225651825635729</v>
      </c>
      <c r="AH79" s="186">
        <f t="shared" si="72"/>
        <v>1.0291860089647606</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2.6148419771345227E-3</v>
      </c>
      <c r="D84" s="336">
        <f t="shared" si="73"/>
        <v>2.6977564832728271E-3</v>
      </c>
      <c r="E84" s="336">
        <f t="shared" si="73"/>
        <v>2.7806709894111314E-3</v>
      </c>
      <c r="F84" s="336">
        <f t="shared" si="73"/>
        <v>2.8635854955494366E-3</v>
      </c>
      <c r="G84" s="336">
        <f t="shared" si="73"/>
        <v>2.9465000016877414E-3</v>
      </c>
      <c r="H84" s="396">
        <f t="shared" si="73"/>
        <v>3.7809060359001545E-3</v>
      </c>
      <c r="I84" s="116">
        <f t="shared" si="73"/>
        <v>3.7385719540261077E-3</v>
      </c>
      <c r="J84" s="116">
        <f t="shared" si="73"/>
        <v>3.6962378721520609E-3</v>
      </c>
      <c r="K84" s="116">
        <f t="shared" si="73"/>
        <v>3.6539037902780145E-3</v>
      </c>
      <c r="L84" s="116">
        <f t="shared" si="73"/>
        <v>3.6115697084039672E-3</v>
      </c>
      <c r="M84" s="116">
        <f t="shared" si="73"/>
        <v>3.5692356265299204E-3</v>
      </c>
      <c r="N84" s="178">
        <f t="shared" si="73"/>
        <v>3.5269015446558732E-3</v>
      </c>
      <c r="O84" s="116">
        <f t="shared" si="73"/>
        <v>3.4906287375295626E-3</v>
      </c>
      <c r="P84" s="116">
        <f t="shared" si="73"/>
        <v>3.4543559304032519E-3</v>
      </c>
      <c r="Q84" s="116">
        <f t="shared" si="73"/>
        <v>3.4180831232769413E-3</v>
      </c>
      <c r="R84" s="116">
        <f t="shared" si="73"/>
        <v>3.3818103161506307E-3</v>
      </c>
      <c r="S84" s="116">
        <f t="shared" si="73"/>
        <v>3.3455375090243201E-3</v>
      </c>
      <c r="T84" s="116">
        <f t="shared" si="73"/>
        <v>3.3092647018980095E-3</v>
      </c>
      <c r="U84" s="116">
        <f t="shared" si="73"/>
        <v>3.2729918947716988E-3</v>
      </c>
      <c r="V84" s="116">
        <f t="shared" si="73"/>
        <v>3.2367190876453882E-3</v>
      </c>
      <c r="W84" s="116">
        <f t="shared" si="73"/>
        <v>3.2004462805190776E-3</v>
      </c>
      <c r="X84" s="178">
        <f t="shared" si="73"/>
        <v>3.1641734733927674E-3</v>
      </c>
      <c r="Y84" s="173">
        <f t="shared" si="73"/>
        <v>3.1366636157003176E-3</v>
      </c>
      <c r="Z84" s="173">
        <f t="shared" si="73"/>
        <v>3.1091537580078678E-3</v>
      </c>
      <c r="AA84" s="173">
        <f t="shared" si="73"/>
        <v>3.0816439003154179E-3</v>
      </c>
      <c r="AB84" s="173">
        <f t="shared" si="73"/>
        <v>3.0541340426229681E-3</v>
      </c>
      <c r="AC84" s="173">
        <f t="shared" si="73"/>
        <v>3.0266241849305183E-3</v>
      </c>
      <c r="AD84" s="173">
        <f t="shared" si="73"/>
        <v>2.9991143272380684E-3</v>
      </c>
      <c r="AE84" s="173">
        <f t="shared" si="73"/>
        <v>2.9716044695456186E-3</v>
      </c>
      <c r="AF84" s="173">
        <f t="shared" si="73"/>
        <v>2.9440946118531688E-3</v>
      </c>
      <c r="AG84" s="173">
        <f t="shared" si="73"/>
        <v>2.916584754160719E-3</v>
      </c>
      <c r="AH84" s="178">
        <f t="shared" si="73"/>
        <v>2.8890748964682678E-3</v>
      </c>
      <c r="AI84" s="127"/>
    </row>
    <row r="85" spans="1:35">
      <c r="A85" s="9" t="s">
        <v>59</v>
      </c>
      <c r="B85" s="37"/>
      <c r="C85" s="336">
        <f t="shared" ref="C85:AH85" si="74">C32/C$49</f>
        <v>0.10545361215087458</v>
      </c>
      <c r="D85" s="336">
        <f t="shared" si="74"/>
        <v>0.1051675599780794</v>
      </c>
      <c r="E85" s="336">
        <f t="shared" si="74"/>
        <v>0.10488150780528424</v>
      </c>
      <c r="F85" s="336">
        <f t="shared" si="74"/>
        <v>0.10459545563248908</v>
      </c>
      <c r="G85" s="336">
        <f t="shared" si="74"/>
        <v>0.10430940345969392</v>
      </c>
      <c r="H85" s="396">
        <f t="shared" si="74"/>
        <v>9.903557520135578E-2</v>
      </c>
      <c r="I85" s="116">
        <f t="shared" si="74"/>
        <v>9.9580819042817792E-2</v>
      </c>
      <c r="J85" s="116">
        <f t="shared" si="74"/>
        <v>0.1001260628842798</v>
      </c>
      <c r="K85" s="116">
        <f t="shared" si="74"/>
        <v>0.10067130672574182</v>
      </c>
      <c r="L85" s="116">
        <f t="shared" si="74"/>
        <v>0.10121655056720381</v>
      </c>
      <c r="M85" s="116">
        <f t="shared" si="74"/>
        <v>0.10176179440866584</v>
      </c>
      <c r="N85" s="178">
        <f t="shared" si="74"/>
        <v>0.10230703825012781</v>
      </c>
      <c r="O85" s="116">
        <f t="shared" si="74"/>
        <v>0.10125485025476572</v>
      </c>
      <c r="P85" s="116">
        <f t="shared" si="74"/>
        <v>0.10020266225940361</v>
      </c>
      <c r="Q85" s="116">
        <f t="shared" si="74"/>
        <v>9.9150474264041513E-2</v>
      </c>
      <c r="R85" s="116">
        <f t="shared" si="74"/>
        <v>9.8098286268679391E-2</v>
      </c>
      <c r="S85" s="116">
        <f t="shared" si="74"/>
        <v>9.7046098273317283E-2</v>
      </c>
      <c r="T85" s="116">
        <f t="shared" si="74"/>
        <v>9.5993910277955175E-2</v>
      </c>
      <c r="U85" s="116">
        <f t="shared" si="74"/>
        <v>9.4941722282593066E-2</v>
      </c>
      <c r="V85" s="116">
        <f t="shared" si="74"/>
        <v>9.3889534287230958E-2</v>
      </c>
      <c r="W85" s="116">
        <f t="shared" si="74"/>
        <v>9.283734629186885E-2</v>
      </c>
      <c r="X85" s="178">
        <f t="shared" si="74"/>
        <v>9.1785158296506797E-2</v>
      </c>
      <c r="Y85" s="173">
        <f t="shared" si="74"/>
        <v>9.0987162654280362E-2</v>
      </c>
      <c r="Z85" s="173">
        <f t="shared" si="74"/>
        <v>9.0189167012053928E-2</v>
      </c>
      <c r="AA85" s="173">
        <f t="shared" si="74"/>
        <v>8.9391171369827493E-2</v>
      </c>
      <c r="AB85" s="173">
        <f t="shared" si="74"/>
        <v>8.8593175727601059E-2</v>
      </c>
      <c r="AC85" s="173">
        <f t="shared" si="74"/>
        <v>8.7795180085374624E-2</v>
      </c>
      <c r="AD85" s="173">
        <f t="shared" si="74"/>
        <v>8.699718444314819E-2</v>
      </c>
      <c r="AE85" s="173">
        <f t="shared" si="74"/>
        <v>8.6199188800921756E-2</v>
      </c>
      <c r="AF85" s="173">
        <f t="shared" si="74"/>
        <v>8.5401193158695321E-2</v>
      </c>
      <c r="AG85" s="173">
        <f t="shared" si="74"/>
        <v>8.4603197516468887E-2</v>
      </c>
      <c r="AH85" s="178">
        <f t="shared" si="74"/>
        <v>8.3805201874242494E-2</v>
      </c>
      <c r="AI85" s="127"/>
    </row>
    <row r="86" spans="1:35" s="252" customFormat="1">
      <c r="A86" s="10" t="s">
        <v>121</v>
      </c>
      <c r="B86" s="37"/>
      <c r="C86" s="410">
        <f t="shared" ref="C86:AH86" si="75">C34/C$49</f>
        <v>1.6492215115407392E-3</v>
      </c>
      <c r="D86" s="336">
        <f t="shared" si="75"/>
        <v>2.2037002575880744E-3</v>
      </c>
      <c r="E86" s="336">
        <f t="shared" si="75"/>
        <v>2.1904674524872198E-3</v>
      </c>
      <c r="F86" s="336">
        <f t="shared" si="75"/>
        <v>2.0179506884262718E-3</v>
      </c>
      <c r="G86" s="336">
        <f t="shared" si="75"/>
        <v>2.3199156479289293E-3</v>
      </c>
      <c r="H86" s="409">
        <f t="shared" si="75"/>
        <v>2.4172476102792889E-3</v>
      </c>
      <c r="I86" s="396">
        <f t="shared" si="75"/>
        <v>2.5369452062849501E-3</v>
      </c>
      <c r="J86" s="396">
        <f t="shared" si="75"/>
        <v>2.6625700041331564E-3</v>
      </c>
      <c r="K86" s="396">
        <f t="shared" si="75"/>
        <v>2.7944155078110772E-3</v>
      </c>
      <c r="L86" s="396">
        <f t="shared" si="75"/>
        <v>2.9327897550762462E-3</v>
      </c>
      <c r="M86" s="396">
        <f t="shared" si="75"/>
        <v>3.0780160371417808E-3</v>
      </c>
      <c r="N86" s="397">
        <f>N34/N$49</f>
        <v>3.2304336539990671E-3</v>
      </c>
      <c r="O86" s="396">
        <f t="shared" si="75"/>
        <v>3.3033289791610677E-3</v>
      </c>
      <c r="P86" s="396">
        <f t="shared" si="75"/>
        <v>3.3778692006433781E-3</v>
      </c>
      <c r="Q86" s="396">
        <f t="shared" si="75"/>
        <v>3.5184287087798921E-3</v>
      </c>
      <c r="R86" s="396">
        <f t="shared" si="75"/>
        <v>3.6147277486743949E-3</v>
      </c>
      <c r="S86" s="396">
        <f t="shared" si="75"/>
        <v>4.042311477668651E-3</v>
      </c>
      <c r="T86" s="396">
        <f t="shared" si="75"/>
        <v>4.1424178248363561E-3</v>
      </c>
      <c r="U86" s="396">
        <f t="shared" si="75"/>
        <v>4.1975772064842976E-3</v>
      </c>
      <c r="V86" s="396">
        <f t="shared" si="75"/>
        <v>4.2400722409269738E-3</v>
      </c>
      <c r="W86" s="396">
        <f t="shared" si="75"/>
        <v>4.7274396555569056E-3</v>
      </c>
      <c r="X86" s="397">
        <f t="shared" si="75"/>
        <v>4.0380420674988333E-3</v>
      </c>
      <c r="Y86" s="396">
        <f>Y34/Y$49</f>
        <v>4.8021315686422837E-3</v>
      </c>
      <c r="Z86" s="396">
        <f t="shared" si="75"/>
        <v>4.8173264073743966E-3</v>
      </c>
      <c r="AA86" s="396">
        <f t="shared" si="75"/>
        <v>4.8572628544429853E-3</v>
      </c>
      <c r="AB86" s="396">
        <f t="shared" si="75"/>
        <v>4.8964952912531039E-3</v>
      </c>
      <c r="AC86" s="396">
        <f t="shared" si="75"/>
        <v>4.9085068035341472E-3</v>
      </c>
      <c r="AD86" s="396">
        <f t="shared" si="75"/>
        <v>4.9498387504299732E-3</v>
      </c>
      <c r="AE86" s="396">
        <f t="shared" si="75"/>
        <v>4.9722169596820775E-3</v>
      </c>
      <c r="AF86" s="396">
        <f t="shared" si="75"/>
        <v>5.083020114678794E-3</v>
      </c>
      <c r="AG86" s="396">
        <f t="shared" si="75"/>
        <v>5.2313731853138676E-3</v>
      </c>
      <c r="AH86" s="397">
        <f t="shared" si="75"/>
        <v>5.3840560899984444E-3</v>
      </c>
      <c r="AI86" s="292"/>
    </row>
    <row r="87" spans="1:35">
      <c r="A87" s="9" t="s">
        <v>50</v>
      </c>
      <c r="B87" s="37"/>
      <c r="C87" s="410">
        <f t="shared" ref="C87:AH87" si="76">C35/C$49</f>
        <v>0</v>
      </c>
      <c r="D87" s="336">
        <f t="shared" si="76"/>
        <v>0</v>
      </c>
      <c r="E87" s="336">
        <f t="shared" si="76"/>
        <v>9.6804629121164797E-8</v>
      </c>
      <c r="F87" s="336">
        <f t="shared" si="76"/>
        <v>8.651215208934609E-8</v>
      </c>
      <c r="G87" s="336">
        <f t="shared" si="76"/>
        <v>9.8173374725411902E-8</v>
      </c>
      <c r="H87" s="409">
        <f t="shared" si="76"/>
        <v>9.9422912368769308E-8</v>
      </c>
      <c r="I87" s="116">
        <f t="shared" si="76"/>
        <v>1.0218037489975854E-7</v>
      </c>
      <c r="J87" s="116">
        <f>J35/J$49</f>
        <v>1.0501431476810043E-7</v>
      </c>
      <c r="K87" s="116">
        <f t="shared" si="76"/>
        <v>1.0792685304817506E-7</v>
      </c>
      <c r="L87" s="116">
        <f t="shared" si="76"/>
        <v>1.1092016964167899E-7</v>
      </c>
      <c r="M87" s="116">
        <f t="shared" si="76"/>
        <v>1.1399650490918192E-7</v>
      </c>
      <c r="N87" s="178">
        <f t="shared" si="76"/>
        <v>1.1715816134693422E-7</v>
      </c>
      <c r="O87" s="116">
        <f t="shared" si="76"/>
        <v>1.1980185664654029E-7</v>
      </c>
      <c r="P87" s="116">
        <f t="shared" si="76"/>
        <v>1.2250520741322445E-7</v>
      </c>
      <c r="Q87" s="116">
        <f t="shared" si="76"/>
        <v>1.2526955978349221E-7</v>
      </c>
      <c r="R87" s="116">
        <f t="shared" si="76"/>
        <v>1.2809629026966512E-7</v>
      </c>
      <c r="S87" s="116">
        <f t="shared" si="76"/>
        <v>1.3098680644531653E-7</v>
      </c>
      <c r="T87" s="116">
        <f t="shared" si="76"/>
        <v>1.3394254764617446E-7</v>
      </c>
      <c r="U87" s="116">
        <f t="shared" si="76"/>
        <v>1.3696498568684047E-7</v>
      </c>
      <c r="V87" s="116">
        <f t="shared" si="76"/>
        <v>1.4005562559368117E-7</v>
      </c>
      <c r="W87" s="116">
        <f t="shared" si="76"/>
        <v>1.43216006354258E-7</v>
      </c>
      <c r="X87" s="178">
        <f t="shared" si="76"/>
        <v>1.4644770168366776E-7</v>
      </c>
      <c r="Y87" s="173">
        <f t="shared" si="76"/>
        <v>1.5072192561787587E-7</v>
      </c>
      <c r="Z87" s="173">
        <f t="shared" si="76"/>
        <v>1.5512089709014519E-7</v>
      </c>
      <c r="AA87" s="173">
        <f t="shared" si="76"/>
        <v>1.5964825698323987E-7</v>
      </c>
      <c r="AB87" s="173">
        <f t="shared" si="76"/>
        <v>1.6430775244276113E-7</v>
      </c>
      <c r="AC87" s="173">
        <f t="shared" si="76"/>
        <v>1.6910323997853523E-7</v>
      </c>
      <c r="AD87" s="173">
        <f t="shared" si="76"/>
        <v>1.7403868865651882E-7</v>
      </c>
      <c r="AE87" s="173">
        <f t="shared" si="76"/>
        <v>1.7911818338386316E-7</v>
      </c>
      <c r="AF87" s="173">
        <f t="shared" si="76"/>
        <v>1.8434592828985624E-7</v>
      </c>
      <c r="AG87" s="173">
        <f t="shared" si="76"/>
        <v>1.8972625020554112E-7</v>
      </c>
      <c r="AH87" s="178">
        <f t="shared" si="76"/>
        <v>1.9526360224489036E-7</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1.0113869978323794E-3</v>
      </c>
      <c r="D89" s="336">
        <f t="shared" si="78"/>
        <v>1.0994015729522727E-3</v>
      </c>
      <c r="E89" s="336">
        <f t="shared" si="78"/>
        <v>1.9959844865764381E-3</v>
      </c>
      <c r="F89" s="336">
        <f t="shared" si="78"/>
        <v>1.9716868625168876E-3</v>
      </c>
      <c r="G89" s="336">
        <f t="shared" si="78"/>
        <v>1.6644833169855518E-3</v>
      </c>
      <c r="H89" s="409">
        <f t="shared" si="78"/>
        <v>1.8138249409840577E-3</v>
      </c>
      <c r="I89" s="116">
        <f t="shared" si="78"/>
        <v>1.830133507577198E-3</v>
      </c>
      <c r="J89" s="116">
        <f t="shared" si="78"/>
        <v>1.8465887086874372E-3</v>
      </c>
      <c r="K89" s="116">
        <f t="shared" si="78"/>
        <v>1.8631918627434354E-3</v>
      </c>
      <c r="L89" s="116">
        <f t="shared" si="78"/>
        <v>1.8799443000281839E-3</v>
      </c>
      <c r="M89" s="116">
        <f t="shared" si="78"/>
        <v>1.8968473627855914E-3</v>
      </c>
      <c r="N89" s="178">
        <f t="shared" si="78"/>
        <v>1.9139024053280247E-3</v>
      </c>
      <c r="O89" s="116">
        <f t="shared" si="78"/>
        <v>1.9570899625131139E-3</v>
      </c>
      <c r="P89" s="116">
        <f t="shared" si="78"/>
        <v>2.0012520548105582E-3</v>
      </c>
      <c r="Q89" s="116">
        <f t="shared" si="78"/>
        <v>2.0464106727830838E-3</v>
      </c>
      <c r="R89" s="116">
        <f t="shared" si="78"/>
        <v>2.0925883032144781E-3</v>
      </c>
      <c r="S89" s="116">
        <f t="shared" si="78"/>
        <v>2.1398079403069101E-3</v>
      </c>
      <c r="T89" s="116">
        <f t="shared" si="78"/>
        <v>2.1880930971309182E-3</v>
      </c>
      <c r="U89" s="116">
        <f t="shared" si="78"/>
        <v>2.2374678173337709E-3</v>
      </c>
      <c r="V89" s="116">
        <f t="shared" si="78"/>
        <v>2.2879566871120264E-3</v>
      </c>
      <c r="W89" s="116">
        <f t="shared" si="78"/>
        <v>2.3395848474542565E-3</v>
      </c>
      <c r="X89" s="178">
        <f t="shared" si="78"/>
        <v>2.3923780066600303E-3</v>
      </c>
      <c r="Y89" s="173">
        <f t="shared" si="78"/>
        <v>2.4622019726095062E-3</v>
      </c>
      <c r="Z89" s="173">
        <f t="shared" si="78"/>
        <v>2.5340638214551387E-3</v>
      </c>
      <c r="AA89" s="173">
        <f t="shared" si="78"/>
        <v>2.6080230308654041E-3</v>
      </c>
      <c r="AB89" s="173">
        <f t="shared" si="78"/>
        <v>2.6841408144245441E-3</v>
      </c>
      <c r="AC89" s="173">
        <f t="shared" si="78"/>
        <v>2.762480172297019E-3</v>
      </c>
      <c r="AD89" s="173">
        <f t="shared" si="78"/>
        <v>2.8431059433706531E-3</v>
      </c>
      <c r="AE89" s="173">
        <f t="shared" si="78"/>
        <v>2.9260848589216333E-3</v>
      </c>
      <c r="AF89" s="173">
        <f t="shared" si="78"/>
        <v>3.0114855978457707E-3</v>
      </c>
      <c r="AG89" s="173">
        <f t="shared" si="78"/>
        <v>3.0993788435017449E-3</v>
      </c>
      <c r="AH89" s="178">
        <f t="shared" si="78"/>
        <v>3.189837342213374E-3</v>
      </c>
      <c r="AI89" s="127"/>
    </row>
    <row r="90" spans="1:35" s="252" customFormat="1">
      <c r="A90" s="10" t="s">
        <v>347</v>
      </c>
      <c r="B90" s="37"/>
      <c r="C90" s="410">
        <f t="shared" ref="C90:AH90" si="79">C38/C$49</f>
        <v>0</v>
      </c>
      <c r="D90" s="336">
        <f t="shared" si="79"/>
        <v>0</v>
      </c>
      <c r="E90" s="336">
        <f t="shared" si="79"/>
        <v>1.5262616596249285E-4</v>
      </c>
      <c r="F90" s="336">
        <f t="shared" si="79"/>
        <v>2.5136457541360193E-4</v>
      </c>
      <c r="G90" s="336">
        <f t="shared" si="79"/>
        <v>4.8651925273943348E-4</v>
      </c>
      <c r="H90" s="409">
        <f t="shared" si="79"/>
        <v>8.3493015137467181E-4</v>
      </c>
      <c r="I90" s="396">
        <f t="shared" si="79"/>
        <v>1.417312321537034E-3</v>
      </c>
      <c r="J90" s="396">
        <f t="shared" si="79"/>
        <v>2.0665383352836994E-3</v>
      </c>
      <c r="K90" s="396">
        <f t="shared" si="79"/>
        <v>2.0853420558978051E-3</v>
      </c>
      <c r="L90" s="396">
        <f t="shared" si="79"/>
        <v>2.0968129692163296E-3</v>
      </c>
      <c r="M90" s="396">
        <f t="shared" si="79"/>
        <v>2.108452298077235E-3</v>
      </c>
      <c r="N90" s="397">
        <f t="shared" si="79"/>
        <v>2.3985971674328156E-3</v>
      </c>
      <c r="O90" s="396">
        <f t="shared" si="79"/>
        <v>2.4527219504124039E-3</v>
      </c>
      <c r="P90" s="396">
        <f t="shared" si="79"/>
        <v>2.5080680690011425E-3</v>
      </c>
      <c r="Q90" s="396">
        <f t="shared" si="79"/>
        <v>2.5646630828600209E-3</v>
      </c>
      <c r="R90" s="396">
        <f t="shared" si="79"/>
        <v>2.6225351735388127E-3</v>
      </c>
      <c r="S90" s="396">
        <f t="shared" si="79"/>
        <v>2.807914947377429E-3</v>
      </c>
      <c r="T90" s="396">
        <f t="shared" si="79"/>
        <v>3.088452881729212E-3</v>
      </c>
      <c r="U90" s="396">
        <f t="shared" si="79"/>
        <v>3.4302359982696156E-3</v>
      </c>
      <c r="V90" s="396">
        <f t="shared" si="79"/>
        <v>3.8602807641524104E-3</v>
      </c>
      <c r="W90" s="396">
        <f t="shared" si="79"/>
        <v>4.3545297070201319E-3</v>
      </c>
      <c r="X90" s="397">
        <f t="shared" si="79"/>
        <v>2.9982464592910193E-3</v>
      </c>
      <c r="Y90" s="396">
        <f t="shared" si="79"/>
        <v>5.4335415953435358E-3</v>
      </c>
      <c r="Z90" s="396">
        <f t="shared" si="79"/>
        <v>5.9930072290491901E-3</v>
      </c>
      <c r="AA90" s="396">
        <f t="shared" si="79"/>
        <v>6.5770840500860052E-3</v>
      </c>
      <c r="AB90" s="396">
        <f t="shared" si="79"/>
        <v>7.1733330140102735E-3</v>
      </c>
      <c r="AC90" s="396">
        <f t="shared" si="79"/>
        <v>7.7649892112360034E-3</v>
      </c>
      <c r="AD90" s="396">
        <f t="shared" si="79"/>
        <v>8.3773333887823334E-3</v>
      </c>
      <c r="AE90" s="396">
        <f t="shared" si="79"/>
        <v>8.9517436554556601E-3</v>
      </c>
      <c r="AF90" s="396">
        <f t="shared" si="79"/>
        <v>9.5044647519912928E-3</v>
      </c>
      <c r="AG90" s="396">
        <f t="shared" si="79"/>
        <v>1.0077732453450599E-2</v>
      </c>
      <c r="AH90" s="397">
        <f t="shared" si="79"/>
        <v>3.9976619457213593E-3</v>
      </c>
      <c r="AI90" s="292"/>
    </row>
    <row r="91" spans="1:35" s="252" customFormat="1">
      <c r="A91" s="10" t="s">
        <v>348</v>
      </c>
      <c r="B91" s="37"/>
      <c r="C91" s="410">
        <f t="shared" ref="C91:AH91" si="80">C39/C$49</f>
        <v>0</v>
      </c>
      <c r="D91" s="336">
        <f t="shared" si="80"/>
        <v>0</v>
      </c>
      <c r="E91" s="336">
        <f t="shared" si="80"/>
        <v>2.4129474643494038E-7</v>
      </c>
      <c r="F91" s="336">
        <f t="shared" si="80"/>
        <v>2.3019577220191397E-7</v>
      </c>
      <c r="G91" s="336">
        <f t="shared" si="80"/>
        <v>2.389196509109199E-7</v>
      </c>
      <c r="H91" s="409">
        <f t="shared" si="80"/>
        <v>2.4195964626732886E-7</v>
      </c>
      <c r="I91" s="396">
        <f t="shared" si="80"/>
        <v>2.4136286098923446E-7</v>
      </c>
      <c r="J91" s="396">
        <f t="shared" si="80"/>
        <v>2.4076754766182956E-7</v>
      </c>
      <c r="K91" s="396">
        <f t="shared" si="80"/>
        <v>2.4017370265459759E-7</v>
      </c>
      <c r="L91" s="396">
        <f t="shared" si="80"/>
        <v>2.3958132234597649E-7</v>
      </c>
      <c r="M91" s="396">
        <f t="shared" si="80"/>
        <v>2.3899040312333676E-7</v>
      </c>
      <c r="N91" s="397">
        <f t="shared" si="80"/>
        <v>2.3840094138295923E-7</v>
      </c>
      <c r="O91" s="396">
        <f t="shared" si="80"/>
        <v>2.437805021485934E-7</v>
      </c>
      <c r="P91" s="396">
        <f t="shared" si="80"/>
        <v>2.4928145368501587E-7</v>
      </c>
      <c r="Q91" s="396">
        <f t="shared" si="80"/>
        <v>2.5490653519713106E-7</v>
      </c>
      <c r="R91" s="396">
        <f t="shared" si="80"/>
        <v>2.6065854770050215E-7</v>
      </c>
      <c r="S91" s="396">
        <f t="shared" si="80"/>
        <v>2.6654035541611973E-7</v>
      </c>
      <c r="T91" s="396">
        <f t="shared" si="80"/>
        <v>2.7255488719664408E-7</v>
      </c>
      <c r="U91" s="396">
        <f t="shared" si="80"/>
        <v>2.7870513798483036E-7</v>
      </c>
      <c r="V91" s="396">
        <f t="shared" si="80"/>
        <v>2.8499417030486383E-7</v>
      </c>
      <c r="W91" s="396">
        <f t="shared" si="80"/>
        <v>2.9142511578734706E-7</v>
      </c>
      <c r="X91" s="397">
        <f t="shared" si="80"/>
        <v>2.9800117672869898E-7</v>
      </c>
      <c r="Y91" s="396">
        <f t="shared" si="80"/>
        <v>3.06698641744212E-7</v>
      </c>
      <c r="Z91" s="396">
        <f t="shared" si="80"/>
        <v>3.156499510516385E-7</v>
      </c>
      <c r="AA91" s="396">
        <f t="shared" si="80"/>
        <v>3.2486251335275785E-7</v>
      </c>
      <c r="AB91" s="396">
        <f t="shared" si="80"/>
        <v>3.3434395357978612E-7</v>
      </c>
      <c r="AC91" s="396">
        <f t="shared" si="80"/>
        <v>3.4410211920627928E-7</v>
      </c>
      <c r="AD91" s="396">
        <f t="shared" si="80"/>
        <v>3.5414508674222691E-7</v>
      </c>
      <c r="AE91" s="396">
        <f t="shared" si="80"/>
        <v>3.6448116841871146E-7</v>
      </c>
      <c r="AF91" s="396">
        <f t="shared" si="80"/>
        <v>3.7511891906766643E-7</v>
      </c>
      <c r="AG91" s="396">
        <f t="shared" si="80"/>
        <v>3.8606714320242666E-7</v>
      </c>
      <c r="AH91" s="397">
        <f t="shared" si="80"/>
        <v>3.9733490230493204E-7</v>
      </c>
      <c r="AI91" s="292"/>
    </row>
    <row r="92" spans="1:35">
      <c r="A92" s="9" t="s">
        <v>344</v>
      </c>
      <c r="B92" s="37"/>
      <c r="C92" s="410">
        <f t="shared" ref="C92:AH92" si="81">C40/C$49</f>
        <v>2.541173361387888E-8</v>
      </c>
      <c r="D92" s="336">
        <f t="shared" si="81"/>
        <v>2.5349056433011847E-8</v>
      </c>
      <c r="E92" s="336">
        <f t="shared" si="81"/>
        <v>2.5286533843290038E-8</v>
      </c>
      <c r="F92" s="336">
        <f t="shared" si="81"/>
        <v>2.5224165463419621E-8</v>
      </c>
      <c r="G92" s="336">
        <f t="shared" si="81"/>
        <v>2.5161950913047222E-8</v>
      </c>
      <c r="H92" s="409">
        <f t="shared" si="81"/>
        <v>2.4195964626732888E-8</v>
      </c>
      <c r="I92" s="116">
        <f t="shared" si="81"/>
        <v>2.4136286098923446E-8</v>
      </c>
      <c r="J92" s="116">
        <f t="shared" si="81"/>
        <v>2.407675476618295E-8</v>
      </c>
      <c r="K92" s="116">
        <f t="shared" si="81"/>
        <v>2.4017370265459747E-8</v>
      </c>
      <c r="L92" s="116">
        <f t="shared" si="81"/>
        <v>2.3958132234597637E-8</v>
      </c>
      <c r="M92" s="116">
        <f t="shared" si="81"/>
        <v>2.3899040312333666E-8</v>
      </c>
      <c r="N92" s="178">
        <f t="shared" si="81"/>
        <v>2.384009413829592E-8</v>
      </c>
      <c r="O92" s="116">
        <f t="shared" si="81"/>
        <v>2.4378050214859325E-8</v>
      </c>
      <c r="P92" s="116">
        <f t="shared" si="81"/>
        <v>2.4928145368501571E-8</v>
      </c>
      <c r="Q92" s="116">
        <f t="shared" si="81"/>
        <v>2.5490653519713094E-8</v>
      </c>
      <c r="R92" s="116">
        <f t="shared" si="81"/>
        <v>2.6065854770050202E-8</v>
      </c>
      <c r="S92" s="116">
        <f t="shared" si="81"/>
        <v>2.6654035541611961E-8</v>
      </c>
      <c r="T92" s="116">
        <f t="shared" si="81"/>
        <v>2.7255488719664396E-8</v>
      </c>
      <c r="U92" s="116">
        <f t="shared" si="81"/>
        <v>2.7870513798483023E-8</v>
      </c>
      <c r="V92" s="116">
        <f t="shared" si="81"/>
        <v>2.849941703048637E-8</v>
      </c>
      <c r="W92" s="116">
        <f t="shared" si="81"/>
        <v>2.9142511578734693E-8</v>
      </c>
      <c r="X92" s="178">
        <f t="shared" si="81"/>
        <v>2.9800117672869897E-8</v>
      </c>
      <c r="Y92" s="173">
        <f t="shared" si="81"/>
        <v>3.0669864174421202E-8</v>
      </c>
      <c r="Z92" s="173">
        <f t="shared" si="81"/>
        <v>3.1564995105163852E-8</v>
      </c>
      <c r="AA92" s="173">
        <f t="shared" si="81"/>
        <v>3.2486251335275792E-8</v>
      </c>
      <c r="AB92" s="173">
        <f t="shared" si="81"/>
        <v>3.343439535797862E-8</v>
      </c>
      <c r="AC92" s="173">
        <f t="shared" si="81"/>
        <v>3.4410211920627934E-8</v>
      </c>
      <c r="AD92" s="173">
        <f t="shared" si="81"/>
        <v>3.5414508674222693E-8</v>
      </c>
      <c r="AE92" s="173">
        <f t="shared" si="81"/>
        <v>3.6448116841871149E-8</v>
      </c>
      <c r="AF92" s="173">
        <f t="shared" si="81"/>
        <v>3.7511891906766644E-8</v>
      </c>
      <c r="AG92" s="173">
        <f t="shared" si="81"/>
        <v>3.8606714320242667E-8</v>
      </c>
      <c r="AH92" s="178">
        <f t="shared" si="81"/>
        <v>3.9733490230493203E-8</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2.4195964626732885E-6</v>
      </c>
      <c r="I93" s="116">
        <f t="shared" si="82"/>
        <v>4.6237161055065686E-6</v>
      </c>
      <c r="J93" s="116">
        <f t="shared" si="82"/>
        <v>6.5908897678067113E-6</v>
      </c>
      <c r="K93" s="116">
        <f t="shared" si="82"/>
        <v>8.8356803614103216E-6</v>
      </c>
      <c r="L93" s="116">
        <f t="shared" si="82"/>
        <v>1.1019629877771207E-5</v>
      </c>
      <c r="M93" s="116">
        <f t="shared" si="82"/>
        <v>1.3074200207380678E-5</v>
      </c>
      <c r="N93" s="178">
        <f t="shared" si="82"/>
        <v>1.5035755002344238E-5</v>
      </c>
      <c r="O93" s="116">
        <f t="shared" si="82"/>
        <v>1.7008202769168339E-5</v>
      </c>
      <c r="P93" s="116">
        <f t="shared" si="82"/>
        <v>1.8886908594158426E-5</v>
      </c>
      <c r="Q93" s="116">
        <f t="shared" si="82"/>
        <v>2.0572040937715483E-5</v>
      </c>
      <c r="R93" s="116">
        <f t="shared" si="82"/>
        <v>2.2280328145563168E-5</v>
      </c>
      <c r="S93" s="116">
        <f t="shared" si="82"/>
        <v>2.4071487517059119E-5</v>
      </c>
      <c r="T93" s="116">
        <f t="shared" si="82"/>
        <v>2.5853264740413661E-5</v>
      </c>
      <c r="U93" s="116">
        <f t="shared" si="82"/>
        <v>2.7600948308264841E-5</v>
      </c>
      <c r="V93" s="116">
        <f t="shared" si="82"/>
        <v>2.9279686867820249E-5</v>
      </c>
      <c r="W93" s="116">
        <f t="shared" si="82"/>
        <v>3.1090889230458482E-5</v>
      </c>
      <c r="X93" s="178">
        <f t="shared" si="82"/>
        <v>3.2726402735984066E-5</v>
      </c>
      <c r="Y93" s="173">
        <f t="shared" si="82"/>
        <v>3.4499686839573663E-5</v>
      </c>
      <c r="Z93" s="173">
        <f t="shared" si="82"/>
        <v>3.6172745754808444E-5</v>
      </c>
      <c r="AA93" s="173">
        <f t="shared" si="82"/>
        <v>3.7893304661191435E-5</v>
      </c>
      <c r="AB93" s="173">
        <f t="shared" si="82"/>
        <v>3.9518690787012183E-5</v>
      </c>
      <c r="AC93" s="173">
        <f t="shared" si="82"/>
        <v>4.0987384574439384E-5</v>
      </c>
      <c r="AD93" s="173">
        <f t="shared" si="82"/>
        <v>4.2477754126881608E-5</v>
      </c>
      <c r="AE93" s="173">
        <f t="shared" si="82"/>
        <v>4.3723536229827009E-5</v>
      </c>
      <c r="AF93" s="173">
        <f t="shared" si="82"/>
        <v>4.4880352074393156E-5</v>
      </c>
      <c r="AG93" s="173">
        <f t="shared" si="82"/>
        <v>4.612530884130306E-5</v>
      </c>
      <c r="AH93" s="178">
        <f t="shared" si="82"/>
        <v>4.743543403682411E-5</v>
      </c>
      <c r="AI93" s="127"/>
    </row>
    <row r="94" spans="1:35">
      <c r="A94" s="9" t="s">
        <v>53</v>
      </c>
      <c r="B94" s="37"/>
      <c r="C94" s="410">
        <f t="shared" ref="C94:AH94" si="83">C42/C$49</f>
        <v>5.0889537735153846E-2</v>
      </c>
      <c r="D94" s="336">
        <f t="shared" si="83"/>
        <v>6.4277039402160605E-2</v>
      </c>
      <c r="E94" s="336">
        <f t="shared" si="83"/>
        <v>6.5846307329143233E-2</v>
      </c>
      <c r="F94" s="336">
        <f t="shared" si="83"/>
        <v>7.0265293822935393E-2</v>
      </c>
      <c r="G94" s="336">
        <f t="shared" si="83"/>
        <v>7.8238130736215439E-2</v>
      </c>
      <c r="H94" s="409">
        <f t="shared" si="83"/>
        <v>7.9673747692201521E-2</v>
      </c>
      <c r="I94" s="116">
        <f t="shared" si="83"/>
        <v>9.6083289274455211E-2</v>
      </c>
      <c r="J94" s="116">
        <f t="shared" si="83"/>
        <v>0.10362295316899577</v>
      </c>
      <c r="K94" s="116">
        <f t="shared" si="83"/>
        <v>0.10418742483831113</v>
      </c>
      <c r="L94" s="116">
        <f t="shared" si="83"/>
        <v>0.1039367254125655</v>
      </c>
      <c r="M94" s="116">
        <f t="shared" si="83"/>
        <v>0.10617940311984332</v>
      </c>
      <c r="N94" s="178">
        <f t="shared" si="83"/>
        <v>0.11245668737404321</v>
      </c>
      <c r="O94" s="116">
        <f t="shared" si="83"/>
        <v>0.11499429305513317</v>
      </c>
      <c r="P94" s="116">
        <f t="shared" si="83"/>
        <v>0.11758916027169125</v>
      </c>
      <c r="Q94" s="116">
        <f t="shared" si="83"/>
        <v>0.12024258114071919</v>
      </c>
      <c r="R94" s="116">
        <f t="shared" si="83"/>
        <v>0.12295587693607474</v>
      </c>
      <c r="S94" s="116">
        <f t="shared" si="83"/>
        <v>0.12573039874640146</v>
      </c>
      <c r="T94" s="116">
        <f t="shared" si="83"/>
        <v>0.12856752814790481</v>
      </c>
      <c r="U94" s="116">
        <f t="shared" si="83"/>
        <v>0.13146867789230959</v>
      </c>
      <c r="V94" s="116">
        <f t="shared" si="83"/>
        <v>0.13443529261034112</v>
      </c>
      <c r="W94" s="116">
        <f t="shared" si="83"/>
        <v>0.13746884953108082</v>
      </c>
      <c r="X94" s="178">
        <f t="shared" si="83"/>
        <v>0.140570859217554</v>
      </c>
      <c r="Y94" s="173">
        <f t="shared" si="83"/>
        <v>0.14467356157486164</v>
      </c>
      <c r="Z94" s="173">
        <f t="shared" si="83"/>
        <v>0.14889600543994941</v>
      </c>
      <c r="AA94" s="173">
        <f t="shared" si="83"/>
        <v>0.15324168558953682</v>
      </c>
      <c r="AB94" s="173">
        <f t="shared" si="83"/>
        <v>0.15771419879892809</v>
      </c>
      <c r="AC94" s="173">
        <f t="shared" si="83"/>
        <v>0.16231724681894366</v>
      </c>
      <c r="AD94" s="173">
        <f t="shared" si="83"/>
        <v>0.16705463943973661</v>
      </c>
      <c r="AE94" s="173">
        <f t="shared" si="83"/>
        <v>0.17193029764402962</v>
      </c>
      <c r="AF94" s="173">
        <f t="shared" si="83"/>
        <v>0.17694825685238222</v>
      </c>
      <c r="AG94" s="173">
        <f t="shared" si="83"/>
        <v>0.18211267026317463</v>
      </c>
      <c r="AH94" s="178">
        <f t="shared" si="83"/>
        <v>0.18742781229007199</v>
      </c>
      <c r="AI94" s="127"/>
    </row>
    <row r="95" spans="1:35" s="378" customFormat="1">
      <c r="A95" s="373" t="s">
        <v>541</v>
      </c>
      <c r="B95" s="374"/>
      <c r="C95" s="375">
        <f>SUM(C86:C94)</f>
        <v>5.3550171656260581E-2</v>
      </c>
      <c r="D95" s="375">
        <f>SUM(D86:D94)</f>
        <v>6.7580166581757389E-2</v>
      </c>
      <c r="E95" s="375">
        <f>SUM(E86:E94)</f>
        <v>7.0185748820078789E-2</v>
      </c>
      <c r="F95" s="375">
        <f>SUM(F86:F94)</f>
        <v>7.4506637881381912E-2</v>
      </c>
      <c r="G95" s="375">
        <f t="shared" ref="G95:AH95" si="84">SUM(G86:G94)</f>
        <v>8.2709411208845895E-2</v>
      </c>
      <c r="H95" s="375">
        <f t="shared" si="84"/>
        <v>8.4742535569825472E-2</v>
      </c>
      <c r="I95" s="375">
        <f t="shared" si="84"/>
        <v>0.10187267170548189</v>
      </c>
      <c r="J95" s="375">
        <f t="shared" si="84"/>
        <v>0.11020561096548506</v>
      </c>
      <c r="K95" s="375">
        <f t="shared" si="84"/>
        <v>0.11093958206305082</v>
      </c>
      <c r="L95" s="375">
        <f t="shared" si="84"/>
        <v>0.11085766652638826</v>
      </c>
      <c r="M95" s="375">
        <f t="shared" si="84"/>
        <v>0.11327616990400366</v>
      </c>
      <c r="N95" s="376">
        <f t="shared" si="84"/>
        <v>0.12001503575500233</v>
      </c>
      <c r="O95" s="375">
        <f t="shared" si="84"/>
        <v>0.12272483011039793</v>
      </c>
      <c r="P95" s="375">
        <f t="shared" si="84"/>
        <v>0.12549563321954696</v>
      </c>
      <c r="Q95" s="375">
        <f t="shared" si="84"/>
        <v>0.1283930613128284</v>
      </c>
      <c r="R95" s="375">
        <f t="shared" si="84"/>
        <v>0.13130842331034073</v>
      </c>
      <c r="S95" s="375">
        <f t="shared" si="84"/>
        <v>0.1347449287804689</v>
      </c>
      <c r="T95" s="375">
        <f t="shared" si="84"/>
        <v>0.13801277896926528</v>
      </c>
      <c r="U95" s="375">
        <f t="shared" si="84"/>
        <v>0.14136200340334301</v>
      </c>
      <c r="V95" s="375">
        <f t="shared" si="84"/>
        <v>0.14485333553861329</v>
      </c>
      <c r="W95" s="375">
        <f t="shared" si="84"/>
        <v>0.14892195841397629</v>
      </c>
      <c r="X95" s="376">
        <f t="shared" si="84"/>
        <v>0.15003272640273593</v>
      </c>
      <c r="Y95" s="375">
        <f t="shared" si="84"/>
        <v>0.15740642448872808</v>
      </c>
      <c r="Z95" s="375">
        <f t="shared" si="84"/>
        <v>0.1622770779794262</v>
      </c>
      <c r="AA95" s="375">
        <f t="shared" si="84"/>
        <v>0.16732246582661409</v>
      </c>
      <c r="AB95" s="375">
        <f t="shared" si="84"/>
        <v>0.1725082186955044</v>
      </c>
      <c r="AC95" s="375">
        <f t="shared" si="84"/>
        <v>0.17779475800615638</v>
      </c>
      <c r="AD95" s="375">
        <f t="shared" si="84"/>
        <v>0.18326795887473052</v>
      </c>
      <c r="AE95" s="375">
        <f t="shared" si="84"/>
        <v>0.18882464670178745</v>
      </c>
      <c r="AF95" s="375">
        <f t="shared" si="84"/>
        <v>0.19459270464571174</v>
      </c>
      <c r="AG95" s="375">
        <f t="shared" si="84"/>
        <v>0.20056789445438988</v>
      </c>
      <c r="AH95" s="376">
        <f t="shared" si="84"/>
        <v>0.20004743543403677</v>
      </c>
      <c r="AI95" s="377"/>
    </row>
    <row r="96" spans="1:35">
      <c r="A96" s="10" t="s">
        <v>544</v>
      </c>
      <c r="B96" s="37"/>
      <c r="C96" s="332"/>
      <c r="D96" s="332">
        <f>D95/C95-1</f>
        <v>0.26199719798389398</v>
      </c>
      <c r="E96" s="332">
        <f t="shared" ref="E96:O96" si="85">E95/D95-1</f>
        <v>3.8555427873490089E-2</v>
      </c>
      <c r="F96" s="332">
        <f t="shared" si="85"/>
        <v>6.1563624153668561E-2</v>
      </c>
      <c r="G96" s="332">
        <f t="shared" si="85"/>
        <v>0.11009453064468144</v>
      </c>
      <c r="H96" s="284"/>
      <c r="I96" s="164">
        <f t="shared" si="85"/>
        <v>0.20214330407356851</v>
      </c>
      <c r="J96" s="164">
        <f t="shared" si="85"/>
        <v>8.1797592234490901E-2</v>
      </c>
      <c r="K96" s="164">
        <f t="shared" si="85"/>
        <v>6.660015684642584E-3</v>
      </c>
      <c r="L96" s="164">
        <f t="shared" si="85"/>
        <v>-7.3837971208512432E-4</v>
      </c>
      <c r="M96" s="164">
        <f t="shared" si="85"/>
        <v>2.1816293391307306E-2</v>
      </c>
      <c r="N96" s="164">
        <f t="shared" si="85"/>
        <v>5.9490587090908376E-2</v>
      </c>
      <c r="O96" s="172">
        <f t="shared" si="85"/>
        <v>2.2578790551938566E-2</v>
      </c>
      <c r="P96" s="172">
        <f t="shared" ref="P96:AH96" si="86">P95/O95-1</f>
        <v>2.257736357554152E-2</v>
      </c>
      <c r="Q96" s="172">
        <f t="shared" si="86"/>
        <v>2.3087879784729815E-2</v>
      </c>
      <c r="R96" s="172">
        <f t="shared" si="86"/>
        <v>2.2706538559814193E-2</v>
      </c>
      <c r="S96" s="172">
        <f t="shared" si="86"/>
        <v>2.6171249212292746E-2</v>
      </c>
      <c r="T96" s="172">
        <f t="shared" si="86"/>
        <v>2.4252120049137238E-2</v>
      </c>
      <c r="U96" s="172">
        <f t="shared" si="86"/>
        <v>2.4267495076115919E-2</v>
      </c>
      <c r="V96" s="172">
        <f t="shared" si="86"/>
        <v>2.469781165529028E-2</v>
      </c>
      <c r="W96" s="172">
        <f t="shared" si="86"/>
        <v>2.8087878406351408E-2</v>
      </c>
      <c r="X96" s="185">
        <f t="shared" si="86"/>
        <v>7.4587253658853214E-3</v>
      </c>
      <c r="Y96" s="172">
        <f t="shared" si="86"/>
        <v>4.9147264485474906E-2</v>
      </c>
      <c r="Z96" s="172">
        <f t="shared" si="86"/>
        <v>3.0943168339656379E-2</v>
      </c>
      <c r="AA96" s="172">
        <f t="shared" si="86"/>
        <v>3.1091192360682918E-2</v>
      </c>
      <c r="AB96" s="172">
        <f t="shared" si="86"/>
        <v>3.0992567813720839E-2</v>
      </c>
      <c r="AC96" s="172">
        <f t="shared" si="86"/>
        <v>3.0645144623418163E-2</v>
      </c>
      <c r="AD96" s="172">
        <f t="shared" si="86"/>
        <v>3.078381460709112E-2</v>
      </c>
      <c r="AE96" s="172">
        <f t="shared" si="86"/>
        <v>3.0320018082675926E-2</v>
      </c>
      <c r="AF96" s="172">
        <f t="shared" si="86"/>
        <v>3.0547166615562782E-2</v>
      </c>
      <c r="AG96" s="172">
        <f t="shared" si="86"/>
        <v>3.0706134742085833E-2</v>
      </c>
      <c r="AH96" s="185">
        <f t="shared" si="86"/>
        <v>-2.5949268788453272E-3</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154.3485</v>
      </c>
      <c r="D102" s="331">
        <f>D31*Inputs!$C$48</f>
        <v>165.26618081918335</v>
      </c>
      <c r="E102" s="331">
        <f>E31*Inputs!$C$48</f>
        <v>172.8593989609017</v>
      </c>
      <c r="F102" s="331">
        <f>F31*Inputs!$C$48</f>
        <v>186.59674772638769</v>
      </c>
      <c r="G102" s="331">
        <f>G31*Inputs!$C$48</f>
        <v>184.98896954187731</v>
      </c>
      <c r="H102" s="402">
        <f>H31*Inputs!$C$48</f>
        <v>234.39276513010918</v>
      </c>
      <c r="I102" s="14">
        <f>I31*Inputs!$C$48</f>
        <v>242.56930153477799</v>
      </c>
      <c r="J102" s="14">
        <f>J31*Inputs!$C$48</f>
        <v>252.36456701079612</v>
      </c>
      <c r="K102" s="14">
        <f>K31*Inputs!$C$48</f>
        <v>248.12376461034339</v>
      </c>
      <c r="L102" s="14">
        <f>L31*Inputs!$C$48</f>
        <v>245.80474220526389</v>
      </c>
      <c r="M102" s="14">
        <f>M31*Inputs!$C$48</f>
        <v>245.6985523338939</v>
      </c>
      <c r="N102" s="182">
        <f>N31*Inputs!$C$48</f>
        <v>246.29602047328453</v>
      </c>
      <c r="O102" s="14">
        <f>O31*Inputs!$C$48</f>
        <v>246.27848937858676</v>
      </c>
      <c r="P102" s="14">
        <f>P31*Inputs!$C$48</f>
        <v>246.91073622745955</v>
      </c>
      <c r="Q102" s="14">
        <f>Q31*Inputs!$C$48</f>
        <v>249.2278087739785</v>
      </c>
      <c r="R102" s="14">
        <f>R31*Inputs!$C$48</f>
        <v>250.44456191098428</v>
      </c>
      <c r="S102" s="14">
        <f>S31*Inputs!$C$48</f>
        <v>250.17014473975047</v>
      </c>
      <c r="T102" s="14">
        <f>T31*Inputs!$C$48</f>
        <v>249.60353106250932</v>
      </c>
      <c r="U102" s="14">
        <f>U31*Inputs!$C$48</f>
        <v>249.0234357984877</v>
      </c>
      <c r="V102" s="14">
        <f>V31*Inputs!$C$48</f>
        <v>248.72595052258094</v>
      </c>
      <c r="W102" s="14">
        <f>W31*Inputs!$C$48</f>
        <v>247.05215139748884</v>
      </c>
      <c r="X102" s="187">
        <f>X31*Inputs!$C$48</f>
        <v>246.54840381462833</v>
      </c>
      <c r="Y102" s="158">
        <f>Y31*Inputs!$C$48</f>
        <v>245.48025035045549</v>
      </c>
      <c r="Z102" s="158">
        <f>Z31*Inputs!$C$48</f>
        <v>244.96587210675091</v>
      </c>
      <c r="AA102" s="158">
        <f>AA31*Inputs!$C$48</f>
        <v>243.97269606349442</v>
      </c>
      <c r="AB102" s="158">
        <f>AB31*Inputs!$C$48</f>
        <v>243.44233178453712</v>
      </c>
      <c r="AC102" s="158">
        <f>AC31*Inputs!$C$48</f>
        <v>243.68131594567163</v>
      </c>
      <c r="AD102" s="158">
        <f>AD31*Inputs!$C$48</f>
        <v>243.58501624320527</v>
      </c>
      <c r="AE102" s="158">
        <f>AE31*Inputs!$C$48</f>
        <v>244.66859300063871</v>
      </c>
      <c r="AF102" s="158">
        <f>AF31*Inputs!$C$48</f>
        <v>245.99528043249342</v>
      </c>
      <c r="AG102" s="158">
        <f>AG31*Inputs!$C$48</f>
        <v>246.60388899209514</v>
      </c>
      <c r="AH102" s="187">
        <f>AH31*Inputs!$C$48</f>
        <v>246.66693935198725</v>
      </c>
    </row>
    <row r="103" spans="1:36">
      <c r="A103" s="10" t="s">
        <v>59</v>
      </c>
      <c r="B103" s="35">
        <v>0</v>
      </c>
      <c r="C103" s="331">
        <f>C32*Inputs!$C$53</f>
        <v>5809.72</v>
      </c>
      <c r="D103" s="331">
        <f>D32*Inputs!$C$53</f>
        <v>6013.1193031402563</v>
      </c>
      <c r="E103" s="331">
        <f>E32*Inputs!$C$53</f>
        <v>6085.2593393279049</v>
      </c>
      <c r="F103" s="331">
        <f>F32*Inputs!$C$53</f>
        <v>6361.2653040839468</v>
      </c>
      <c r="G103" s="331">
        <f>G32*Inputs!$C$53</f>
        <v>6112.2291233390133</v>
      </c>
      <c r="H103" s="402">
        <f>H32*Inputs!$C$53</f>
        <v>5730.2863275271538</v>
      </c>
      <c r="I103" s="14">
        <f>I32*Inputs!$C$53</f>
        <v>6030.3506304771709</v>
      </c>
      <c r="J103" s="14">
        <f>J32*Inputs!$C$53</f>
        <v>6380.4657478578529</v>
      </c>
      <c r="K103" s="14">
        <f>K32*Inputs!$C$53</f>
        <v>6380.4856514090661</v>
      </c>
      <c r="L103" s="14">
        <f>L32*Inputs!$C$53</f>
        <v>6429.5794126411147</v>
      </c>
      <c r="M103" s="14">
        <f>M32*Inputs!$C$53</f>
        <v>6538.0601449734568</v>
      </c>
      <c r="N103" s="182">
        <f>N32*Inputs!$C$53</f>
        <v>6668.1651483077167</v>
      </c>
      <c r="O103" s="14">
        <f>O32*Inputs!$C$53</f>
        <v>6667.6905152444197</v>
      </c>
      <c r="P103" s="14">
        <f>P32*Inputs!$C$53</f>
        <v>6684.8078295829928</v>
      </c>
      <c r="Q103" s="14">
        <f>Q32*Inputs!$C$53</f>
        <v>6747.5397501845036</v>
      </c>
      <c r="R103" s="14">
        <f>R32*Inputs!$C$53</f>
        <v>6780.4818612534718</v>
      </c>
      <c r="S103" s="14">
        <f>S32*Inputs!$C$53</f>
        <v>6773.0523501562066</v>
      </c>
      <c r="T103" s="14">
        <f>T32*Inputs!$C$53</f>
        <v>6757.711974100298</v>
      </c>
      <c r="U103" s="14">
        <f>U32*Inputs!$C$53</f>
        <v>6742.0066004819409</v>
      </c>
      <c r="V103" s="14">
        <f>V32*Inputs!$C$53</f>
        <v>6733.9525485117783</v>
      </c>
      <c r="W103" s="14">
        <f>W32*Inputs!$C$53</f>
        <v>6688.6364732875027</v>
      </c>
      <c r="X103" s="187">
        <f>X32*Inputs!$C$53</f>
        <v>6674.9981202636927</v>
      </c>
      <c r="Y103" s="158">
        <f>Y32*Inputs!$C$53</f>
        <v>6646.0791645730778</v>
      </c>
      <c r="Z103" s="158">
        <f>Z32*Inputs!$C$53</f>
        <v>6632.1529993385448</v>
      </c>
      <c r="AA103" s="158">
        <f>AA32*Inputs!$C$53</f>
        <v>6605.2639661131971</v>
      </c>
      <c r="AB103" s="158">
        <f>AB32*Inputs!$C$53</f>
        <v>6590.9049984203575</v>
      </c>
      <c r="AC103" s="158">
        <f>AC32*Inputs!$C$53</f>
        <v>6597.3752038715556</v>
      </c>
      <c r="AD103" s="158">
        <f>AD32*Inputs!$C$53</f>
        <v>6594.7680065707436</v>
      </c>
      <c r="AE103" s="158">
        <f>AE32*Inputs!$C$53</f>
        <v>6624.1045291647733</v>
      </c>
      <c r="AF103" s="158">
        <f>AF32*Inputs!$C$53</f>
        <v>6660.0229775375537</v>
      </c>
      <c r="AG103" s="158">
        <f>AG32*Inputs!$C$53</f>
        <v>6676.5003139488335</v>
      </c>
      <c r="AH103" s="187">
        <f>AH32*Inputs!$C$53</f>
        <v>6678.2073257455095</v>
      </c>
    </row>
    <row r="104" spans="1:36">
      <c r="A104" s="10" t="s">
        <v>121</v>
      </c>
      <c r="B104" s="35">
        <v>1</v>
      </c>
      <c r="C104" s="331">
        <f>C34*Inputs!$C$46</f>
        <v>136.29</v>
      </c>
      <c r="D104" s="331">
        <f>D34*Inputs!$C$46</f>
        <v>189</v>
      </c>
      <c r="E104" s="331">
        <f>E34*Inputs!$C$46</f>
        <v>190.63745556778795</v>
      </c>
      <c r="F104" s="331">
        <f>F34*Inputs!$C$46</f>
        <v>184.09097635286358</v>
      </c>
      <c r="G104" s="331">
        <f>G34*Inputs!$C$46</f>
        <v>203.91051309827958</v>
      </c>
      <c r="H104" s="402">
        <f>H34*Inputs!$C$46</f>
        <v>209.79613997195426</v>
      </c>
      <c r="I104" s="14">
        <f>I34*Inputs!$C$46</f>
        <v>230.44602270686823</v>
      </c>
      <c r="J104" s="14">
        <f>J34*Inputs!$C$46</f>
        <v>254.50571344665244</v>
      </c>
      <c r="K104" s="14">
        <f>K34*Inputs!$C$46</f>
        <v>265.66251047436435</v>
      </c>
      <c r="L104" s="14">
        <f>L34*Inputs!$C$46</f>
        <v>279.44942588696938</v>
      </c>
      <c r="M104" s="14">
        <f>M34*Inputs!$C$46</f>
        <v>296.63766389390736</v>
      </c>
      <c r="N104" s="182">
        <f>N34*Inputs!$C$46</f>
        <v>315.82966539679904</v>
      </c>
      <c r="O104" s="14">
        <f>O34*Inputs!$C$46</f>
        <v>326.28918882897085</v>
      </c>
      <c r="P104" s="14">
        <f>P34*Inputs!$C$46</f>
        <v>338.0210560869956</v>
      </c>
      <c r="Q104" s="14">
        <f>Q34*Inputs!$C$46</f>
        <v>359.16223921622651</v>
      </c>
      <c r="R104" s="14">
        <f>R34*Inputs!$C$46</f>
        <v>374.77101077169942</v>
      </c>
      <c r="S104" s="14">
        <f>S34*Inputs!$C$46</f>
        <v>423.18219497261583</v>
      </c>
      <c r="T104" s="14">
        <f>T34*Inputs!$C$46</f>
        <v>437.422537360452</v>
      </c>
      <c r="U104" s="14">
        <f>U34*Inputs!$C$46</f>
        <v>447.11786164856073</v>
      </c>
      <c r="V104" s="14">
        <f>V34*Inputs!$C$46</f>
        <v>456.16019116649397</v>
      </c>
      <c r="W104" s="14">
        <f>W34*Inputs!$C$46</f>
        <v>510.89555930455975</v>
      </c>
      <c r="X104" s="187">
        <f>X34*Inputs!$C$46</f>
        <v>440.49479856580876</v>
      </c>
      <c r="Y104" s="158">
        <f>Y34*Inputs!$C$46</f>
        <v>526.15136519575867</v>
      </c>
      <c r="Z104" s="158">
        <f>Z34*Inputs!$C$46</f>
        <v>531.37056544480788</v>
      </c>
      <c r="AA104" s="158">
        <f>AA34*Inputs!$C$46</f>
        <v>538.36697989430809</v>
      </c>
      <c r="AB104" s="158">
        <f>AB34*Inputs!$C$46</f>
        <v>546.41345156917259</v>
      </c>
      <c r="AC104" s="158">
        <f>AC34*Inputs!$C$46</f>
        <v>553.27515204446138</v>
      </c>
      <c r="AD104" s="158">
        <f>AD34*Inputs!$C$46</f>
        <v>562.82921863439617</v>
      </c>
      <c r="AE104" s="158">
        <f>AE34*Inputs!$C$46</f>
        <v>573.14608189678938</v>
      </c>
      <c r="AF104" s="158">
        <f>AF34*Inputs!$C$46</f>
        <v>594.59996119971379</v>
      </c>
      <c r="AG104" s="158">
        <f>AG34*Inputs!$C$46</f>
        <v>619.25433800535598</v>
      </c>
      <c r="AH104" s="187">
        <f>AH34*Inputs!$C$46</f>
        <v>643.5610562052118</v>
      </c>
    </row>
    <row r="105" spans="1:36">
      <c r="A105" s="10" t="s">
        <v>50</v>
      </c>
      <c r="B105" s="35">
        <v>1</v>
      </c>
      <c r="C105" s="331">
        <f>C35*Inputs!$C$49</f>
        <v>0</v>
      </c>
      <c r="D105" s="331">
        <f>D35*Inputs!$C$49</f>
        <v>0</v>
      </c>
      <c r="E105" s="331">
        <f>E35*Inputs!$C$49</f>
        <v>1.00297075E-2</v>
      </c>
      <c r="F105" s="331">
        <f>F35*Inputs!$C$49</f>
        <v>9.3954975000000007E-3</v>
      </c>
      <c r="G105" s="331">
        <f>G35*Inputs!$C$49</f>
        <v>1.0272635E-2</v>
      </c>
      <c r="H105" s="402">
        <f>H35*Inputs!$C$49</f>
        <v>1.0272675E-2</v>
      </c>
      <c r="I105" s="14">
        <f>I35*Inputs!$C$49</f>
        <v>1.1049594370431593E-2</v>
      </c>
      <c r="J105" s="14">
        <f>J35*Inputs!$C$49</f>
        <v>1.1949939818563373E-2</v>
      </c>
      <c r="K105" s="14">
        <f>K35*Inputs!$C$49</f>
        <v>1.2214888795609186E-2</v>
      </c>
      <c r="L105" s="14">
        <f>L35*Inputs!$C$49</f>
        <v>1.2582111521892753E-2</v>
      </c>
      <c r="M105" s="14">
        <f>M35*Inputs!$C$49</f>
        <v>1.3078792939643261E-2</v>
      </c>
      <c r="N105" s="182">
        <f>N35*Inputs!$C$49</f>
        <v>1.3635948598867765E-2</v>
      </c>
      <c r="O105" s="14">
        <f>O35*Inputs!$C$49</f>
        <v>1.4087538615627442E-2</v>
      </c>
      <c r="P105" s="14">
        <f>P35*Inputs!$C$49</f>
        <v>1.4594062088329654E-2</v>
      </c>
      <c r="Q105" s="14">
        <f>Q35*Inputs!$C$49</f>
        <v>1.5223278060106192E-2</v>
      </c>
      <c r="R105" s="14">
        <f>R35*Inputs!$C$49</f>
        <v>1.5810574958328338E-2</v>
      </c>
      <c r="S105" s="14">
        <f>S35*Inputs!$C$49</f>
        <v>1.6324725219306207E-2</v>
      </c>
      <c r="T105" s="14">
        <f>T35*Inputs!$C$49</f>
        <v>1.6837845595940849E-2</v>
      </c>
      <c r="U105" s="14">
        <f>U35*Inputs!$C$49</f>
        <v>1.7368151432695399E-2</v>
      </c>
      <c r="V105" s="14">
        <f>V35*Inputs!$C$49</f>
        <v>1.7937643880800287E-2</v>
      </c>
      <c r="W105" s="14">
        <f>W35*Inputs!$C$49</f>
        <v>1.8425462879840062E-2</v>
      </c>
      <c r="X105" s="187">
        <f>X35*Inputs!$C$49</f>
        <v>1.9018366826832143E-2</v>
      </c>
      <c r="Y105" s="158">
        <f>Y35*Inputs!$C$49</f>
        <v>1.9659560054395644E-2</v>
      </c>
      <c r="Z105" s="158">
        <f>Z35*Inputs!$C$49</f>
        <v>2.0369597214782723E-2</v>
      </c>
      <c r="AA105" s="158">
        <f>AA35*Inputs!$C$49</f>
        <v>2.1065496716461393E-2</v>
      </c>
      <c r="AB105" s="158">
        <f>AB35*Inputs!$C$49</f>
        <v>2.1828043468686838E-2</v>
      </c>
      <c r="AC105" s="158">
        <f>AC35*Inputs!$C$49</f>
        <v>2.2691563014780751E-2</v>
      </c>
      <c r="AD105" s="158">
        <f>AD35*Inputs!$C$49</f>
        <v>2.3558742225067084E-2</v>
      </c>
      <c r="AE105" s="158">
        <f>AE35*Inputs!$C$49</f>
        <v>2.4579647324363522E-2</v>
      </c>
      <c r="AF105" s="158">
        <f>AF35*Inputs!$C$49</f>
        <v>2.5671858587512655E-2</v>
      </c>
      <c r="AG105" s="158">
        <f>AG35*Inputs!$C$49</f>
        <v>2.6736311524308446E-2</v>
      </c>
      <c r="AH105" s="187">
        <f>AH35*Inputs!$C$49</f>
        <v>2.7785754297722339E-2</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59.699999999999996</v>
      </c>
      <c r="D107" s="331">
        <f>D37*Inputs!$C$52</f>
        <v>67.349999999999994</v>
      </c>
      <c r="E107" s="331">
        <f>E37*Inputs!$C$52</f>
        <v>124.07964840096153</v>
      </c>
      <c r="F107" s="331">
        <f>F37*Inputs!$C$52</f>
        <v>128.47891451199905</v>
      </c>
      <c r="G107" s="331">
        <f>G37*Inputs!$C$52</f>
        <v>104.50061206598784</v>
      </c>
      <c r="H107" s="402">
        <f>H37*Inputs!$C$52</f>
        <v>112.44591622811693</v>
      </c>
      <c r="I107" s="14">
        <f>I37*Inputs!$C$52</f>
        <v>118.74432593715812</v>
      </c>
      <c r="J107" s="14">
        <f>J37*Inputs!$C$52</f>
        <v>126.077805604974</v>
      </c>
      <c r="K107" s="14">
        <f>K37*Inputs!$C$52</f>
        <v>126.52281113840829</v>
      </c>
      <c r="L107" s="14">
        <f>L37*Inputs!$C$52</f>
        <v>127.94968984079085</v>
      </c>
      <c r="M107" s="14">
        <f>M37*Inputs!$C$52</f>
        <v>130.57491849813502</v>
      </c>
      <c r="N107" s="182">
        <f>N37*Inputs!$C$52</f>
        <v>133.65458038396528</v>
      </c>
      <c r="O107" s="14">
        <f>O37*Inputs!$C$52</f>
        <v>138.08090054482417</v>
      </c>
      <c r="P107" s="14">
        <f>P37*Inputs!$C$52</f>
        <v>143.04565834717204</v>
      </c>
      <c r="Q107" s="14">
        <f>Q37*Inputs!$C$52</f>
        <v>149.21300314676049</v>
      </c>
      <c r="R107" s="14">
        <f>R37*Inputs!$C$52</f>
        <v>154.96947252060389</v>
      </c>
      <c r="S107" s="14">
        <f>S37*Inputs!$C$52</f>
        <v>160.00898531188926</v>
      </c>
      <c r="T107" s="14">
        <f>T37*Inputs!$C$52</f>
        <v>165.03840355355524</v>
      </c>
      <c r="U107" s="14">
        <f>U37*Inputs!$C$52</f>
        <v>170.23626738918762</v>
      </c>
      <c r="V107" s="14">
        <f>V37*Inputs!$C$52</f>
        <v>175.81822405552586</v>
      </c>
      <c r="W107" s="14">
        <f>W37*Inputs!$C$52</f>
        <v>180.59964744879099</v>
      </c>
      <c r="X107" s="187">
        <f>X37*Inputs!$C$52</f>
        <v>186.41107506372063</v>
      </c>
      <c r="Y107" s="158">
        <f>Y37*Inputs!$C$52</f>
        <v>192.69581654347041</v>
      </c>
      <c r="Z107" s="158">
        <f>Z37*Inputs!$C$52</f>
        <v>199.65534107089763</v>
      </c>
      <c r="AA107" s="158">
        <f>AA37*Inputs!$C$52</f>
        <v>206.47629343896367</v>
      </c>
      <c r="AB107" s="158">
        <f>AB37*Inputs!$C$52</f>
        <v>213.95049777853635</v>
      </c>
      <c r="AC107" s="158">
        <f>AC37*Inputs!$C$52</f>
        <v>222.41440050959514</v>
      </c>
      <c r="AD107" s="158">
        <f>AD37*Inputs!$C$52</f>
        <v>230.91417393042934</v>
      </c>
      <c r="AE107" s="158">
        <f>AE37*Inputs!$C$52</f>
        <v>240.92071228520473</v>
      </c>
      <c r="AF107" s="158">
        <f>AF37*Inputs!$C$52</f>
        <v>251.62616757556569</v>
      </c>
      <c r="AG107" s="158">
        <f>AG37*Inputs!$C$52</f>
        <v>262.05954590450233</v>
      </c>
      <c r="AH107" s="187">
        <f>AH37*Inputs!$C$52</f>
        <v>272.34580010241444</v>
      </c>
    </row>
    <row r="108" spans="1:36">
      <c r="A108" s="9" t="s">
        <v>347</v>
      </c>
      <c r="B108" s="35">
        <v>1</v>
      </c>
      <c r="C108" s="331">
        <f>C38*Inputs!$C$54</f>
        <v>0</v>
      </c>
      <c r="D108" s="331">
        <f>D38*Inputs!$C$54</f>
        <v>0</v>
      </c>
      <c r="E108" s="331">
        <f>E38*Inputs!$C$54</f>
        <v>49.96987</v>
      </c>
      <c r="F108" s="331">
        <f>F38*Inputs!$C$54</f>
        <v>86.264839999999992</v>
      </c>
      <c r="G108" s="331">
        <f>G38*Inputs!$C$54</f>
        <v>160.87007000000003</v>
      </c>
      <c r="H108" s="402">
        <f>H38*Inputs!$C$54</f>
        <v>272.60530000000006</v>
      </c>
      <c r="I108" s="14">
        <f>I38*Inputs!$C$54</f>
        <v>484.31898000000001</v>
      </c>
      <c r="J108" s="14">
        <f>J38*Inputs!$C$54</f>
        <v>743.10086000000001</v>
      </c>
      <c r="K108" s="14">
        <f>K38*Inputs!$C$54</f>
        <v>745.80345</v>
      </c>
      <c r="L108" s="14">
        <f>L38*Inputs!$C$54</f>
        <v>751.60521000000006</v>
      </c>
      <c r="M108" s="14">
        <f>M38*Inputs!$C$54</f>
        <v>764.41111000000001</v>
      </c>
      <c r="N108" s="182">
        <f>N38*Inputs!$C$54</f>
        <v>882.17999919760803</v>
      </c>
      <c r="O108" s="14">
        <f>O38*Inputs!$C$54</f>
        <v>911.39569165451371</v>
      </c>
      <c r="P108" s="14">
        <f>P38*Inputs!$C$54</f>
        <v>944.16531332785371</v>
      </c>
      <c r="Q108" s="14">
        <f>Q38*Inputs!$C$54</f>
        <v>984.87254696490629</v>
      </c>
      <c r="R108" s="14">
        <f>R38*Inputs!$C$54</f>
        <v>1022.8678190536693</v>
      </c>
      <c r="S108" s="14">
        <f>S38*Inputs!$C$54</f>
        <v>1105.8325200000002</v>
      </c>
      <c r="T108" s="14">
        <f>T38*Inputs!$C$54</f>
        <v>1226.8628900000001</v>
      </c>
      <c r="U108" s="14">
        <f>U38*Inputs!$C$54</f>
        <v>1374.5328500000001</v>
      </c>
      <c r="V108" s="14">
        <f>V38*Inputs!$C$54</f>
        <v>1562.3229600000002</v>
      </c>
      <c r="W108" s="14">
        <f>W38*Inputs!$C$54</f>
        <v>1770.3339100000001</v>
      </c>
      <c r="X108" s="187">
        <f>X38*Inputs!$C$54</f>
        <v>1230.3964561312364</v>
      </c>
      <c r="Y108" s="158">
        <f>Y38*Inputs!$C$54</f>
        <v>2239.5844299999999</v>
      </c>
      <c r="Z108" s="158">
        <f>Z38*Inputs!$C$54</f>
        <v>2486.8180899999998</v>
      </c>
      <c r="AA108" s="158">
        <f>AA38*Inputs!$C$54</f>
        <v>2742.3823000000002</v>
      </c>
      <c r="AB108" s="158">
        <f>AB38*Inputs!$C$54</f>
        <v>3011.3749299999999</v>
      </c>
      <c r="AC108" s="158">
        <f>AC38*Inputs!$C$54</f>
        <v>3292.6109800000004</v>
      </c>
      <c r="AD108" s="158">
        <f>AD38*Inputs!$C$54</f>
        <v>3583.4321</v>
      </c>
      <c r="AE108" s="158">
        <f>AE38*Inputs!$C$54</f>
        <v>3881.7779699999996</v>
      </c>
      <c r="AF108" s="158">
        <f>AF38*Inputs!$C$54</f>
        <v>4182.5246500000003</v>
      </c>
      <c r="AG108" s="158">
        <f>AG38*Inputs!$C$54</f>
        <v>4487.70165</v>
      </c>
      <c r="AH108" s="187">
        <f>AH38*Inputs!$C$54</f>
        <v>1797.6040703251801</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2.4012485524970158E-2</v>
      </c>
      <c r="J109" s="14">
        <f>J39*Inputs!$C$55</f>
        <v>2.5205945439737847E-2</v>
      </c>
      <c r="K109" s="14">
        <f>K39*Inputs!$C$55</f>
        <v>2.5007673139384699E-2</v>
      </c>
      <c r="L109" s="14">
        <f>L39*Inputs!$C$55</f>
        <v>2.5002520388969583E-2</v>
      </c>
      <c r="M109" s="14">
        <f>M39*Inputs!$C$55</f>
        <v>2.5225769154431445E-2</v>
      </c>
      <c r="N109" s="182">
        <f>N39*Inputs!$C$55</f>
        <v>2.5527518609256523E-2</v>
      </c>
      <c r="O109" s="14">
        <f>O39*Inputs!$C$55</f>
        <v>2.6372928994386934E-2</v>
      </c>
      <c r="P109" s="14">
        <f>P39*Inputs!$C$55</f>
        <v>2.7321178929598972E-2</v>
      </c>
      <c r="Q109" s="14">
        <f>Q39*Inputs!$C$55</f>
        <v>2.8499118426239537E-2</v>
      </c>
      <c r="R109" s="14">
        <f>R39*Inputs!$C$55</f>
        <v>2.9598582272837595E-2</v>
      </c>
      <c r="S109" s="14">
        <f>S39*Inputs!$C$55</f>
        <v>3.0561110127786863E-2</v>
      </c>
      <c r="T109" s="14">
        <f>T39*Inputs!$C$55</f>
        <v>3.1521709961994007E-2</v>
      </c>
      <c r="U109" s="14">
        <f>U39*Inputs!$C$55</f>
        <v>3.2514482266626572E-2</v>
      </c>
      <c r="V109" s="14">
        <f>V39*Inputs!$C$55</f>
        <v>3.3580614847093744E-2</v>
      </c>
      <c r="W109" s="14">
        <f>W39*Inputs!$C$55</f>
        <v>3.4493848604587575E-2</v>
      </c>
      <c r="X109" s="187">
        <f>X39*Inputs!$C$55</f>
        <v>3.5603809267067514E-2</v>
      </c>
      <c r="Y109" s="158">
        <f>Y39*Inputs!$C$55</f>
        <v>3.6804171084954949E-2</v>
      </c>
      <c r="Z109" s="158">
        <f>Z39*Inputs!$C$55</f>
        <v>3.8133413909069866E-2</v>
      </c>
      <c r="AA109" s="158">
        <f>AA39*Inputs!$C$55</f>
        <v>3.9436189975617202E-2</v>
      </c>
      <c r="AB109" s="158">
        <f>AB39*Inputs!$C$55</f>
        <v>4.0863734694396754E-2</v>
      </c>
      <c r="AC109" s="158">
        <f>AC39*Inputs!$C$55</f>
        <v>4.2480308057264923E-2</v>
      </c>
      <c r="AD109" s="158">
        <f>AD39*Inputs!$C$55</f>
        <v>4.4103732586012627E-2</v>
      </c>
      <c r="AE109" s="158">
        <f>AE39*Inputs!$C$55</f>
        <v>4.6014943509962471E-2</v>
      </c>
      <c r="AF109" s="158">
        <f>AF39*Inputs!$C$55</f>
        <v>4.8059644921318208E-2</v>
      </c>
      <c r="AG109" s="158">
        <f>AG39*Inputs!$C$55</f>
        <v>5.005238066358908E-2</v>
      </c>
      <c r="AH109" s="187">
        <f>AH39*Inputs!$C$55</f>
        <v>5.2017016254097048E-2</v>
      </c>
    </row>
    <row r="110" spans="1:36">
      <c r="A110" s="9" t="s">
        <v>344</v>
      </c>
      <c r="B110" s="35">
        <v>1</v>
      </c>
      <c r="C110" s="331">
        <f>C40*Inputs!$C$51</f>
        <v>2.7000000000000001E-3</v>
      </c>
      <c r="D110" s="331">
        <f>D40*Inputs!$C$51</f>
        <v>2.7952171317362985E-3</v>
      </c>
      <c r="E110" s="331">
        <f>E40*Inputs!$C$51</f>
        <v>2.8294706944766213E-3</v>
      </c>
      <c r="F110" s="331">
        <f>F40*Inputs!$C$51</f>
        <v>2.9585793909149265E-3</v>
      </c>
      <c r="G110" s="331">
        <f>G40*Inputs!$C$51</f>
        <v>2.8435194512550837E-3</v>
      </c>
      <c r="H110" s="402">
        <f>H40*Inputs!$C$51</f>
        <v>2.7000000000000001E-3</v>
      </c>
      <c r="I110" s="14">
        <f>I40*Inputs!$C$51</f>
        <v>2.8188569964095402E-3</v>
      </c>
      <c r="J110" s="14">
        <f>J40*Inputs!$C$51</f>
        <v>2.9589588124909636E-3</v>
      </c>
      <c r="K110" s="14">
        <f>K40*Inputs!$C$51</f>
        <v>2.9356833685364632E-3</v>
      </c>
      <c r="L110" s="14">
        <f>L40*Inputs!$C$51</f>
        <v>2.9350784804442536E-3</v>
      </c>
      <c r="M110" s="14">
        <f>M40*Inputs!$C$51</f>
        <v>2.961285944215864E-3</v>
      </c>
      <c r="N110" s="182">
        <f>N40*Inputs!$C$51</f>
        <v>2.9967087063040264E-3</v>
      </c>
      <c r="O110" s="14">
        <f>O40*Inputs!$C$51</f>
        <v>3.0959525341236823E-3</v>
      </c>
      <c r="P110" s="14">
        <f>P40*Inputs!$C$51</f>
        <v>3.2072688308659642E-3</v>
      </c>
      <c r="Q110" s="14">
        <f>Q40*Inputs!$C$51</f>
        <v>3.3455486848194228E-3</v>
      </c>
      <c r="R110" s="14">
        <f>R40*Inputs!$C$51</f>
        <v>3.4746161798548465E-3</v>
      </c>
      <c r="S110" s="14">
        <f>S40*Inputs!$C$51</f>
        <v>3.5876085802184566E-3</v>
      </c>
      <c r="T110" s="14">
        <f>T40*Inputs!$C$51</f>
        <v>3.7003746477123388E-3</v>
      </c>
      <c r="U110" s="14">
        <f>U40*Inputs!$C$51</f>
        <v>3.8169174834735524E-3</v>
      </c>
      <c r="V110" s="14">
        <f>V40*Inputs!$C$51</f>
        <v>3.9420721777023065E-3</v>
      </c>
      <c r="W110" s="14">
        <f>W40*Inputs!$C$51</f>
        <v>4.0492778796689744E-3</v>
      </c>
      <c r="X110" s="187">
        <f>X40*Inputs!$C$51</f>
        <v>4.1795776096122733E-3</v>
      </c>
      <c r="Y110" s="158">
        <f>Y40*Inputs!$C$51</f>
        <v>4.3204896491034076E-3</v>
      </c>
      <c r="Z110" s="158">
        <f>Z40*Inputs!$C$51</f>
        <v>4.476531198021245E-3</v>
      </c>
      <c r="AA110" s="158">
        <f>AA40*Inputs!$C$51</f>
        <v>4.6294657797463683E-3</v>
      </c>
      <c r="AB110" s="158">
        <f>AB40*Inputs!$C$51</f>
        <v>4.7970471162987506E-3</v>
      </c>
      <c r="AC110" s="158">
        <f>AC40*Inputs!$C$51</f>
        <v>4.9868187719397956E-3</v>
      </c>
      <c r="AD110" s="158">
        <f>AD40*Inputs!$C$51</f>
        <v>5.1773946948797432E-3</v>
      </c>
      <c r="AE110" s="158">
        <f>AE40*Inputs!$C$51</f>
        <v>5.4017542381260292E-3</v>
      </c>
      <c r="AF110" s="158">
        <f>AF40*Inputs!$C$51</f>
        <v>5.6417844038069197E-3</v>
      </c>
      <c r="AG110" s="158">
        <f>AG40*Inputs!$C$51</f>
        <v>5.8757142518126313E-3</v>
      </c>
      <c r="AH110" s="187">
        <f>AH40*Inputs!$C$51</f>
        <v>6.1063453863505236E-3</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3404.42</v>
      </c>
      <c r="D112" s="331">
        <f>D42*Inputs!$C$57</f>
        <v>4462.67</v>
      </c>
      <c r="E112" s="331">
        <f>E42*Inputs!$C$57</f>
        <v>4639.0865990000002</v>
      </c>
      <c r="F112" s="331">
        <f>F42*Inputs!$C$57</f>
        <v>5189.1048369999999</v>
      </c>
      <c r="G112" s="331">
        <f>G42*Inputs!$C$57</f>
        <v>5566.9268619999993</v>
      </c>
      <c r="H112" s="402">
        <f>H42*Inputs!$C$57</f>
        <v>5597.8496070000001</v>
      </c>
      <c r="I112" s="14">
        <f>I42*Inputs!$C$57</f>
        <v>7065.3815260000001</v>
      </c>
      <c r="J112" s="14">
        <f>J42*Inputs!$C$57</f>
        <v>8018.2961599999999</v>
      </c>
      <c r="K112" s="14">
        <f>K42*Inputs!$C$57</f>
        <v>8018.3354299999992</v>
      </c>
      <c r="L112" s="14">
        <f>L42*Inputs!$C$57</f>
        <v>8017.1673259999989</v>
      </c>
      <c r="M112" s="14">
        <f>M42*Inputs!$C$57</f>
        <v>8283.7182744915226</v>
      </c>
      <c r="N112" s="182">
        <f>N42*Inputs!$C$57</f>
        <v>8900.3483998141037</v>
      </c>
      <c r="O112" s="14">
        <f>O42*Inputs!$C$57</f>
        <v>9195.1066598571797</v>
      </c>
      <c r="P112" s="14">
        <f>P42*Inputs!$C$57</f>
        <v>9525.7206502991612</v>
      </c>
      <c r="Q112" s="14">
        <f>Q42*Inputs!$C$57</f>
        <v>9936.4175172559499</v>
      </c>
      <c r="R112" s="14">
        <f>R42*Inputs!$C$57</f>
        <v>10319.753298438147</v>
      </c>
      <c r="S112" s="14">
        <f>S42*Inputs!$C$57</f>
        <v>10655.345385734396</v>
      </c>
      <c r="T112" s="14">
        <f>T42*Inputs!$C$57</f>
        <v>10990.265255076771</v>
      </c>
      <c r="U112" s="14">
        <f>U42*Inputs!$C$57</f>
        <v>11336.402281873892</v>
      </c>
      <c r="V112" s="14">
        <f>V42*Inputs!$C$57</f>
        <v>11708.116883351448</v>
      </c>
      <c r="W112" s="14">
        <f>W42*Inputs!$C$57</f>
        <v>12026.522237846779</v>
      </c>
      <c r="X112" s="187">
        <f>X42*Inputs!$C$57</f>
        <v>12413.517807505383</v>
      </c>
      <c r="Y112" s="158">
        <f>Y42*Inputs!$C$57</f>
        <v>12832.032374023353</v>
      </c>
      <c r="Z112" s="158">
        <f>Z42*Inputs!$C$57</f>
        <v>13295.482207266668</v>
      </c>
      <c r="AA112" s="158">
        <f>AA42*Inputs!$C$57</f>
        <v>13749.704219860021</v>
      </c>
      <c r="AB112" s="158">
        <f>AB42*Inputs!$C$57</f>
        <v>14247.427698116364</v>
      </c>
      <c r="AC112" s="158">
        <f>AC42*Inputs!$C$57</f>
        <v>14811.057338882489</v>
      </c>
      <c r="AD112" s="158">
        <f>AD42*Inputs!$C$57</f>
        <v>15377.075686683014</v>
      </c>
      <c r="AE112" s="158">
        <f>AE42*Inputs!$C$57</f>
        <v>16043.432779554398</v>
      </c>
      <c r="AF112" s="158">
        <f>AF42*Inputs!$C$57</f>
        <v>16756.332267092468</v>
      </c>
      <c r="AG112" s="158">
        <f>AG42*Inputs!$C$57</f>
        <v>17451.113559644018</v>
      </c>
      <c r="AH112" s="187">
        <f>AH42*Inputs!$C$57</f>
        <v>18136.097537203619</v>
      </c>
      <c r="AI112" s="31" t="s">
        <v>0</v>
      </c>
    </row>
    <row r="113" spans="1:35" s="20" customFormat="1">
      <c r="A113" s="10" t="s">
        <v>384</v>
      </c>
      <c r="B113" s="37"/>
      <c r="C113" s="334">
        <f>SUM(C100:C112)</f>
        <v>9564.4812000000002</v>
      </c>
      <c r="D113" s="334">
        <f t="shared" ref="D113:AH113" si="87">SUM(D100:D112)</f>
        <v>10897.408279176572</v>
      </c>
      <c r="E113" s="334">
        <f t="shared" si="87"/>
        <v>11261.928170435749</v>
      </c>
      <c r="F113" s="334">
        <f t="shared" si="87"/>
        <v>12135.836973752088</v>
      </c>
      <c r="G113" s="334">
        <f t="shared" si="87"/>
        <v>12333.462266199607</v>
      </c>
      <c r="H113" s="404">
        <f t="shared" si="87"/>
        <v>12157.412028532335</v>
      </c>
      <c r="I113" s="19">
        <f t="shared" si="87"/>
        <v>14171.848667592869</v>
      </c>
      <c r="J113" s="19">
        <f t="shared" si="87"/>
        <v>15774.850968764345</v>
      </c>
      <c r="K113" s="19">
        <f t="shared" si="87"/>
        <v>15784.973775877486</v>
      </c>
      <c r="L113" s="19">
        <f t="shared" si="87"/>
        <v>15851.596326284529</v>
      </c>
      <c r="M113" s="19">
        <f t="shared" si="87"/>
        <v>16259.141930038953</v>
      </c>
      <c r="N113" s="182">
        <f t="shared" si="87"/>
        <v>17146.515973749392</v>
      </c>
      <c r="O113" s="19">
        <f t="shared" si="87"/>
        <v>17484.88500192864</v>
      </c>
      <c r="P113" s="19">
        <f t="shared" si="87"/>
        <v>17882.716366381486</v>
      </c>
      <c r="Q113" s="19">
        <f t="shared" si="87"/>
        <v>18426.479933487499</v>
      </c>
      <c r="R113" s="19">
        <f t="shared" si="87"/>
        <v>18903.336907721987</v>
      </c>
      <c r="S113" s="19">
        <f t="shared" si="87"/>
        <v>19367.642054358788</v>
      </c>
      <c r="T113" s="19">
        <f t="shared" si="87"/>
        <v>19826.95665108379</v>
      </c>
      <c r="U113" s="19">
        <f t="shared" si="87"/>
        <v>20319.372996743252</v>
      </c>
      <c r="V113" s="19">
        <f t="shared" si="87"/>
        <v>20885.152217938732</v>
      </c>
      <c r="W113" s="19">
        <f t="shared" si="87"/>
        <v>21424.096947874485</v>
      </c>
      <c r="X113" s="182">
        <f t="shared" si="87"/>
        <v>21192.425463098174</v>
      </c>
      <c r="Y113" s="206">
        <f t="shared" si="87"/>
        <v>22682.084184906904</v>
      </c>
      <c r="Z113" s="206">
        <f t="shared" si="87"/>
        <v>23390.508054769991</v>
      </c>
      <c r="AA113" s="206">
        <f t="shared" si="87"/>
        <v>24086.231586522459</v>
      </c>
      <c r="AB113" s="206">
        <f t="shared" si="87"/>
        <v>24853.581396494243</v>
      </c>
      <c r="AC113" s="206">
        <f t="shared" si="87"/>
        <v>25720.48454994362</v>
      </c>
      <c r="AD113" s="206">
        <f t="shared" si="87"/>
        <v>26592.677041931292</v>
      </c>
      <c r="AE113" s="206">
        <f t="shared" si="87"/>
        <v>27608.126662246876</v>
      </c>
      <c r="AF113" s="206">
        <f t="shared" si="87"/>
        <v>28691.180677125711</v>
      </c>
      <c r="AG113" s="206">
        <f t="shared" si="87"/>
        <v>29743.315960901247</v>
      </c>
      <c r="AH113" s="182">
        <f t="shared" si="87"/>
        <v>27774.568638049859</v>
      </c>
      <c r="AI113" s="31" t="s">
        <v>0</v>
      </c>
    </row>
    <row r="114" spans="1:35" s="20" customFormat="1">
      <c r="A114" s="10" t="s">
        <v>385</v>
      </c>
      <c r="B114" s="37"/>
      <c r="C114" s="334">
        <f>SUM(C101:C103)</f>
        <v>5964.0685000000003</v>
      </c>
      <c r="D114" s="334">
        <f t="shared" ref="D114:AH114" si="88">SUM(D101:D103)</f>
        <v>6178.3854839594396</v>
      </c>
      <c r="E114" s="334">
        <f t="shared" si="88"/>
        <v>6258.1187382888065</v>
      </c>
      <c r="F114" s="334">
        <f t="shared" si="88"/>
        <v>6547.8620518103344</v>
      </c>
      <c r="G114" s="334">
        <f t="shared" si="88"/>
        <v>6297.2180928808903</v>
      </c>
      <c r="H114" s="404">
        <f t="shared" si="88"/>
        <v>5964.679092657263</v>
      </c>
      <c r="I114" s="19">
        <f t="shared" si="88"/>
        <v>6272.9199320119487</v>
      </c>
      <c r="J114" s="19">
        <f t="shared" si="88"/>
        <v>6632.8303148686491</v>
      </c>
      <c r="K114" s="19">
        <f t="shared" si="88"/>
        <v>6628.6094160194098</v>
      </c>
      <c r="L114" s="19">
        <f t="shared" si="88"/>
        <v>6675.3841548463788</v>
      </c>
      <c r="M114" s="19">
        <f t="shared" si="88"/>
        <v>6783.7586973073503</v>
      </c>
      <c r="N114" s="182">
        <f t="shared" si="88"/>
        <v>6914.4611687810011</v>
      </c>
      <c r="O114" s="19">
        <f t="shared" si="88"/>
        <v>6913.9690046230062</v>
      </c>
      <c r="P114" s="19">
        <f t="shared" si="88"/>
        <v>6931.7185658104527</v>
      </c>
      <c r="Q114" s="19">
        <f t="shared" si="88"/>
        <v>6996.7675589584824</v>
      </c>
      <c r="R114" s="19">
        <f t="shared" si="88"/>
        <v>7030.9264231644565</v>
      </c>
      <c r="S114" s="19">
        <f t="shared" si="88"/>
        <v>7023.2224948959574</v>
      </c>
      <c r="T114" s="19">
        <f t="shared" si="88"/>
        <v>7007.3155051628073</v>
      </c>
      <c r="U114" s="19">
        <f t="shared" si="88"/>
        <v>6991.0300362804282</v>
      </c>
      <c r="V114" s="19">
        <f t="shared" si="88"/>
        <v>6982.6784990343594</v>
      </c>
      <c r="W114" s="19">
        <f t="shared" si="88"/>
        <v>6935.6886246849917</v>
      </c>
      <c r="X114" s="182">
        <f t="shared" si="88"/>
        <v>6921.5465240783215</v>
      </c>
      <c r="Y114" s="206">
        <f t="shared" si="88"/>
        <v>6891.559414923533</v>
      </c>
      <c r="Z114" s="206">
        <f t="shared" si="88"/>
        <v>6877.1188714452956</v>
      </c>
      <c r="AA114" s="206">
        <f t="shared" si="88"/>
        <v>6849.2366621766914</v>
      </c>
      <c r="AB114" s="206">
        <f t="shared" si="88"/>
        <v>6834.3473302048942</v>
      </c>
      <c r="AC114" s="206">
        <f t="shared" si="88"/>
        <v>6841.0565198172271</v>
      </c>
      <c r="AD114" s="206">
        <f t="shared" si="88"/>
        <v>6838.3530228139489</v>
      </c>
      <c r="AE114" s="206">
        <f t="shared" si="88"/>
        <v>6868.7731221654121</v>
      </c>
      <c r="AF114" s="206">
        <f t="shared" si="88"/>
        <v>6906.0182579700468</v>
      </c>
      <c r="AG114" s="206">
        <f t="shared" si="88"/>
        <v>6923.1042029409291</v>
      </c>
      <c r="AH114" s="182">
        <f t="shared" si="88"/>
        <v>6924.8742650974964</v>
      </c>
      <c r="AI114" s="31"/>
    </row>
    <row r="115" spans="1:35" s="20" customFormat="1">
      <c r="A115" s="10" t="s">
        <v>386</v>
      </c>
      <c r="B115" s="37"/>
      <c r="C115" s="334">
        <f>SUMPRODUCT($B104:$B112,C104:C112)</f>
        <v>3600.4126999999999</v>
      </c>
      <c r="D115" s="334">
        <f t="shared" ref="D115:AH115" si="89">SUMPRODUCT($B104:$B112,D104:D112)</f>
        <v>4719.0227952171317</v>
      </c>
      <c r="E115" s="334">
        <f t="shared" si="89"/>
        <v>5003.8094321469443</v>
      </c>
      <c r="F115" s="334">
        <f t="shared" si="89"/>
        <v>5587.9749219417536</v>
      </c>
      <c r="G115" s="334">
        <f t="shared" si="89"/>
        <v>6036.2441733187179</v>
      </c>
      <c r="H115" s="404">
        <f t="shared" si="89"/>
        <v>6192.7329358750712</v>
      </c>
      <c r="I115" s="19">
        <f t="shared" si="89"/>
        <v>7898.9287355809183</v>
      </c>
      <c r="J115" s="19">
        <f t="shared" si="89"/>
        <v>9142.0206538956973</v>
      </c>
      <c r="K115" s="19">
        <f t="shared" si="89"/>
        <v>9156.3643598580747</v>
      </c>
      <c r="L115" s="19">
        <f t="shared" si="89"/>
        <v>9176.2121714381501</v>
      </c>
      <c r="M115" s="19">
        <f t="shared" si="89"/>
        <v>9475.3832327316031</v>
      </c>
      <c r="N115" s="182">
        <f t="shared" si="89"/>
        <v>10232.054804968391</v>
      </c>
      <c r="O115" s="19">
        <f t="shared" si="89"/>
        <v>10570.915997305632</v>
      </c>
      <c r="P115" s="19">
        <f t="shared" si="89"/>
        <v>10950.997800571031</v>
      </c>
      <c r="Q115" s="19">
        <f t="shared" si="89"/>
        <v>11429.712374529014</v>
      </c>
      <c r="R115" s="19">
        <f t="shared" si="89"/>
        <v>11872.410484557531</v>
      </c>
      <c r="S115" s="19">
        <f t="shared" si="89"/>
        <v>12344.419559462829</v>
      </c>
      <c r="T115" s="19">
        <f t="shared" si="89"/>
        <v>12819.641145920983</v>
      </c>
      <c r="U115" s="19">
        <f t="shared" si="89"/>
        <v>13328.342960462824</v>
      </c>
      <c r="V115" s="19">
        <f t="shared" si="89"/>
        <v>13902.473718904374</v>
      </c>
      <c r="W115" s="19">
        <f t="shared" si="89"/>
        <v>14488.408323189495</v>
      </c>
      <c r="X115" s="182">
        <f t="shared" si="89"/>
        <v>14270.878939019853</v>
      </c>
      <c r="Y115" s="206">
        <f t="shared" si="89"/>
        <v>15790.524769983371</v>
      </c>
      <c r="Z115" s="206">
        <f t="shared" si="89"/>
        <v>16513.389183324696</v>
      </c>
      <c r="AA115" s="206">
        <f t="shared" si="89"/>
        <v>17236.994924345767</v>
      </c>
      <c r="AB115" s="206">
        <f t="shared" si="89"/>
        <v>18019.234066289351</v>
      </c>
      <c r="AC115" s="206">
        <f t="shared" si="89"/>
        <v>18879.42803012639</v>
      </c>
      <c r="AD115" s="206">
        <f t="shared" si="89"/>
        <v>19754.324019117346</v>
      </c>
      <c r="AE115" s="206">
        <f t="shared" si="89"/>
        <v>20739.353540081465</v>
      </c>
      <c r="AF115" s="206">
        <f t="shared" si="89"/>
        <v>21785.162419155662</v>
      </c>
      <c r="AG115" s="206">
        <f t="shared" si="89"/>
        <v>22820.211757960315</v>
      </c>
      <c r="AH115" s="182">
        <f t="shared" si="89"/>
        <v>20849.694372952363</v>
      </c>
    </row>
    <row r="116" spans="1:35" s="20" customFormat="1">
      <c r="A116" s="10" t="s">
        <v>142</v>
      </c>
      <c r="B116" s="37"/>
      <c r="C116" s="334">
        <f>C47*Inputs!$C$60</f>
        <v>25271.707999999991</v>
      </c>
      <c r="D116" s="334">
        <f>D47*Inputs!$C$60</f>
        <v>16452.835420304196</v>
      </c>
      <c r="E116" s="334">
        <f>E47*Inputs!$C$60</f>
        <v>15586.19182832813</v>
      </c>
      <c r="F116" s="334">
        <f>F47*Inputs!$C$60</f>
        <v>13330.614898278658</v>
      </c>
      <c r="G116" s="334">
        <f>G47*Inputs!$C$60</f>
        <v>14309.018522456159</v>
      </c>
      <c r="H116" s="404">
        <f>H47*Inputs!$C$60</f>
        <v>14854.69838533081</v>
      </c>
      <c r="I116" s="19">
        <f>I47*Inputs!$C$60</f>
        <v>14048.285254103243</v>
      </c>
      <c r="J116" s="19">
        <f>J47*Inputs!$C$60</f>
        <v>13471.149011274694</v>
      </c>
      <c r="K116" s="19">
        <f>K47*Inputs!$C$60</f>
        <v>14254.646454506599</v>
      </c>
      <c r="L116" s="19">
        <f>L47*Inputs!$C$60</f>
        <v>14552.643665593359</v>
      </c>
      <c r="M116" s="19">
        <f>M47*Inputs!$C$60</f>
        <v>14597.124646094762</v>
      </c>
      <c r="N116" s="182">
        <f>N47*Inputs!$C$60</f>
        <v>14372.070926178092</v>
      </c>
      <c r="O116" s="19">
        <f>O47*Inputs!$C$60</f>
        <v>14427.781816152636</v>
      </c>
      <c r="P116" s="19">
        <f>P47*Inputs!$C$60</f>
        <v>14463.15907372553</v>
      </c>
      <c r="Q116" s="19">
        <f>Q47*Inputs!$C$60</f>
        <v>14369.711014217608</v>
      </c>
      <c r="R116" s="19">
        <f>R47*Inputs!$C$60</f>
        <v>14468.951455009295</v>
      </c>
      <c r="S116" s="19">
        <f>S47*Inputs!$C$60</f>
        <v>14543.76736872057</v>
      </c>
      <c r="T116" s="19">
        <f>T47*Inputs!$C$60</f>
        <v>14468.285290893829</v>
      </c>
      <c r="U116" s="19">
        <f>U47*Inputs!$C$60</f>
        <v>14406.067767827122</v>
      </c>
      <c r="V116" s="19">
        <f>V47*Inputs!$C$60</f>
        <v>14333.216860172504</v>
      </c>
      <c r="W116" s="19">
        <f>W47*Inputs!$C$60</f>
        <v>14228.464747399972</v>
      </c>
      <c r="X116" s="182">
        <f>X47*Inputs!$C$60</f>
        <v>14222.035135047885</v>
      </c>
      <c r="Y116" s="206">
        <f>Y47*Inputs!$C$60</f>
        <v>14094.340040160068</v>
      </c>
      <c r="Z116" s="206">
        <f>Z47*Inputs!$C$60</f>
        <v>14006.283337358169</v>
      </c>
      <c r="AA116" s="206">
        <f>AA47*Inputs!$C$60</f>
        <v>13911.373224270827</v>
      </c>
      <c r="AB116" s="206">
        <f>AB47*Inputs!$C$60</f>
        <v>13815.427866406662</v>
      </c>
      <c r="AC116" s="206">
        <f>AC47*Inputs!$C$60</f>
        <v>13705.259861189576</v>
      </c>
      <c r="AD116" s="206">
        <f>AD47*Inputs!$C$60</f>
        <v>13592.191450192293</v>
      </c>
      <c r="AE116" s="206">
        <f>AE47*Inputs!$C$60</f>
        <v>13468.194694376241</v>
      </c>
      <c r="AF116" s="206">
        <f>AF47*Inputs!$C$60</f>
        <v>13335.752399640211</v>
      </c>
      <c r="AG116" s="206">
        <f>AG47*Inputs!$C$60</f>
        <v>13223.621186089536</v>
      </c>
      <c r="AH116" s="182">
        <f>AH47*Inputs!$C$60</f>
        <v>13244.104756348415</v>
      </c>
      <c r="AI116" s="31"/>
    </row>
    <row r="117" spans="1:35" s="20" customFormat="1">
      <c r="A117" s="10" t="s">
        <v>222</v>
      </c>
      <c r="B117" s="37"/>
      <c r="C117" s="334">
        <f>C48*Inputs!$C$61</f>
        <v>10830.731999999998</v>
      </c>
      <c r="D117" s="334">
        <f>D48*Inputs!$C$61</f>
        <v>20474.644503454609</v>
      </c>
      <c r="E117" s="334">
        <f>E48*Inputs!$C$61</f>
        <v>21708.920631027155</v>
      </c>
      <c r="F117" s="334">
        <f>F48*Inputs!$C$61</f>
        <v>25624.385882135986</v>
      </c>
      <c r="G117" s="334">
        <f>G48*Inputs!$C$61</f>
        <v>22963.195615702411</v>
      </c>
      <c r="H117" s="404">
        <f>H48*Inputs!$C$61</f>
        <v>22057.248687562911</v>
      </c>
      <c r="I117" s="19">
        <f>I48*Inputs!$C$61</f>
        <v>23748.111022305478</v>
      </c>
      <c r="J117" s="19">
        <f>J48*Inputs!$C$61</f>
        <v>25863.620578232443</v>
      </c>
      <c r="K117" s="19">
        <f>K48*Inputs!$C$61</f>
        <v>24831.647370516665</v>
      </c>
      <c r="L117" s="19">
        <f>L48*Inputs!$C$61</f>
        <v>24600.487170531927</v>
      </c>
      <c r="M117" s="19">
        <f>M48*Inputs!$C$61</f>
        <v>24855.330423009367</v>
      </c>
      <c r="N117" s="182">
        <f>N48*Inputs!$C$61</f>
        <v>25280.036134141574</v>
      </c>
      <c r="O117" s="19">
        <f>O48*Inputs!$C$61</f>
        <v>25549.12246535761</v>
      </c>
      <c r="P117" s="19">
        <f>P48*Inputs!$C$61</f>
        <v>25948.634610650297</v>
      </c>
      <c r="Q117" s="19">
        <f>Q48*Inputs!$C$61</f>
        <v>26757.149757575564</v>
      </c>
      <c r="R117" s="19">
        <f>R48*Inputs!$C$61</f>
        <v>27202.127407472417</v>
      </c>
      <c r="S117" s="19">
        <f>S48*Inputs!$C$61</f>
        <v>27403.370368272368</v>
      </c>
      <c r="T117" s="19">
        <f>T48*Inputs!$C$61</f>
        <v>27722.308046482263</v>
      </c>
      <c r="U117" s="19">
        <f>U48*Inputs!$C$61</f>
        <v>28026.786386908225</v>
      </c>
      <c r="V117" s="19">
        <f>V48*Inputs!$C$61</f>
        <v>28388.230710047294</v>
      </c>
      <c r="W117" s="19">
        <f>W48*Inputs!$C$61</f>
        <v>28517.61788392398</v>
      </c>
      <c r="X117" s="182">
        <f>X48*Inputs!$C$61</f>
        <v>28924.496860339121</v>
      </c>
      <c r="Y117" s="206">
        <f>Y48*Inputs!$C$61</f>
        <v>28866.168055711001</v>
      </c>
      <c r="Z117" s="206">
        <f>Z48*Inputs!$C$61</f>
        <v>29009.755606461338</v>
      </c>
      <c r="AA117" s="206">
        <f>AA48*Inputs!$C$61</f>
        <v>29067.71336508117</v>
      </c>
      <c r="AB117" s="206">
        <f>AB48*Inputs!$C$61</f>
        <v>29201.616337939049</v>
      </c>
      <c r="AC117" s="206">
        <f>AC48*Inputs!$C$61</f>
        <v>29481.96965777723</v>
      </c>
      <c r="AD117" s="206">
        <f>AD48*Inputs!$C$61</f>
        <v>29697.108740937503</v>
      </c>
      <c r="AE117" s="206">
        <f>AE48*Inputs!$C$61</f>
        <v>30130.470631168966</v>
      </c>
      <c r="AF117" s="206">
        <f>AF48*Inputs!$C$61</f>
        <v>30606.017148077219</v>
      </c>
      <c r="AG117" s="206">
        <f>AG48*Inputs!$C$61</f>
        <v>30922.978168911715</v>
      </c>
      <c r="AH117" s="182">
        <f>AH48*Inputs!$C$61</f>
        <v>31418.438634019007</v>
      </c>
      <c r="AI117" s="31"/>
    </row>
    <row r="118" spans="1:35" s="20" customFormat="1">
      <c r="A118" s="10" t="s">
        <v>58</v>
      </c>
      <c r="B118" s="37"/>
      <c r="C118" s="334">
        <f>SUM(C113,C116,C117)</f>
        <v>45666.92119999999</v>
      </c>
      <c r="D118" s="334">
        <f>SUM(D113,D116,D117)</f>
        <v>47824.888202935377</v>
      </c>
      <c r="E118" s="334">
        <f t="shared" ref="E118:AH118" si="90">SUM(E113,E116,E117)</f>
        <v>48557.040629791038</v>
      </c>
      <c r="F118" s="334">
        <f t="shared" si="90"/>
        <v>51090.837754166729</v>
      </c>
      <c r="G118" s="334">
        <f t="shared" si="90"/>
        <v>49605.676404358179</v>
      </c>
      <c r="H118" s="404">
        <f t="shared" si="90"/>
        <v>49069.35910142606</v>
      </c>
      <c r="I118" s="19">
        <f t="shared" si="90"/>
        <v>51968.244944001592</v>
      </c>
      <c r="J118" s="19">
        <f t="shared" si="90"/>
        <v>55109.620558271483</v>
      </c>
      <c r="K118" s="19">
        <f t="shared" si="90"/>
        <v>54871.267600900748</v>
      </c>
      <c r="L118" s="19">
        <f t="shared" si="90"/>
        <v>55004.727162409821</v>
      </c>
      <c r="M118" s="19">
        <f t="shared" si="90"/>
        <v>55711.596999143083</v>
      </c>
      <c r="N118" s="182">
        <f t="shared" si="90"/>
        <v>56798.623034069053</v>
      </c>
      <c r="O118" s="19">
        <f t="shared" si="90"/>
        <v>57461.789283438891</v>
      </c>
      <c r="P118" s="19">
        <f t="shared" si="90"/>
        <v>58294.510050757315</v>
      </c>
      <c r="Q118" s="19">
        <f t="shared" si="90"/>
        <v>59553.340705280672</v>
      </c>
      <c r="R118" s="19">
        <f t="shared" si="90"/>
        <v>60574.415770203705</v>
      </c>
      <c r="S118" s="19">
        <f t="shared" si="90"/>
        <v>61314.779791351728</v>
      </c>
      <c r="T118" s="19">
        <f t="shared" si="90"/>
        <v>62017.549988459883</v>
      </c>
      <c r="U118" s="19">
        <f t="shared" si="90"/>
        <v>62752.227151478597</v>
      </c>
      <c r="V118" s="19">
        <f t="shared" si="90"/>
        <v>63606.599788158535</v>
      </c>
      <c r="W118" s="19">
        <f t="shared" si="90"/>
        <v>64170.17957919844</v>
      </c>
      <c r="X118" s="182">
        <f t="shared" si="90"/>
        <v>64338.95745848518</v>
      </c>
      <c r="Y118" s="206">
        <f t="shared" si="90"/>
        <v>65642.592280777972</v>
      </c>
      <c r="Z118" s="206">
        <f t="shared" si="90"/>
        <v>66406.546998589503</v>
      </c>
      <c r="AA118" s="206">
        <f t="shared" si="90"/>
        <v>67065.318175874461</v>
      </c>
      <c r="AB118" s="206">
        <f t="shared" si="90"/>
        <v>67870.62560083995</v>
      </c>
      <c r="AC118" s="206">
        <f t="shared" si="90"/>
        <v>68907.714068910427</v>
      </c>
      <c r="AD118" s="206">
        <f t="shared" si="90"/>
        <v>69881.977233061087</v>
      </c>
      <c r="AE118" s="206">
        <f t="shared" si="90"/>
        <v>71206.791987792079</v>
      </c>
      <c r="AF118" s="206">
        <f t="shared" si="90"/>
        <v>72632.950224843138</v>
      </c>
      <c r="AG118" s="206">
        <f t="shared" si="90"/>
        <v>73889.915315902501</v>
      </c>
      <c r="AH118" s="182">
        <f t="shared" si="90"/>
        <v>72437.112028417279</v>
      </c>
      <c r="AI118" s="31"/>
    </row>
    <row r="119" spans="1:35" s="1" customFormat="1">
      <c r="A119" s="1" t="s">
        <v>335</v>
      </c>
      <c r="B119" s="13"/>
      <c r="C119" s="341">
        <f>C118-'Output - Jobs vs Yr (BAU)'!C55</f>
        <v>3.4099999999962165</v>
      </c>
      <c r="D119" s="341">
        <f>D118-'Output - Jobs vs Yr (BAU)'!D55</f>
        <v>53.61700293537433</v>
      </c>
      <c r="E119" s="341">
        <f>E118-'Output - Jobs vs Yr (BAU)'!E55</f>
        <v>38.380114780113217</v>
      </c>
      <c r="F119" s="341">
        <f>F118-'Output - Jobs vs Yr (BAU)'!F55</f>
        <v>133.492914564893</v>
      </c>
      <c r="G119" s="341">
        <f>G118-'Output - Jobs vs Yr (BAU)'!G55</f>
        <v>89.683696691601654</v>
      </c>
      <c r="H119" s="405">
        <f>H118-'Output - Jobs vs Yr (BAU)'!H55</f>
        <v>24.665850000004866</v>
      </c>
      <c r="I119" s="15">
        <f>I118-'Output - Jobs vs Yr (BAU)'!I55</f>
        <v>61.358433994464576</v>
      </c>
      <c r="J119" s="15">
        <f>J118-'Output - Jobs vs Yr (BAU)'!J55</f>
        <v>86.597270147205563</v>
      </c>
      <c r="K119" s="15">
        <f>K118-'Output - Jobs vs Yr (BAU)'!K55</f>
        <v>28.066127808786405</v>
      </c>
      <c r="L119" s="15">
        <f>L118-'Output - Jobs vs Yr (BAU)'!L55</f>
        <v>-1.2762567382596899</v>
      </c>
      <c r="M119" s="15">
        <f>M118-'Output - Jobs vs Yr (BAU)'!M55</f>
        <v>112.36580604445044</v>
      </c>
      <c r="N119" s="182">
        <f>N118-'Output - Jobs vs Yr (BAU)'!N55</f>
        <v>436.57550350388919</v>
      </c>
      <c r="O119" s="15">
        <f>O118-'Output - Jobs vs Yr (BAU)'!O55</f>
        <v>528.24959377883351</v>
      </c>
      <c r="P119" s="15">
        <f>P118-'Output - Jobs vs Yr (BAU)'!P55</f>
        <v>637.1529171416696</v>
      </c>
      <c r="Q119" s="15">
        <f>Q118-'Output - Jobs vs Yr (BAU)'!Q55</f>
        <v>776.96656085153518</v>
      </c>
      <c r="R119" s="15">
        <f>R118-'Output - Jobs vs Yr (BAU)'!R55</f>
        <v>892.20749627008627</v>
      </c>
      <c r="S119" s="15">
        <f>S118-'Output - Jobs vs Yr (BAU)'!S55</f>
        <v>994.50948411012359</v>
      </c>
      <c r="T119" s="15">
        <f>T118-'Output - Jobs vs Yr (BAU)'!T55</f>
        <v>1110.5873190500715</v>
      </c>
      <c r="U119" s="15">
        <f>U118-'Output - Jobs vs Yr (BAU)'!U55</f>
        <v>1229.4128994935454</v>
      </c>
      <c r="V119" s="15">
        <f>V118-'Output - Jobs vs Yr (BAU)'!V55</f>
        <v>1359.8895591196124</v>
      </c>
      <c r="W119" s="15">
        <f>W118-'Output - Jobs vs Yr (BAU)'!W55</f>
        <v>1459.7809875187595</v>
      </c>
      <c r="X119" s="190">
        <f>X118-'Output - Jobs vs Yr (BAU)'!X55</f>
        <v>895.78680002118926</v>
      </c>
      <c r="Y119" s="130">
        <f>Y118-'Output - Jobs vs Yr (BAU)'!Y55</f>
        <v>1744.3981893546152</v>
      </c>
      <c r="Z119" s="130">
        <f>Z118-'Output - Jobs vs Yr (BAU)'!Z55</f>
        <v>1907.1375641886334</v>
      </c>
      <c r="AA119" s="130">
        <f>AA118-'Output - Jobs vs Yr (BAU)'!AA55</f>
        <v>2057.3762685266192</v>
      </c>
      <c r="AB119" s="130">
        <f>AB118-'Output - Jobs vs Yr (BAU)'!AB55</f>
        <v>2230.8828630025237</v>
      </c>
      <c r="AC119" s="130">
        <f>AC118-'Output - Jobs vs Yr (BAU)'!AC55</f>
        <v>2444.3957432598545</v>
      </c>
      <c r="AD119" s="130">
        <f>AD118-'Output - Jobs vs Yr (BAU)'!AD55</f>
        <v>2651.9117506278999</v>
      </c>
      <c r="AE119" s="130">
        <f>AE118-'Output - Jobs vs Yr (BAU)'!AE55</f>
        <v>2882.4621536356135</v>
      </c>
      <c r="AF119" s="130">
        <f>AF118-'Output - Jobs vs Yr (BAU)'!AF55</f>
        <v>3139.4934311693069</v>
      </c>
      <c r="AG119" s="130">
        <f>AG118-'Output - Jobs vs Yr (BAU)'!AG55</f>
        <v>3380.0723838911217</v>
      </c>
      <c r="AH119" s="190">
        <f>AH118-'Output - Jobs vs Yr (BAU)'!AH55</f>
        <v>1019.7954435575084</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6.83308323201436</v>
      </c>
    </row>
    <row r="123" spans="1:35" hidden="1">
      <c r="W123" s="2" t="s">
        <v>134</v>
      </c>
      <c r="X123" s="187">
        <f>X115-'Output - Jobs vs Yr (BAU)'!X51</f>
        <v>3589.1528013215266</v>
      </c>
    </row>
    <row r="124" spans="1:35" hidden="1">
      <c r="W124" s="2" t="s">
        <v>137</v>
      </c>
      <c r="X124" s="187">
        <f>SUM(X101,X106,X111)</f>
        <v>0</v>
      </c>
    </row>
    <row r="125" spans="1:35" hidden="1">
      <c r="W125" s="2" t="s">
        <v>132</v>
      </c>
      <c r="X125" s="187">
        <f>SUM(X121:X124)</f>
        <v>3595.9858845535409</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138.91365000000002</v>
      </c>
      <c r="D129" s="331">
        <f>D102*Inputs!$H48</f>
        <v>148.739562737265</v>
      </c>
      <c r="E129" s="331">
        <f>E102*Inputs!$H48</f>
        <v>155.57345906481154</v>
      </c>
      <c r="F129" s="331">
        <f>F102*Inputs!$H48</f>
        <v>167.93707295374892</v>
      </c>
      <c r="G129" s="331">
        <f>G102*Inputs!$H48</f>
        <v>166.49007258768958</v>
      </c>
      <c r="H129" s="402">
        <f>H102*Inputs!$H48</f>
        <v>210.95348861709826</v>
      </c>
      <c r="I129" s="14">
        <f>I102*Inputs!$H48</f>
        <v>218.31237138130021</v>
      </c>
      <c r="J129" s="14">
        <f>J102*Inputs!$H48</f>
        <v>227.1281103097165</v>
      </c>
      <c r="K129" s="14">
        <f>K102*Inputs!$H48</f>
        <v>223.31138814930904</v>
      </c>
      <c r="L129" s="14">
        <f>L102*Inputs!$H48</f>
        <v>221.22426798473751</v>
      </c>
      <c r="M129" s="14">
        <f>M102*Inputs!$H48</f>
        <v>221.12869710050452</v>
      </c>
      <c r="N129" s="182">
        <f>N102*Inputs!$H48</f>
        <v>221.66641842595607</v>
      </c>
      <c r="O129" s="14">
        <f>O102*Inputs!$H48</f>
        <v>221.6506404407281</v>
      </c>
      <c r="P129" s="14">
        <f>P102*Inputs!$H48</f>
        <v>222.21966260471359</v>
      </c>
      <c r="Q129" s="14">
        <f>Q102*Inputs!$H48</f>
        <v>224.30502789658064</v>
      </c>
      <c r="R129" s="14">
        <f>R102*Inputs!$H48</f>
        <v>225.40010571988586</v>
      </c>
      <c r="S129" s="14">
        <f>S102*Inputs!$H48</f>
        <v>225.15313026577542</v>
      </c>
      <c r="T129" s="14">
        <f>T102*Inputs!$H48</f>
        <v>224.6431779562584</v>
      </c>
      <c r="U129" s="14">
        <f>U102*Inputs!$H48</f>
        <v>224.12109221863892</v>
      </c>
      <c r="V129" s="14">
        <f>V102*Inputs!$H48</f>
        <v>223.85335547032287</v>
      </c>
      <c r="W129" s="14">
        <f>W102*Inputs!$H48</f>
        <v>222.34693625773997</v>
      </c>
      <c r="X129" s="187">
        <f>X102*Inputs!$H48</f>
        <v>221.8935634331655</v>
      </c>
      <c r="Y129" s="158">
        <f>Y102*Inputs!$H48</f>
        <v>220.93222531540994</v>
      </c>
      <c r="Z129" s="158">
        <f>Z102*Inputs!$H48</f>
        <v>220.46928489607583</v>
      </c>
      <c r="AA129" s="158">
        <f>AA102*Inputs!$H48</f>
        <v>219.575426457145</v>
      </c>
      <c r="AB129" s="158">
        <f>AB102*Inputs!$H48</f>
        <v>219.0980986060834</v>
      </c>
      <c r="AC129" s="158">
        <f>AC102*Inputs!$H48</f>
        <v>219.31318435110447</v>
      </c>
      <c r="AD129" s="158">
        <f>AD102*Inputs!$H48</f>
        <v>219.22651461888475</v>
      </c>
      <c r="AE129" s="158">
        <f>AE102*Inputs!$H48</f>
        <v>220.20173370057483</v>
      </c>
      <c r="AF129" s="158">
        <f>AF102*Inputs!$H48</f>
        <v>221.39575238924408</v>
      </c>
      <c r="AG129" s="158">
        <f>AG102*Inputs!$H48</f>
        <v>221.94350009288561</v>
      </c>
      <c r="AH129" s="187">
        <f>AH102*Inputs!$H48</f>
        <v>222.00024541678854</v>
      </c>
    </row>
    <row r="130" spans="1:35">
      <c r="A130" s="10" t="s">
        <v>59</v>
      </c>
      <c r="B130" s="35">
        <v>0</v>
      </c>
      <c r="C130" s="331">
        <f>C103*Inputs!$H53</f>
        <v>5228.7480000000005</v>
      </c>
      <c r="D130" s="331">
        <f>D103*Inputs!$H53</f>
        <v>5411.8073728262307</v>
      </c>
      <c r="E130" s="331">
        <f>E103*Inputs!$H53</f>
        <v>5476.7334053951145</v>
      </c>
      <c r="F130" s="331">
        <f>F103*Inputs!$H53</f>
        <v>5725.1387736755523</v>
      </c>
      <c r="G130" s="331">
        <f>G103*Inputs!$H53</f>
        <v>5501.0062110051122</v>
      </c>
      <c r="H130" s="402">
        <f>H103*Inputs!$H53</f>
        <v>5157.2576947744383</v>
      </c>
      <c r="I130" s="14">
        <f>I103*Inputs!$H53</f>
        <v>5427.3155674294539</v>
      </c>
      <c r="J130" s="14">
        <f>J103*Inputs!$H53</f>
        <v>5742.4191730720677</v>
      </c>
      <c r="K130" s="14">
        <f>K103*Inputs!$H53</f>
        <v>5742.4370862681599</v>
      </c>
      <c r="L130" s="14">
        <f>L103*Inputs!$H53</f>
        <v>5786.6214713770032</v>
      </c>
      <c r="M130" s="14">
        <f>M103*Inputs!$H53</f>
        <v>5884.2541304761116</v>
      </c>
      <c r="N130" s="182">
        <f>N103*Inputs!$H53</f>
        <v>6001.348633476945</v>
      </c>
      <c r="O130" s="14">
        <f>O103*Inputs!$H53</f>
        <v>6000.9214637199775</v>
      </c>
      <c r="P130" s="14">
        <f>P103*Inputs!$H53</f>
        <v>6016.327046624694</v>
      </c>
      <c r="Q130" s="14">
        <f>Q103*Inputs!$H53</f>
        <v>6072.7857751660531</v>
      </c>
      <c r="R130" s="14">
        <f>R103*Inputs!$H53</f>
        <v>6102.4336751281244</v>
      </c>
      <c r="S130" s="14">
        <f>S103*Inputs!$H53</f>
        <v>6095.7471151405862</v>
      </c>
      <c r="T130" s="14">
        <f>T103*Inputs!$H53</f>
        <v>6081.9407766902686</v>
      </c>
      <c r="U130" s="14">
        <f>U103*Inputs!$H53</f>
        <v>6067.8059404337473</v>
      </c>
      <c r="V130" s="14">
        <f>V103*Inputs!$H53</f>
        <v>6060.5572936606004</v>
      </c>
      <c r="W130" s="14">
        <f>W103*Inputs!$H53</f>
        <v>6019.7728259587529</v>
      </c>
      <c r="X130" s="187">
        <f>X103*Inputs!$H53</f>
        <v>6007.4983082373237</v>
      </c>
      <c r="Y130" s="158">
        <f>Y103*Inputs!$H53</f>
        <v>5981.4712481157703</v>
      </c>
      <c r="Z130" s="158">
        <f>Z103*Inputs!$H53</f>
        <v>5968.9376994046906</v>
      </c>
      <c r="AA130" s="158">
        <f>AA103*Inputs!$H53</f>
        <v>5944.7375695018773</v>
      </c>
      <c r="AB130" s="158">
        <f>AB103*Inputs!$H53</f>
        <v>5931.8144985783219</v>
      </c>
      <c r="AC130" s="158">
        <f>AC103*Inputs!$H53</f>
        <v>5937.6376834844004</v>
      </c>
      <c r="AD130" s="158">
        <f>AD103*Inputs!$H53</f>
        <v>5935.2912059136697</v>
      </c>
      <c r="AE130" s="158">
        <f>AE103*Inputs!$H53</f>
        <v>5961.6940762482964</v>
      </c>
      <c r="AF130" s="158">
        <f>AF103*Inputs!$H53</f>
        <v>5994.0206797837982</v>
      </c>
      <c r="AG130" s="158">
        <f>AG103*Inputs!$H53</f>
        <v>6008.8502825539499</v>
      </c>
      <c r="AH130" s="187">
        <f>AH103*Inputs!$H53</f>
        <v>6010.3865931709588</v>
      </c>
    </row>
    <row r="131" spans="1:35">
      <c r="A131" s="10" t="s">
        <v>121</v>
      </c>
      <c r="B131" s="35">
        <v>1</v>
      </c>
      <c r="C131" s="330">
        <f>Inputs!$H46*'Output -Jobs vs Yr'!C104</f>
        <v>122.661</v>
      </c>
      <c r="D131" s="330">
        <f>Inputs!$H46*'Output -Jobs vs Yr'!D104</f>
        <v>170.1</v>
      </c>
      <c r="E131" s="330">
        <f>Inputs!$H46*'Output -Jobs vs Yr'!E104</f>
        <v>171.57371001100915</v>
      </c>
      <c r="F131" s="330">
        <f>Inputs!$H46*'Output -Jobs vs Yr'!F104</f>
        <v>165.68187871757723</v>
      </c>
      <c r="G131" s="330">
        <f>Inputs!$H46*'Output -Jobs vs Yr'!G104</f>
        <v>183.51946178845162</v>
      </c>
      <c r="H131" s="286">
        <f>Inputs!$H46*'Output -Jobs vs Yr'!H104</f>
        <v>188.81652597475883</v>
      </c>
      <c r="I131" s="40">
        <f>Inputs!$H46*'Output -Jobs vs Yr'!I104</f>
        <v>207.40142043618141</v>
      </c>
      <c r="J131" s="40">
        <f>Inputs!$H46*'Output -Jobs vs Yr'!J104</f>
        <v>229.0551421019872</v>
      </c>
      <c r="K131" s="40">
        <f>Inputs!$H46*'Output -Jobs vs Yr'!K104</f>
        <v>239.09625942692793</v>
      </c>
      <c r="L131" s="40">
        <f>Inputs!$H46*'Output -Jobs vs Yr'!L104</f>
        <v>251.50448329827245</v>
      </c>
      <c r="M131" s="40">
        <f>Inputs!$H46*'Output -Jobs vs Yr'!M104</f>
        <v>266.97389750451663</v>
      </c>
      <c r="N131" s="177">
        <f>Inputs!$H46*'Output -Jobs vs Yr'!N104</f>
        <v>284.24669885711916</v>
      </c>
      <c r="O131" s="40">
        <f>Inputs!$H46*'Output -Jobs vs Yr'!O104</f>
        <v>293.66026994607375</v>
      </c>
      <c r="P131" s="40">
        <f>Inputs!$H46*'Output -Jobs vs Yr'!P104</f>
        <v>304.21895047829605</v>
      </c>
      <c r="Q131" s="40">
        <f>Inputs!$H46*'Output -Jobs vs Yr'!Q104</f>
        <v>323.24601529460386</v>
      </c>
      <c r="R131" s="40">
        <f>Inputs!$H46*'Output -Jobs vs Yr'!R104</f>
        <v>337.29390969452948</v>
      </c>
      <c r="S131" s="40">
        <f>Inputs!$H46*'Output -Jobs vs Yr'!S104</f>
        <v>380.86397547535427</v>
      </c>
      <c r="T131" s="40">
        <f>Inputs!$H46*'Output -Jobs vs Yr'!T104</f>
        <v>393.6802836244068</v>
      </c>
      <c r="U131" s="40">
        <f>Inputs!$H46*'Output -Jobs vs Yr'!U104</f>
        <v>402.40607548370468</v>
      </c>
      <c r="V131" s="40">
        <f>Inputs!$H46*'Output -Jobs vs Yr'!V104</f>
        <v>410.54417204984458</v>
      </c>
      <c r="W131" s="40">
        <f>Inputs!$H46*'Output -Jobs vs Yr'!W104</f>
        <v>459.8060033741038</v>
      </c>
      <c r="X131" s="184">
        <f>Inputs!$H46*'Output -Jobs vs Yr'!X104</f>
        <v>396.44531870922788</v>
      </c>
      <c r="Y131" s="271">
        <f>Inputs!$H46*'Output -Jobs vs Yr'!Y104</f>
        <v>473.53622867618282</v>
      </c>
      <c r="Z131" s="271">
        <f>Inputs!$H46*'Output -Jobs vs Yr'!Z104</f>
        <v>478.23350890032708</v>
      </c>
      <c r="AA131" s="271">
        <f>Inputs!$H46*'Output -Jobs vs Yr'!AA104</f>
        <v>484.53028190487731</v>
      </c>
      <c r="AB131" s="271">
        <f>Inputs!$H46*'Output -Jobs vs Yr'!AB104</f>
        <v>491.77210641225537</v>
      </c>
      <c r="AC131" s="271">
        <f>Inputs!$H46*'Output -Jobs vs Yr'!AC104</f>
        <v>497.94763684001526</v>
      </c>
      <c r="AD131" s="271">
        <f>Inputs!$H46*'Output -Jobs vs Yr'!AD104</f>
        <v>506.54629677095659</v>
      </c>
      <c r="AE131" s="271">
        <f>Inputs!$H46*'Output -Jobs vs Yr'!AE104</f>
        <v>515.83147370711049</v>
      </c>
      <c r="AF131" s="271">
        <f>Inputs!$H46*'Output -Jobs vs Yr'!AF104</f>
        <v>535.13996507974241</v>
      </c>
      <c r="AG131" s="271">
        <f>Inputs!$H46*'Output -Jobs vs Yr'!AG104</f>
        <v>557.32890420482045</v>
      </c>
      <c r="AH131" s="184">
        <f>Inputs!$H46*'Output -Jobs vs Yr'!AH104</f>
        <v>579.20495058469066</v>
      </c>
    </row>
    <row r="132" spans="1:35">
      <c r="A132" s="10" t="s">
        <v>50</v>
      </c>
      <c r="B132" s="35">
        <v>1</v>
      </c>
      <c r="C132" s="331">
        <f>C105*Inputs!$H49</f>
        <v>0</v>
      </c>
      <c r="D132" s="331">
        <f>D105*Inputs!$H49</f>
        <v>0</v>
      </c>
      <c r="E132" s="331">
        <f>E105*Inputs!$H49</f>
        <v>9.0267367500000001E-3</v>
      </c>
      <c r="F132" s="331">
        <f>F105*Inputs!$H49</f>
        <v>8.4559477500000015E-3</v>
      </c>
      <c r="G132" s="331">
        <f>G105*Inputs!$H49</f>
        <v>9.2453715000000002E-3</v>
      </c>
      <c r="H132" s="402">
        <f>H105*Inputs!$H49</f>
        <v>9.2454075000000004E-3</v>
      </c>
      <c r="I132" s="14">
        <f>I105*Inputs!$H49</f>
        <v>9.9446349333884333E-3</v>
      </c>
      <c r="J132" s="14">
        <f>J105*Inputs!$H49</f>
        <v>1.0754945836707035E-2</v>
      </c>
      <c r="K132" s="14">
        <f>K105*Inputs!$H49</f>
        <v>1.0993399916048268E-2</v>
      </c>
      <c r="L132" s="14">
        <f>L105*Inputs!$H49</f>
        <v>1.1323900369703477E-2</v>
      </c>
      <c r="M132" s="14">
        <f>M105*Inputs!$H49</f>
        <v>1.1770913645678935E-2</v>
      </c>
      <c r="N132" s="182">
        <f>N105*Inputs!$H49</f>
        <v>1.2272353738980989E-2</v>
      </c>
      <c r="O132" s="14">
        <f>O105*Inputs!$H49</f>
        <v>1.2678784754064698E-2</v>
      </c>
      <c r="P132" s="14">
        <f>P105*Inputs!$H49</f>
        <v>1.3134655879496689E-2</v>
      </c>
      <c r="Q132" s="14">
        <f>Q105*Inputs!$H49</f>
        <v>1.3700950254095573E-2</v>
      </c>
      <c r="R132" s="14">
        <f>R105*Inputs!$H49</f>
        <v>1.4229517462495504E-2</v>
      </c>
      <c r="S132" s="14">
        <f>S105*Inputs!$H49</f>
        <v>1.4692252697375587E-2</v>
      </c>
      <c r="T132" s="14">
        <f>T105*Inputs!$H49</f>
        <v>1.5154061036346764E-2</v>
      </c>
      <c r="U132" s="14">
        <f>U105*Inputs!$H49</f>
        <v>1.5631336289425861E-2</v>
      </c>
      <c r="V132" s="14">
        <f>V105*Inputs!$H49</f>
        <v>1.6143879492720257E-2</v>
      </c>
      <c r="W132" s="14">
        <f>W105*Inputs!$H49</f>
        <v>1.6582916591856057E-2</v>
      </c>
      <c r="X132" s="187">
        <f>X105*Inputs!$H49</f>
        <v>1.711653014414893E-2</v>
      </c>
      <c r="Y132" s="158">
        <f>Y105*Inputs!$H49</f>
        <v>1.769360404895608E-2</v>
      </c>
      <c r="Z132" s="158">
        <f>Z105*Inputs!$H49</f>
        <v>1.8332637493304452E-2</v>
      </c>
      <c r="AA132" s="158">
        <f>AA105*Inputs!$H49</f>
        <v>1.8958947044815256E-2</v>
      </c>
      <c r="AB132" s="158">
        <f>AB105*Inputs!$H49</f>
        <v>1.9645239121818155E-2</v>
      </c>
      <c r="AC132" s="158">
        <f>AC105*Inputs!$H49</f>
        <v>2.0422406713302678E-2</v>
      </c>
      <c r="AD132" s="158">
        <f>AD105*Inputs!$H49</f>
        <v>2.1202868002560375E-2</v>
      </c>
      <c r="AE132" s="158">
        <f>AE105*Inputs!$H49</f>
        <v>2.2121682591927171E-2</v>
      </c>
      <c r="AF132" s="158">
        <f>AF105*Inputs!$H49</f>
        <v>2.3104672728761391E-2</v>
      </c>
      <c r="AG132" s="158">
        <f>AG105*Inputs!$H49</f>
        <v>2.4062680371877601E-2</v>
      </c>
      <c r="AH132" s="187">
        <f>AH105*Inputs!$H49</f>
        <v>2.5007178867950106E-2</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53.73</v>
      </c>
      <c r="D134" s="331">
        <f>D107*Inputs!$H52</f>
        <v>60.614999999999995</v>
      </c>
      <c r="E134" s="331">
        <f>E107*Inputs!$H52</f>
        <v>111.67168356086538</v>
      </c>
      <c r="F134" s="331">
        <f>F107*Inputs!$H52</f>
        <v>115.63102306079915</v>
      </c>
      <c r="G134" s="331">
        <f>G107*Inputs!$H52</f>
        <v>94.050550859389062</v>
      </c>
      <c r="H134" s="402">
        <f>H107*Inputs!$H52</f>
        <v>101.20132460530523</v>
      </c>
      <c r="I134" s="14">
        <f>I107*Inputs!$H52</f>
        <v>106.86989334344231</v>
      </c>
      <c r="J134" s="14">
        <f>J107*Inputs!$H52</f>
        <v>113.4700250444766</v>
      </c>
      <c r="K134" s="14">
        <f>K107*Inputs!$H52</f>
        <v>113.87053002456746</v>
      </c>
      <c r="L134" s="14">
        <f>L107*Inputs!$H52</f>
        <v>115.15472085671178</v>
      </c>
      <c r="M134" s="14">
        <f>M107*Inputs!$H52</f>
        <v>117.51742664832152</v>
      </c>
      <c r="N134" s="182">
        <f>N107*Inputs!$H52</f>
        <v>120.28912234556876</v>
      </c>
      <c r="O134" s="14">
        <f>O107*Inputs!$H52</f>
        <v>124.27281049034175</v>
      </c>
      <c r="P134" s="14">
        <f>P107*Inputs!$H52</f>
        <v>128.74109251245483</v>
      </c>
      <c r="Q134" s="14">
        <f>Q107*Inputs!$H52</f>
        <v>134.29170283208444</v>
      </c>
      <c r="R134" s="14">
        <f>R107*Inputs!$H52</f>
        <v>139.47252526854351</v>
      </c>
      <c r="S134" s="14">
        <f>S107*Inputs!$H52</f>
        <v>144.00808678070035</v>
      </c>
      <c r="T134" s="14">
        <f>T107*Inputs!$H52</f>
        <v>148.53456319819972</v>
      </c>
      <c r="U134" s="14">
        <f>U107*Inputs!$H52</f>
        <v>153.21264065026887</v>
      </c>
      <c r="V134" s="14">
        <f>V107*Inputs!$H52</f>
        <v>158.23640164997329</v>
      </c>
      <c r="W134" s="14">
        <f>W107*Inputs!$H52</f>
        <v>162.53968270391189</v>
      </c>
      <c r="X134" s="187">
        <f>X107*Inputs!$H52</f>
        <v>167.76996755734856</v>
      </c>
      <c r="Y134" s="158">
        <f>Y107*Inputs!$H52</f>
        <v>173.42623488912338</v>
      </c>
      <c r="Z134" s="158">
        <f>Z107*Inputs!$H52</f>
        <v>179.68980696380788</v>
      </c>
      <c r="AA134" s="158">
        <f>AA107*Inputs!$H52</f>
        <v>185.8286640950673</v>
      </c>
      <c r="AB134" s="158">
        <f>AB107*Inputs!$H52</f>
        <v>192.5554480006827</v>
      </c>
      <c r="AC134" s="158">
        <f>AC107*Inputs!$H52</f>
        <v>200.17296045863563</v>
      </c>
      <c r="AD134" s="158">
        <f>AD107*Inputs!$H52</f>
        <v>207.82275653738643</v>
      </c>
      <c r="AE134" s="158">
        <f>AE107*Inputs!$H52</f>
        <v>216.82864105668426</v>
      </c>
      <c r="AF134" s="158">
        <f>AF107*Inputs!$H52</f>
        <v>226.46355081800911</v>
      </c>
      <c r="AG134" s="158">
        <f>AG107*Inputs!$H52</f>
        <v>235.8535913140521</v>
      </c>
      <c r="AH134" s="187">
        <f>AH107*Inputs!$H52</f>
        <v>245.111220092173</v>
      </c>
    </row>
    <row r="135" spans="1:35">
      <c r="A135" s="9" t="s">
        <v>347</v>
      </c>
      <c r="B135" s="35">
        <v>1</v>
      </c>
      <c r="C135" s="331">
        <f>C108*Inputs!$H54</f>
        <v>0</v>
      </c>
      <c r="D135" s="331">
        <f>D108*Inputs!$H54</f>
        <v>0</v>
      </c>
      <c r="E135" s="331">
        <f>E108*Inputs!$H54</f>
        <v>44.972883000000003</v>
      </c>
      <c r="F135" s="331">
        <f>F108*Inputs!$H54</f>
        <v>77.638356000000002</v>
      </c>
      <c r="G135" s="331">
        <f>G108*Inputs!$H54</f>
        <v>144.78306300000003</v>
      </c>
      <c r="H135" s="402">
        <f>H108*Inputs!$H54</f>
        <v>245.34477000000007</v>
      </c>
      <c r="I135" s="14">
        <f>I108*Inputs!$H54</f>
        <v>435.88708200000002</v>
      </c>
      <c r="J135" s="14">
        <f>J108*Inputs!$H54</f>
        <v>668.79077400000006</v>
      </c>
      <c r="K135" s="14">
        <f>K108*Inputs!$H54</f>
        <v>671.22310500000003</v>
      </c>
      <c r="L135" s="14">
        <f>L108*Inputs!$H54</f>
        <v>676.44468900000004</v>
      </c>
      <c r="M135" s="14">
        <f>M108*Inputs!$H54</f>
        <v>687.96999900000003</v>
      </c>
      <c r="N135" s="182">
        <f>N108*Inputs!$H54</f>
        <v>793.96199927784721</v>
      </c>
      <c r="O135" s="14">
        <f>O108*Inputs!$H54</f>
        <v>820.25612248906236</v>
      </c>
      <c r="P135" s="14">
        <f>P108*Inputs!$H54</f>
        <v>849.74878199506838</v>
      </c>
      <c r="Q135" s="14">
        <f>Q108*Inputs!$H54</f>
        <v>886.3852922684157</v>
      </c>
      <c r="R135" s="14">
        <f>R108*Inputs!$H54</f>
        <v>920.58103714830247</v>
      </c>
      <c r="S135" s="14">
        <f>S108*Inputs!$H54</f>
        <v>995.24926800000014</v>
      </c>
      <c r="T135" s="14">
        <f>T108*Inputs!$H54</f>
        <v>1104.1766010000001</v>
      </c>
      <c r="U135" s="14">
        <f>U108*Inputs!$H54</f>
        <v>1237.079565</v>
      </c>
      <c r="V135" s="14">
        <f>V108*Inputs!$H54</f>
        <v>1406.0906640000003</v>
      </c>
      <c r="W135" s="14">
        <f>W108*Inputs!$H54</f>
        <v>1593.3005190000001</v>
      </c>
      <c r="X135" s="187">
        <f>X108*Inputs!$H54</f>
        <v>1107.3568105181128</v>
      </c>
      <c r="Y135" s="158">
        <f>Y108*Inputs!$H54</f>
        <v>2015.6259869999999</v>
      </c>
      <c r="Z135" s="158">
        <f>Z108*Inputs!$H54</f>
        <v>2238.1362810000001</v>
      </c>
      <c r="AA135" s="158">
        <f>AA108*Inputs!$H54</f>
        <v>2468.1440700000003</v>
      </c>
      <c r="AB135" s="158">
        <f>AB108*Inputs!$H54</f>
        <v>2710.2374370000002</v>
      </c>
      <c r="AC135" s="158">
        <f>AC108*Inputs!$H54</f>
        <v>2963.3498820000004</v>
      </c>
      <c r="AD135" s="158">
        <f>AD108*Inputs!$H54</f>
        <v>3225.08889</v>
      </c>
      <c r="AE135" s="158">
        <f>AE108*Inputs!$H54</f>
        <v>3493.6001729999998</v>
      </c>
      <c r="AF135" s="158">
        <f>AF108*Inputs!$H54</f>
        <v>3764.2721850000003</v>
      </c>
      <c r="AG135" s="158">
        <f>AG108*Inputs!$H54</f>
        <v>4038.9314850000001</v>
      </c>
      <c r="AH135" s="187">
        <f>AH108*Inputs!$H54</f>
        <v>1617.8436632926621</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2.1611236972473143E-2</v>
      </c>
      <c r="J136" s="14">
        <f>J109*Inputs!$H55</f>
        <v>2.2685350895764064E-2</v>
      </c>
      <c r="K136" s="14">
        <f>K109*Inputs!$H55</f>
        <v>2.2506905825446229E-2</v>
      </c>
      <c r="L136" s="14">
        <f>L109*Inputs!$H55</f>
        <v>2.2502268350072626E-2</v>
      </c>
      <c r="M136" s="14">
        <f>M109*Inputs!$H55</f>
        <v>2.2703192238988302E-2</v>
      </c>
      <c r="N136" s="187">
        <f>N109*Inputs!$H55</f>
        <v>2.297476674833087E-2</v>
      </c>
      <c r="O136" s="14">
        <f>O109*Inputs!$H55</f>
        <v>2.3735636094948241E-2</v>
      </c>
      <c r="P136" s="14">
        <f>P109*Inputs!$H55</f>
        <v>2.4589061036639076E-2</v>
      </c>
      <c r="Q136" s="14">
        <f>Q109*Inputs!$H55</f>
        <v>2.5649206583615584E-2</v>
      </c>
      <c r="R136" s="14">
        <f>R109*Inputs!$H55</f>
        <v>2.6638724045553834E-2</v>
      </c>
      <c r="S136" s="14">
        <f>S109*Inputs!$H55</f>
        <v>2.7504999115008179E-2</v>
      </c>
      <c r="T136" s="14">
        <f>T109*Inputs!$H55</f>
        <v>2.8369538965794607E-2</v>
      </c>
      <c r="U136" s="14">
        <f>U109*Inputs!$H55</f>
        <v>2.9263034039963914E-2</v>
      </c>
      <c r="V136" s="14">
        <f>V109*Inputs!$H55</f>
        <v>3.0222553362384372E-2</v>
      </c>
      <c r="W136" s="14">
        <f>W109*Inputs!$H55</f>
        <v>3.1044463744128819E-2</v>
      </c>
      <c r="X136" s="187">
        <f>X109*Inputs!$H55</f>
        <v>3.2043428340360766E-2</v>
      </c>
      <c r="Y136" s="158">
        <f>Y109*Inputs!$H55</f>
        <v>3.3123753976459454E-2</v>
      </c>
      <c r="Z136" s="158">
        <f>Z109*Inputs!$H55</f>
        <v>3.4320072518162881E-2</v>
      </c>
      <c r="AA136" s="158">
        <f>AA109*Inputs!$H55</f>
        <v>3.5492570978055485E-2</v>
      </c>
      <c r="AB136" s="158">
        <f>AB109*Inputs!$H55</f>
        <v>3.6777361224957082E-2</v>
      </c>
      <c r="AC136" s="158">
        <f>AC109*Inputs!$H55</f>
        <v>3.8232277251538431E-2</v>
      </c>
      <c r="AD136" s="158">
        <f>AD109*Inputs!$H55</f>
        <v>3.9693359327411366E-2</v>
      </c>
      <c r="AE136" s="158">
        <f>AE109*Inputs!$H55</f>
        <v>4.1413449158966227E-2</v>
      </c>
      <c r="AF136" s="158">
        <f>AF109*Inputs!$H55</f>
        <v>4.325368042918639E-2</v>
      </c>
      <c r="AG136" s="158">
        <f>AG109*Inputs!$H55</f>
        <v>4.5047142597230173E-2</v>
      </c>
      <c r="AH136" s="187">
        <f>AH109*Inputs!$H55</f>
        <v>4.6815314628687342E-2</v>
      </c>
    </row>
    <row r="137" spans="1:35">
      <c r="A137" s="9" t="s">
        <v>344</v>
      </c>
      <c r="B137" s="35">
        <v>1</v>
      </c>
      <c r="C137" s="331">
        <f>C110*Inputs!$H56</f>
        <v>2.16E-3</v>
      </c>
      <c r="D137" s="331">
        <f>D110*Inputs!$H56</f>
        <v>2.236173705389039E-3</v>
      </c>
      <c r="E137" s="331">
        <f>E110*Inputs!$H56</f>
        <v>2.2635765555812973E-3</v>
      </c>
      <c r="F137" s="331">
        <f>F110*Inputs!$H56</f>
        <v>2.3668635127319414E-3</v>
      </c>
      <c r="G137" s="331">
        <f>G110*Inputs!$H56</f>
        <v>2.2748155610040669E-3</v>
      </c>
      <c r="H137" s="402">
        <f>H110*Inputs!$H56</f>
        <v>2.16E-3</v>
      </c>
      <c r="I137" s="14">
        <f>I110*Inputs!$H56</f>
        <v>2.2550855971276321E-3</v>
      </c>
      <c r="J137" s="14">
        <f>J110*Inputs!$H56</f>
        <v>2.3671670499927711E-3</v>
      </c>
      <c r="K137" s="14">
        <f>K110*Inputs!$H56</f>
        <v>2.3485466948291707E-3</v>
      </c>
      <c r="L137" s="14">
        <f>L110*Inputs!$H56</f>
        <v>2.3480627843554033E-3</v>
      </c>
      <c r="M137" s="14">
        <f>M110*Inputs!$H56</f>
        <v>2.3690287553726915E-3</v>
      </c>
      <c r="N137" s="187">
        <f>N110*Inputs!$H56</f>
        <v>2.3973669650432213E-3</v>
      </c>
      <c r="O137" s="14">
        <f>O110*Inputs!$H56</f>
        <v>2.4767620272989461E-3</v>
      </c>
      <c r="P137" s="14">
        <f>P110*Inputs!$H56</f>
        <v>2.5658150646927715E-3</v>
      </c>
      <c r="Q137" s="14">
        <f>Q110*Inputs!$H56</f>
        <v>2.6764389478555386E-3</v>
      </c>
      <c r="R137" s="14">
        <f>R110*Inputs!$H56</f>
        <v>2.7796929438838776E-3</v>
      </c>
      <c r="S137" s="14">
        <f>S110*Inputs!$H56</f>
        <v>2.8700868641747656E-3</v>
      </c>
      <c r="T137" s="14">
        <f>T110*Inputs!$H56</f>
        <v>2.9602997181698712E-3</v>
      </c>
      <c r="U137" s="14">
        <f>U110*Inputs!$H56</f>
        <v>3.053533986778842E-3</v>
      </c>
      <c r="V137" s="14">
        <f>V110*Inputs!$H56</f>
        <v>3.1536577421618452E-3</v>
      </c>
      <c r="W137" s="14">
        <f>W110*Inputs!$H56</f>
        <v>3.2394223037351799E-3</v>
      </c>
      <c r="X137" s="187">
        <f>X110*Inputs!$H56</f>
        <v>3.3436620876898188E-3</v>
      </c>
      <c r="Y137" s="158">
        <f>Y110*Inputs!$H56</f>
        <v>3.4563917192827263E-3</v>
      </c>
      <c r="Z137" s="158">
        <f>Z110*Inputs!$H56</f>
        <v>3.581224958416996E-3</v>
      </c>
      <c r="AA137" s="158">
        <f>AA110*Inputs!$H56</f>
        <v>3.7035726237970947E-3</v>
      </c>
      <c r="AB137" s="158">
        <f>AB110*Inputs!$H56</f>
        <v>3.8376376930390008E-3</v>
      </c>
      <c r="AC137" s="158">
        <f>AC110*Inputs!$H56</f>
        <v>3.989455017551837E-3</v>
      </c>
      <c r="AD137" s="158">
        <f>AD110*Inputs!$H56</f>
        <v>4.1419157559037948E-3</v>
      </c>
      <c r="AE137" s="158">
        <f>AE110*Inputs!$H56</f>
        <v>4.3214033905008232E-3</v>
      </c>
      <c r="AF137" s="158">
        <f>AF110*Inputs!$H56</f>
        <v>4.5134275230455361E-3</v>
      </c>
      <c r="AG137" s="158">
        <f>AG110*Inputs!$H56</f>
        <v>4.7005714014501055E-3</v>
      </c>
      <c r="AH137" s="187">
        <f>AH110*Inputs!$H56</f>
        <v>4.8850763090804196E-3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3063.9780000000001</v>
      </c>
      <c r="D139" s="331">
        <f>D112*Inputs!$H57</f>
        <v>4016.4030000000002</v>
      </c>
      <c r="E139" s="331">
        <f>E112*Inputs!$H57</f>
        <v>4175.1779391</v>
      </c>
      <c r="F139" s="331">
        <f>F112*Inputs!$H57</f>
        <v>4670.1943533000003</v>
      </c>
      <c r="G139" s="331">
        <f>G112*Inputs!$H57</f>
        <v>5010.2341757999993</v>
      </c>
      <c r="H139" s="402">
        <f>H112*Inputs!$H57</f>
        <v>5038.0646463000003</v>
      </c>
      <c r="I139" s="14">
        <f>I112*Inputs!$H57</f>
        <v>6358.8433734</v>
      </c>
      <c r="J139" s="14">
        <f>J112*Inputs!$H57</f>
        <v>7216.4665439999999</v>
      </c>
      <c r="K139" s="14">
        <f>K112*Inputs!$H57</f>
        <v>7216.5018869999994</v>
      </c>
      <c r="L139" s="14">
        <f>L112*Inputs!$H57</f>
        <v>7215.450593399999</v>
      </c>
      <c r="M139" s="14">
        <f>M112*Inputs!$H57</f>
        <v>7455.3464470423705</v>
      </c>
      <c r="N139" s="182">
        <f>N112*Inputs!$H57</f>
        <v>8010.3135598326935</v>
      </c>
      <c r="O139" s="14">
        <f>O112*Inputs!$H57</f>
        <v>8275.5959938714623</v>
      </c>
      <c r="P139" s="14">
        <f>P112*Inputs!$H57</f>
        <v>8573.1485852692458</v>
      </c>
      <c r="Q139" s="14">
        <f>Q112*Inputs!$H57</f>
        <v>8942.7757655303558</v>
      </c>
      <c r="R139" s="14">
        <f>R112*Inputs!$H57</f>
        <v>9287.7779685943333</v>
      </c>
      <c r="S139" s="14">
        <f>S112*Inputs!$H57</f>
        <v>9589.8108471609557</v>
      </c>
      <c r="T139" s="14">
        <f>T112*Inputs!$H57</f>
        <v>9891.2387295690933</v>
      </c>
      <c r="U139" s="14">
        <f>U112*Inputs!$H57</f>
        <v>10202.762053686503</v>
      </c>
      <c r="V139" s="14">
        <f>V112*Inputs!$H57</f>
        <v>10537.305195016303</v>
      </c>
      <c r="W139" s="14">
        <f>W112*Inputs!$H57</f>
        <v>10823.8700140621</v>
      </c>
      <c r="X139" s="187">
        <f>X112*Inputs!$H57</f>
        <v>11172.166026754845</v>
      </c>
      <c r="Y139" s="158">
        <f>Y112*Inputs!$H57</f>
        <v>11548.829136621018</v>
      </c>
      <c r="Z139" s="158">
        <f>Z112*Inputs!$H57</f>
        <v>11965.933986540002</v>
      </c>
      <c r="AA139" s="158">
        <f>AA112*Inputs!$H57</f>
        <v>12374.73379787402</v>
      </c>
      <c r="AB139" s="158">
        <f>AB112*Inputs!$H57</f>
        <v>12822.684928304729</v>
      </c>
      <c r="AC139" s="158">
        <f>AC112*Inputs!$H57</f>
        <v>13329.951604994239</v>
      </c>
      <c r="AD139" s="158">
        <f>AD112*Inputs!$H57</f>
        <v>13839.368118014712</v>
      </c>
      <c r="AE139" s="158">
        <f>AE112*Inputs!$H57</f>
        <v>14439.089501598959</v>
      </c>
      <c r="AF139" s="158">
        <f>AF112*Inputs!$H57</f>
        <v>15080.699040383222</v>
      </c>
      <c r="AG139" s="158">
        <f>AG112*Inputs!$H57</f>
        <v>15706.002203679616</v>
      </c>
      <c r="AH139" s="187">
        <f>AH112*Inputs!$H57</f>
        <v>16322.487783483257</v>
      </c>
      <c r="AI139" s="31">
        <f>SUM(C139:X139)</f>
        <v>166743.42569869029</v>
      </c>
    </row>
    <row r="140" spans="1:35">
      <c r="A140" s="10" t="s">
        <v>384</v>
      </c>
      <c r="C140" s="331">
        <f t="shared" ref="C140:AH140" si="91">SUM(C127:C139)</f>
        <v>8608.0328100000006</v>
      </c>
      <c r="D140" s="331">
        <f t="shared" si="91"/>
        <v>9807.667171737201</v>
      </c>
      <c r="E140" s="331">
        <f t="shared" si="91"/>
        <v>10135.735070445106</v>
      </c>
      <c r="F140" s="331">
        <f t="shared" si="91"/>
        <v>10922.252980518941</v>
      </c>
      <c r="G140" s="331">
        <f t="shared" si="91"/>
        <v>11100.115755227702</v>
      </c>
      <c r="H140" s="402">
        <f t="shared" si="91"/>
        <v>10941.670555679102</v>
      </c>
      <c r="I140" s="14">
        <f t="shared" si="91"/>
        <v>12754.66351894788</v>
      </c>
      <c r="J140" s="14">
        <f t="shared" si="91"/>
        <v>14197.365575992029</v>
      </c>
      <c r="K140" s="14">
        <f t="shared" si="91"/>
        <v>14206.476104721398</v>
      </c>
      <c r="L140" s="14">
        <f t="shared" si="91"/>
        <v>14266.436400148228</v>
      </c>
      <c r="M140" s="14">
        <f t="shared" si="91"/>
        <v>14633.227440906465</v>
      </c>
      <c r="N140" s="182">
        <f t="shared" si="91"/>
        <v>15431.864076703583</v>
      </c>
      <c r="O140" s="14">
        <f t="shared" si="91"/>
        <v>15736.396192140521</v>
      </c>
      <c r="P140" s="14">
        <f t="shared" si="91"/>
        <v>16094.444409016454</v>
      </c>
      <c r="Q140" s="14">
        <f t="shared" si="91"/>
        <v>16583.83160558388</v>
      </c>
      <c r="R140" s="14">
        <f t="shared" si="91"/>
        <v>17013.002869488169</v>
      </c>
      <c r="S140" s="14">
        <f t="shared" si="91"/>
        <v>17430.877490162049</v>
      </c>
      <c r="T140" s="14">
        <f t="shared" si="91"/>
        <v>17844.260615937947</v>
      </c>
      <c r="U140" s="14">
        <f t="shared" si="91"/>
        <v>18287.435315377181</v>
      </c>
      <c r="V140" s="14">
        <f t="shared" si="91"/>
        <v>18796.636601937644</v>
      </c>
      <c r="W140" s="14">
        <f t="shared" si="91"/>
        <v>19281.686848159246</v>
      </c>
      <c r="X140" s="187">
        <f t="shared" si="91"/>
        <v>19073.182498830596</v>
      </c>
      <c r="Y140" s="158">
        <f t="shared" si="91"/>
        <v>20413.875334367251</v>
      </c>
      <c r="Z140" s="158">
        <f t="shared" si="91"/>
        <v>21051.456801639877</v>
      </c>
      <c r="AA140" s="158">
        <f t="shared" si="91"/>
        <v>21677.607964923634</v>
      </c>
      <c r="AB140" s="158">
        <f t="shared" si="91"/>
        <v>22368.222777140112</v>
      </c>
      <c r="AC140" s="158">
        <f t="shared" si="91"/>
        <v>23148.43559626738</v>
      </c>
      <c r="AD140" s="158">
        <f t="shared" si="91"/>
        <v>23933.408819998695</v>
      </c>
      <c r="AE140" s="158">
        <f t="shared" si="91"/>
        <v>24847.313455846765</v>
      </c>
      <c r="AF140" s="158">
        <f t="shared" si="91"/>
        <v>25822.062045234696</v>
      </c>
      <c r="AG140" s="158">
        <f t="shared" si="91"/>
        <v>26768.983777239693</v>
      </c>
      <c r="AH140" s="187">
        <f t="shared" si="91"/>
        <v>24997.111163610338</v>
      </c>
      <c r="AI140" s="48" t="s">
        <v>0</v>
      </c>
    </row>
    <row r="141" spans="1:35">
      <c r="A141" s="10" t="s">
        <v>387</v>
      </c>
      <c r="C141" s="331">
        <f>SUM(C128:C130)</f>
        <v>5367.6616500000009</v>
      </c>
      <c r="D141" s="331">
        <f t="shared" ref="D141:AH141" si="92">SUM(D128:D130)</f>
        <v>5560.5469355634959</v>
      </c>
      <c r="E141" s="331">
        <f t="shared" si="92"/>
        <v>5632.3068644599261</v>
      </c>
      <c r="F141" s="331">
        <f t="shared" si="92"/>
        <v>5893.0758466293009</v>
      </c>
      <c r="G141" s="331">
        <f t="shared" si="92"/>
        <v>5667.4962835928018</v>
      </c>
      <c r="H141" s="402">
        <f t="shared" si="92"/>
        <v>5368.2111833915369</v>
      </c>
      <c r="I141" s="14">
        <f t="shared" si="92"/>
        <v>5645.6279388107541</v>
      </c>
      <c r="J141" s="14">
        <f t="shared" si="92"/>
        <v>5969.5472833817839</v>
      </c>
      <c r="K141" s="14">
        <f t="shared" si="92"/>
        <v>5965.748474417469</v>
      </c>
      <c r="L141" s="14">
        <f t="shared" si="92"/>
        <v>6007.8457393617409</v>
      </c>
      <c r="M141" s="14">
        <f t="shared" si="92"/>
        <v>6105.3828275766164</v>
      </c>
      <c r="N141" s="187">
        <f t="shared" si="92"/>
        <v>6223.0150519029012</v>
      </c>
      <c r="O141" s="14">
        <f t="shared" si="92"/>
        <v>6222.5721041607057</v>
      </c>
      <c r="P141" s="14">
        <f t="shared" si="92"/>
        <v>6238.5467092294075</v>
      </c>
      <c r="Q141" s="14">
        <f t="shared" si="92"/>
        <v>6297.0908030626333</v>
      </c>
      <c r="R141" s="14">
        <f t="shared" si="92"/>
        <v>6327.8337808480101</v>
      </c>
      <c r="S141" s="14">
        <f t="shared" si="92"/>
        <v>6320.9002454063611</v>
      </c>
      <c r="T141" s="14">
        <f t="shared" si="92"/>
        <v>6306.5839546465268</v>
      </c>
      <c r="U141" s="14">
        <f t="shared" si="92"/>
        <v>6291.9270326523865</v>
      </c>
      <c r="V141" s="14">
        <f t="shared" si="92"/>
        <v>6284.410649130923</v>
      </c>
      <c r="W141" s="14">
        <f t="shared" si="92"/>
        <v>6242.1197622164927</v>
      </c>
      <c r="X141" s="187">
        <f t="shared" si="92"/>
        <v>6229.3918716704893</v>
      </c>
      <c r="Y141" s="158">
        <f t="shared" si="92"/>
        <v>6202.4034734311799</v>
      </c>
      <c r="Z141" s="158">
        <f t="shared" si="92"/>
        <v>6189.4069843007665</v>
      </c>
      <c r="AA141" s="158">
        <f t="shared" si="92"/>
        <v>6164.3129959590224</v>
      </c>
      <c r="AB141" s="158">
        <f t="shared" si="92"/>
        <v>6150.9125971844051</v>
      </c>
      <c r="AC141" s="158">
        <f t="shared" si="92"/>
        <v>6156.9508678355051</v>
      </c>
      <c r="AD141" s="158">
        <f t="shared" si="92"/>
        <v>6154.5177205325544</v>
      </c>
      <c r="AE141" s="158">
        <f t="shared" si="92"/>
        <v>6181.8958099488709</v>
      </c>
      <c r="AF141" s="158">
        <f t="shared" si="92"/>
        <v>6215.4164321730423</v>
      </c>
      <c r="AG141" s="158">
        <f t="shared" si="92"/>
        <v>6230.7937826468351</v>
      </c>
      <c r="AH141" s="187">
        <f t="shared" si="92"/>
        <v>6232.3868385877477</v>
      </c>
      <c r="AI141" s="48"/>
    </row>
    <row r="142" spans="1:35">
      <c r="A142" s="10" t="s">
        <v>386</v>
      </c>
      <c r="C142" s="330">
        <f t="shared" ref="C142:AH142" si="93">SUMPRODUCT($B131:$B139,C131:C139)</f>
        <v>3240.3711600000001</v>
      </c>
      <c r="D142" s="330">
        <f t="shared" si="93"/>
        <v>4247.120236173706</v>
      </c>
      <c r="E142" s="330">
        <f t="shared" si="93"/>
        <v>4503.4282059851803</v>
      </c>
      <c r="F142" s="330">
        <f t="shared" si="93"/>
        <v>5029.1771338896397</v>
      </c>
      <c r="G142" s="330">
        <f t="shared" si="93"/>
        <v>5432.6194716349009</v>
      </c>
      <c r="H142" s="286">
        <f t="shared" si="93"/>
        <v>5573.4593722875643</v>
      </c>
      <c r="I142" s="40">
        <f t="shared" si="93"/>
        <v>7109.035580137127</v>
      </c>
      <c r="J142" s="40">
        <f t="shared" si="93"/>
        <v>8227.8182926102454</v>
      </c>
      <c r="K142" s="40">
        <f t="shared" si="93"/>
        <v>8240.7276303039307</v>
      </c>
      <c r="L142" s="40">
        <f t="shared" si="93"/>
        <v>8258.5906607864872</v>
      </c>
      <c r="M142" s="40">
        <f t="shared" si="93"/>
        <v>8527.8446133298494</v>
      </c>
      <c r="N142" s="177">
        <f t="shared" si="93"/>
        <v>9208.8490248006801</v>
      </c>
      <c r="O142" s="40">
        <f t="shared" si="93"/>
        <v>9513.8240879798159</v>
      </c>
      <c r="P142" s="40">
        <f t="shared" si="93"/>
        <v>9855.897699787045</v>
      </c>
      <c r="Q142" s="40">
        <f t="shared" si="93"/>
        <v>10286.740802521246</v>
      </c>
      <c r="R142" s="40">
        <f t="shared" si="93"/>
        <v>10685.169088640161</v>
      </c>
      <c r="S142" s="40">
        <f t="shared" si="93"/>
        <v>11109.977244755688</v>
      </c>
      <c r="T142" s="40">
        <f t="shared" si="93"/>
        <v>11537.67666129142</v>
      </c>
      <c r="U142" s="40">
        <f t="shared" si="93"/>
        <v>11995.508282724793</v>
      </c>
      <c r="V142" s="40">
        <f t="shared" si="93"/>
        <v>12512.225952806719</v>
      </c>
      <c r="W142" s="40">
        <f t="shared" si="93"/>
        <v>13039.567085942756</v>
      </c>
      <c r="X142" s="184">
        <f t="shared" si="93"/>
        <v>12843.790627160106</v>
      </c>
      <c r="Y142" s="271">
        <f t="shared" si="93"/>
        <v>14211.471860936068</v>
      </c>
      <c r="Z142" s="271">
        <f t="shared" si="93"/>
        <v>14862.049817339106</v>
      </c>
      <c r="AA142" s="271">
        <f t="shared" si="93"/>
        <v>15513.294968964612</v>
      </c>
      <c r="AB142" s="271">
        <f t="shared" si="93"/>
        <v>16217.310179955706</v>
      </c>
      <c r="AC142" s="271">
        <f t="shared" si="93"/>
        <v>16991.484728431875</v>
      </c>
      <c r="AD142" s="271">
        <f t="shared" si="93"/>
        <v>17778.891099466142</v>
      </c>
      <c r="AE142" s="271">
        <f t="shared" si="93"/>
        <v>18665.417645897895</v>
      </c>
      <c r="AF142" s="271">
        <f t="shared" si="93"/>
        <v>19606.645613061657</v>
      </c>
      <c r="AG142" s="271">
        <f t="shared" si="93"/>
        <v>20538.18999459286</v>
      </c>
      <c r="AH142" s="184">
        <f t="shared" si="93"/>
        <v>18764.724325022587</v>
      </c>
    </row>
    <row r="143" spans="1:35">
      <c r="A143" s="10" t="s">
        <v>142</v>
      </c>
      <c r="C143" s="331">
        <f>C116*Inputs!$H$60</f>
        <v>22744.537199999992</v>
      </c>
      <c r="D143" s="331">
        <f>D116*Inputs!$H$60</f>
        <v>14807.551878273776</v>
      </c>
      <c r="E143" s="331">
        <f>E116*Inputs!$H$60</f>
        <v>14027.572645495318</v>
      </c>
      <c r="F143" s="331">
        <f>F116*Inputs!$H$60</f>
        <v>11997.553408450793</v>
      </c>
      <c r="G143" s="331">
        <f>G116*Inputs!$H$60</f>
        <v>12878.116670210544</v>
      </c>
      <c r="H143" s="402">
        <f>H116*Inputs!$H$60</f>
        <v>13369.228546797729</v>
      </c>
      <c r="I143" s="14">
        <f>I116*Inputs!$H$60</f>
        <v>12643.456728692918</v>
      </c>
      <c r="J143" s="14">
        <f>J116*Inputs!$H$60</f>
        <v>12124.034110147226</v>
      </c>
      <c r="K143" s="14">
        <f>K116*Inputs!$H$60</f>
        <v>12829.181809055939</v>
      </c>
      <c r="L143" s="14">
        <f>L116*Inputs!$H$60</f>
        <v>13097.379299034024</v>
      </c>
      <c r="M143" s="14">
        <f>M116*Inputs!$H$60</f>
        <v>13137.412181485286</v>
      </c>
      <c r="N143" s="182">
        <f>N116*Inputs!$H$60</f>
        <v>12934.863833560283</v>
      </c>
      <c r="O143" s="14">
        <f>O116*Inputs!$H$60</f>
        <v>12985.003634537372</v>
      </c>
      <c r="P143" s="14">
        <f>P116*Inputs!$H$60</f>
        <v>13016.843166352977</v>
      </c>
      <c r="Q143" s="14">
        <f>Q116*Inputs!$H$60</f>
        <v>12932.739912795847</v>
      </c>
      <c r="R143" s="14">
        <f>R116*Inputs!$H$60</f>
        <v>13022.056309508365</v>
      </c>
      <c r="S143" s="14">
        <f>S116*Inputs!$H$60</f>
        <v>13089.390631848513</v>
      </c>
      <c r="T143" s="14">
        <f>T116*Inputs!$H$60</f>
        <v>13021.456761804448</v>
      </c>
      <c r="U143" s="14">
        <f>U116*Inputs!$H$60</f>
        <v>12965.460991044411</v>
      </c>
      <c r="V143" s="14">
        <f>V116*Inputs!$H$60</f>
        <v>12899.895174155254</v>
      </c>
      <c r="W143" s="14">
        <f>W116*Inputs!$H$60</f>
        <v>12805.618272659975</v>
      </c>
      <c r="X143" s="187">
        <f>X116*Inputs!$H$60</f>
        <v>12799.831621543097</v>
      </c>
      <c r="Y143" s="158">
        <f>Y116*Inputs!$H$60</f>
        <v>12684.906036144062</v>
      </c>
      <c r="Z143" s="158">
        <f>Z116*Inputs!$H$60</f>
        <v>12605.655003622353</v>
      </c>
      <c r="AA143" s="158">
        <f>AA116*Inputs!$H$60</f>
        <v>12520.235901843744</v>
      </c>
      <c r="AB143" s="158">
        <f>AB116*Inputs!$H$60</f>
        <v>12433.885079765996</v>
      </c>
      <c r="AC143" s="158">
        <f>AC116*Inputs!$H$60</f>
        <v>12334.733875070619</v>
      </c>
      <c r="AD143" s="158">
        <f>AD116*Inputs!$H$60</f>
        <v>12232.972305173063</v>
      </c>
      <c r="AE143" s="158">
        <f>AE116*Inputs!$H$60</f>
        <v>12121.375224938618</v>
      </c>
      <c r="AF143" s="158">
        <f>AF116*Inputs!$H$60</f>
        <v>12002.17715967619</v>
      </c>
      <c r="AG143" s="158">
        <f>AG116*Inputs!$H$60</f>
        <v>11901.259067480583</v>
      </c>
      <c r="AH143" s="187">
        <f>AH116*Inputs!$H$60</f>
        <v>11919.694280713575</v>
      </c>
      <c r="AI143" s="48"/>
    </row>
    <row r="144" spans="1:35">
      <c r="A144" s="10" t="s">
        <v>222</v>
      </c>
      <c r="C144" s="331">
        <f>C117*Inputs!$H$61</f>
        <v>9747.6587999999992</v>
      </c>
      <c r="D144" s="331">
        <f>D117*Inputs!$H$61</f>
        <v>18427.180053109147</v>
      </c>
      <c r="E144" s="331">
        <f>E117*Inputs!$H$61</f>
        <v>19538.028567924441</v>
      </c>
      <c r="F144" s="331">
        <f>F117*Inputs!$H$61</f>
        <v>23061.947293922389</v>
      </c>
      <c r="G144" s="331">
        <f>G117*Inputs!$H$61</f>
        <v>20666.876054132172</v>
      </c>
      <c r="H144" s="402">
        <f>H117*Inputs!$H$61</f>
        <v>19851.523818806621</v>
      </c>
      <c r="I144" s="14">
        <f>I117*Inputs!$H$61</f>
        <v>21373.299920074933</v>
      </c>
      <c r="J144" s="14">
        <f>J117*Inputs!$H$61</f>
        <v>23277.258520409199</v>
      </c>
      <c r="K144" s="14">
        <f>K117*Inputs!$H$61</f>
        <v>22348.482633464999</v>
      </c>
      <c r="L144" s="14">
        <f>L117*Inputs!$H$61</f>
        <v>22140.438453478735</v>
      </c>
      <c r="M144" s="14">
        <f>M117*Inputs!$H$61</f>
        <v>22369.797380708431</v>
      </c>
      <c r="N144" s="182">
        <f>N117*Inputs!$H$61</f>
        <v>22752.032520727418</v>
      </c>
      <c r="O144" s="14">
        <f>O117*Inputs!$H$61</f>
        <v>22994.210218821849</v>
      </c>
      <c r="P144" s="14">
        <f>P117*Inputs!$H$61</f>
        <v>23353.771149585267</v>
      </c>
      <c r="Q144" s="14">
        <f>Q117*Inputs!$H$61</f>
        <v>24081.434781818007</v>
      </c>
      <c r="R144" s="14">
        <f>R117*Inputs!$H$61</f>
        <v>24481.914666725177</v>
      </c>
      <c r="S144" s="14">
        <f>S117*Inputs!$H$61</f>
        <v>24663.033331445131</v>
      </c>
      <c r="T144" s="14">
        <f>T117*Inputs!$H$61</f>
        <v>24950.077241834038</v>
      </c>
      <c r="U144" s="14">
        <f>U117*Inputs!$H$61</f>
        <v>25224.107748217404</v>
      </c>
      <c r="V144" s="14">
        <f>V117*Inputs!$H$61</f>
        <v>25549.407639042565</v>
      </c>
      <c r="W144" s="14">
        <f>W117*Inputs!$H$61</f>
        <v>25665.856095531584</v>
      </c>
      <c r="X144" s="187">
        <f>X117*Inputs!$H$61</f>
        <v>26032.047174305208</v>
      </c>
      <c r="Y144" s="158">
        <f>Y117*Inputs!$H$61</f>
        <v>25979.551250139903</v>
      </c>
      <c r="Z144" s="158">
        <f>Z117*Inputs!$H$61</f>
        <v>26108.780045815205</v>
      </c>
      <c r="AA144" s="158">
        <f>AA117*Inputs!$H$61</f>
        <v>26160.942028573052</v>
      </c>
      <c r="AB144" s="158">
        <f>AB117*Inputs!$H$61</f>
        <v>26281.454704145144</v>
      </c>
      <c r="AC144" s="158">
        <f>AC117*Inputs!$H$61</f>
        <v>26533.772691999508</v>
      </c>
      <c r="AD144" s="158">
        <f>AD117*Inputs!$H$61</f>
        <v>26727.397866843752</v>
      </c>
      <c r="AE144" s="158">
        <f>AE117*Inputs!$H$61</f>
        <v>27117.423568052069</v>
      </c>
      <c r="AF144" s="158">
        <f>AF117*Inputs!$H$61</f>
        <v>27545.415433269496</v>
      </c>
      <c r="AG144" s="158">
        <f>AG117*Inputs!$H$61</f>
        <v>27830.680352020543</v>
      </c>
      <c r="AH144" s="187">
        <f>AH117*Inputs!$H$61</f>
        <v>28276.594770617106</v>
      </c>
      <c r="AI144" s="48"/>
    </row>
    <row r="145" spans="1:35">
      <c r="A145" s="10" t="s">
        <v>58</v>
      </c>
      <c r="C145" s="331">
        <f>SUM(C140,C143,C144)</f>
        <v>41100.228809999993</v>
      </c>
      <c r="D145" s="331">
        <f>SUM(D140,D143,D144)</f>
        <v>43042.399103120129</v>
      </c>
      <c r="E145" s="331">
        <f t="shared" ref="E145:AH145" si="94">SUM(E140,E143,E144)</f>
        <v>43701.336283864861</v>
      </c>
      <c r="F145" s="331">
        <f t="shared" si="94"/>
        <v>45981.753682892122</v>
      </c>
      <c r="G145" s="331">
        <f t="shared" si="94"/>
        <v>44645.108479570423</v>
      </c>
      <c r="H145" s="402">
        <f t="shared" si="94"/>
        <v>44162.422921283454</v>
      </c>
      <c r="I145" s="14">
        <f t="shared" si="94"/>
        <v>46771.420167715733</v>
      </c>
      <c r="J145" s="14">
        <f t="shared" si="94"/>
        <v>49598.658206548454</v>
      </c>
      <c r="K145" s="14">
        <f t="shared" si="94"/>
        <v>49384.140547242336</v>
      </c>
      <c r="L145" s="14">
        <f t="shared" si="94"/>
        <v>49504.254152660986</v>
      </c>
      <c r="M145" s="14">
        <f t="shared" si="94"/>
        <v>50140.437003100182</v>
      </c>
      <c r="N145" s="187">
        <f t="shared" si="94"/>
        <v>51118.760430991286</v>
      </c>
      <c r="O145" s="14">
        <f t="shared" si="94"/>
        <v>51715.610045499743</v>
      </c>
      <c r="P145" s="14">
        <f t="shared" si="94"/>
        <v>52465.058724954695</v>
      </c>
      <c r="Q145" s="14">
        <f t="shared" si="94"/>
        <v>53598.00630019774</v>
      </c>
      <c r="R145" s="14">
        <f t="shared" si="94"/>
        <v>54516.97384572171</v>
      </c>
      <c r="S145" s="14">
        <f t="shared" si="94"/>
        <v>55183.301453455693</v>
      </c>
      <c r="T145" s="14">
        <f t="shared" si="94"/>
        <v>55815.794619576438</v>
      </c>
      <c r="U145" s="14">
        <f t="shared" si="94"/>
        <v>56477.004054638994</v>
      </c>
      <c r="V145" s="14">
        <f t="shared" si="94"/>
        <v>57245.939415135465</v>
      </c>
      <c r="W145" s="14">
        <f t="shared" si="94"/>
        <v>57753.161216350803</v>
      </c>
      <c r="X145" s="187">
        <f t="shared" si="94"/>
        <v>57905.061294678904</v>
      </c>
      <c r="Y145" s="158">
        <f t="shared" si="94"/>
        <v>59078.332620651214</v>
      </c>
      <c r="Z145" s="158">
        <f t="shared" si="94"/>
        <v>59765.891851077438</v>
      </c>
      <c r="AA145" s="158">
        <f t="shared" si="94"/>
        <v>60358.785895340428</v>
      </c>
      <c r="AB145" s="158">
        <f t="shared" si="94"/>
        <v>61083.562561051251</v>
      </c>
      <c r="AC145" s="158">
        <f t="shared" si="94"/>
        <v>62016.942163337502</v>
      </c>
      <c r="AD145" s="158">
        <f t="shared" si="94"/>
        <v>62893.778992015505</v>
      </c>
      <c r="AE145" s="158">
        <f t="shared" si="94"/>
        <v>64086.112248837453</v>
      </c>
      <c r="AF145" s="158">
        <f t="shared" si="94"/>
        <v>65369.654638180386</v>
      </c>
      <c r="AG145" s="158">
        <f t="shared" si="94"/>
        <v>66500.923196740827</v>
      </c>
      <c r="AH145" s="187">
        <f t="shared" si="94"/>
        <v>65193.400214941015</v>
      </c>
      <c r="AI145" s="48"/>
    </row>
    <row r="146" spans="1:35" s="1" customFormat="1">
      <c r="A146" s="1" t="s">
        <v>335</v>
      </c>
      <c r="B146" s="13"/>
      <c r="C146" s="341">
        <f>C145-'Output - Jobs vs Yr (BAU)'!C73</f>
        <v>3.0687299999917741</v>
      </c>
      <c r="D146" s="341">
        <f>D145-'Output - Jobs vs Yr (BAU)'!D73</f>
        <v>48.255023120131227</v>
      </c>
      <c r="E146" s="341">
        <f>E145-'Output - Jobs vs Yr (BAU)'!E73</f>
        <v>34.54182035503618</v>
      </c>
      <c r="F146" s="341">
        <f>F145-'Output - Jobs vs Yr (BAU)'!F73</f>
        <v>120.14332725047279</v>
      </c>
      <c r="G146" s="341">
        <f>G145-'Output - Jobs vs Yr (BAU)'!G73</f>
        <v>80.715042670504772</v>
      </c>
      <c r="H146" s="405">
        <f>H145-'Output - Jobs vs Yr (BAU)'!H73</f>
        <v>22.198995000006107</v>
      </c>
      <c r="I146" s="15">
        <f>I145-'Output - Jobs vs Yr (BAU)'!I73</f>
        <v>55.222308709322533</v>
      </c>
      <c r="J146" s="15">
        <f>J145-'Output - Jobs vs Yr (BAU)'!J73</f>
        <v>77.937247236601252</v>
      </c>
      <c r="K146" s="15">
        <f>K145-'Output - Jobs vs Yr (BAU)'!K73</f>
        <v>25.259221459571563</v>
      </c>
      <c r="L146" s="15">
        <f>L145-'Output - Jobs vs Yr (BAU)'!L73</f>
        <v>-1.1489245722914347</v>
      </c>
      <c r="M146" s="15">
        <f>M145-'Output - Jobs vs Yr (BAU)'!M73</f>
        <v>101.12892931141687</v>
      </c>
      <c r="N146" s="182">
        <f>N145-'Output - Jobs vs Yr (BAU)'!N73</f>
        <v>392.91765348264016</v>
      </c>
      <c r="O146" s="15">
        <f>O145-'Output - Jobs vs Yr (BAU)'!O73</f>
        <v>475.42432480569551</v>
      </c>
      <c r="P146" s="15">
        <f>P145-'Output - Jobs vs Yr (BAU)'!P73</f>
        <v>573.43730470060837</v>
      </c>
      <c r="Q146" s="15">
        <f>Q145-'Output - Jobs vs Yr (BAU)'!Q73</f>
        <v>699.26957021151611</v>
      </c>
      <c r="R146" s="15">
        <f>R145-'Output - Jobs vs Yr (BAU)'!R73</f>
        <v>802.98639918144909</v>
      </c>
      <c r="S146" s="15">
        <f>S145-'Output - Jobs vs Yr (BAU)'!S73</f>
        <v>895.05817693824793</v>
      </c>
      <c r="T146" s="15">
        <f>T145-'Output - Jobs vs Yr (BAU)'!T73</f>
        <v>999.52821710761054</v>
      </c>
      <c r="U146" s="15">
        <f>U145-'Output - Jobs vs Yr (BAU)'!U73</f>
        <v>1106.471227852453</v>
      </c>
      <c r="V146" s="15">
        <f>V145-'Output - Jobs vs Yr (BAU)'!V73</f>
        <v>1223.900209000436</v>
      </c>
      <c r="W146" s="15">
        <f>W145-'Output - Jobs vs Yr (BAU)'!W73</f>
        <v>1313.802483839092</v>
      </c>
      <c r="X146" s="190">
        <f>X145-'Output - Jobs vs Yr (BAU)'!X73</f>
        <v>806.20770206132147</v>
      </c>
      <c r="Y146" s="130">
        <f>Y145-'Output - Jobs vs Yr (BAU)'!Y73</f>
        <v>1569.957938370193</v>
      </c>
      <c r="Z146" s="130">
        <f>Z145-'Output - Jobs vs Yr (BAU)'!Z73</f>
        <v>1716.4233601166561</v>
      </c>
      <c r="AA146" s="130">
        <f>AA145-'Output - Jobs vs Yr (BAU)'!AA73</f>
        <v>1851.638178727364</v>
      </c>
      <c r="AB146" s="130">
        <f>AB145-'Output - Jobs vs Yr (BAU)'!AB73</f>
        <v>2007.7940969975753</v>
      </c>
      <c r="AC146" s="130">
        <f>AC145-'Output - Jobs vs Yr (BAU)'!AC73</f>
        <v>2199.955670251984</v>
      </c>
      <c r="AD146" s="130">
        <f>AD145-'Output - Jobs vs Yr (BAU)'!AD73</f>
        <v>2386.7200578256234</v>
      </c>
      <c r="AE146" s="130">
        <f>AE145-'Output - Jobs vs Yr (BAU)'!AE73</f>
        <v>2594.2153980966395</v>
      </c>
      <c r="AF146" s="130">
        <f>AF145-'Output - Jobs vs Yr (BAU)'!AF73</f>
        <v>2825.5435238739374</v>
      </c>
      <c r="AG146" s="130">
        <f>AG145-'Output - Jobs vs Yr (BAU)'!AG73</f>
        <v>3042.0645579305783</v>
      </c>
      <c r="AH146" s="190">
        <f>AH145-'Output - Jobs vs Yr (BAU)'!AH73</f>
        <v>917.81528856722434</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86760.671279999995</v>
      </c>
      <c r="D176" s="334">
        <f>'Output - Jobs vs Yr (BAU)'!D55+'Output - Jobs vs Yr (BAU)'!D73</f>
        <v>90765.415280000001</v>
      </c>
      <c r="E176" s="334">
        <f>'Output - Jobs vs Yr (BAU)'!E55+'Output - Jobs vs Yr (BAU)'!E73</f>
        <v>92185.454978520749</v>
      </c>
      <c r="F176" s="334">
        <f>'Output - Jobs vs Yr (BAU)'!F55+'Output - Jobs vs Yr (BAU)'!F73</f>
        <v>96818.955195243485</v>
      </c>
      <c r="G176" s="334">
        <f>'Output - Jobs vs Yr (BAU)'!G55+'Output - Jobs vs Yr (BAU)'!G73</f>
        <v>94080.386144566495</v>
      </c>
      <c r="H176" s="404">
        <f>'Output - Jobs vs Yr (BAU)'!H55+'Output - Jobs vs Yr (BAU)'!H73</f>
        <v>93184.917177709503</v>
      </c>
      <c r="I176" s="19">
        <f>'Output - Jobs vs Yr (BAU)'!I55+'Output - Jobs vs Yr (BAU)'!I73</f>
        <v>98623.084369013537</v>
      </c>
      <c r="J176" s="19">
        <f>'Output - Jobs vs Yr (BAU)'!J55+'Output - Jobs vs Yr (BAU)'!J73</f>
        <v>104543.74424743613</v>
      </c>
      <c r="K176" s="19">
        <f>'Output - Jobs vs Yr (BAU)'!K55+'Output - Jobs vs Yr (BAU)'!K73</f>
        <v>104202.08279887473</v>
      </c>
      <c r="L176" s="19">
        <f>'Output - Jobs vs Yr (BAU)'!L55+'Output - Jobs vs Yr (BAU)'!L73</f>
        <v>104511.40649638136</v>
      </c>
      <c r="M176" s="19">
        <f>'Output - Jobs vs Yr (BAU)'!M55+'Output - Jobs vs Yr (BAU)'!M73</f>
        <v>105638.5392668874</v>
      </c>
      <c r="N176" s="182">
        <f>'Output - Jobs vs Yr (BAU)'!N55+'Output - Jobs vs Yr (BAU)'!N73</f>
        <v>107087.89030807381</v>
      </c>
      <c r="O176" s="19">
        <f>'Output - Jobs vs Yr (BAU)'!O55+'Output - Jobs vs Yr (BAU)'!O73</f>
        <v>108173.72541035411</v>
      </c>
      <c r="P176" s="19">
        <f>'Output - Jobs vs Yr (BAU)'!P55+'Output - Jobs vs Yr (BAU)'!P73</f>
        <v>109548.97855386973</v>
      </c>
      <c r="Q176" s="19">
        <f>'Output - Jobs vs Yr (BAU)'!Q55+'Output - Jobs vs Yr (BAU)'!Q73</f>
        <v>111675.11087441536</v>
      </c>
      <c r="R176" s="19">
        <f>'Output - Jobs vs Yr (BAU)'!R55+'Output - Jobs vs Yr (BAU)'!R73</f>
        <v>113396.19572047389</v>
      </c>
      <c r="S176" s="19">
        <f>'Output - Jobs vs Yr (BAU)'!S55+'Output - Jobs vs Yr (BAU)'!S73</f>
        <v>114608.51358375905</v>
      </c>
      <c r="T176" s="19">
        <f>'Output - Jobs vs Yr (BAU)'!T55+'Output - Jobs vs Yr (BAU)'!T73</f>
        <v>115723.22907187864</v>
      </c>
      <c r="U176" s="19">
        <f>'Output - Jobs vs Yr (BAU)'!U55+'Output - Jobs vs Yr (BAU)'!U73</f>
        <v>116893.34707877159</v>
      </c>
      <c r="V176" s="19">
        <f>'Output - Jobs vs Yr (BAU)'!V55+'Output - Jobs vs Yr (BAU)'!V73</f>
        <v>118268.74943517396</v>
      </c>
      <c r="W176" s="19">
        <f>'Output - Jobs vs Yr (BAU)'!W55+'Output - Jobs vs Yr (BAU)'!W73</f>
        <v>119149.75732419139</v>
      </c>
      <c r="X176" s="182">
        <f>'Output - Jobs vs Yr (BAU)'!X55+'Output - Jobs vs Yr (BAU)'!X73</f>
        <v>120542.02425108157</v>
      </c>
      <c r="Y176" s="206">
        <f>'Output - Jobs vs Yr (BAU)'!Y55+'Output - Jobs vs Yr (BAU)'!Y73</f>
        <v>121406.56877370438</v>
      </c>
      <c r="Z176" s="206">
        <f>'Output - Jobs vs Yr (BAU)'!Z55+'Output - Jobs vs Yr (BAU)'!Z73</f>
        <v>122548.87792536165</v>
      </c>
      <c r="AA176" s="206">
        <f>'Output - Jobs vs Yr (BAU)'!AA55+'Output - Jobs vs Yr (BAU)'!AA73</f>
        <v>123515.0896239609</v>
      </c>
      <c r="AB176" s="206">
        <f>'Output - Jobs vs Yr (BAU)'!AB55+'Output - Jobs vs Yr (BAU)'!AB73</f>
        <v>124715.5112018911</v>
      </c>
      <c r="AC176" s="206">
        <f>'Output - Jobs vs Yr (BAU)'!AC55+'Output - Jobs vs Yr (BAU)'!AC73</f>
        <v>126280.3048187361</v>
      </c>
      <c r="AD176" s="206">
        <f>'Output - Jobs vs Yr (BAU)'!AD55+'Output - Jobs vs Yr (BAU)'!AD73</f>
        <v>127737.12441662306</v>
      </c>
      <c r="AE176" s="206">
        <f>'Output - Jobs vs Yr (BAU)'!AE55+'Output - Jobs vs Yr (BAU)'!AE73</f>
        <v>129816.22668489728</v>
      </c>
      <c r="AF176" s="206">
        <f>'Output - Jobs vs Yr (BAU)'!AF55+'Output - Jobs vs Yr (BAU)'!AF73</f>
        <v>132037.56790798029</v>
      </c>
      <c r="AG176" s="206">
        <f>'Output - Jobs vs Yr (BAU)'!AG55+'Output - Jobs vs Yr (BAU)'!AG73</f>
        <v>133968.70157082163</v>
      </c>
      <c r="AH176" s="182">
        <f>'Output - Jobs vs Yr (BAU)'!AH55+'Output - Jobs vs Yr (BAU)'!AH73</f>
        <v>135692.90151123356</v>
      </c>
      <c r="AI176" s="1"/>
    </row>
    <row r="177" spans="1:35">
      <c r="A177" s="76" t="s">
        <v>300</v>
      </c>
      <c r="C177" s="334">
        <f>'Output - Jobs vs Yr (BAU)'!C55</f>
        <v>45663.511199999994</v>
      </c>
      <c r="D177" s="334">
        <f>'Output - Jobs vs Yr (BAU)'!D55</f>
        <v>47771.271200000003</v>
      </c>
      <c r="E177" s="334">
        <f>'Output - Jobs vs Yr (BAU)'!E55</f>
        <v>48518.660515010924</v>
      </c>
      <c r="F177" s="334">
        <f>'Output - Jobs vs Yr (BAU)'!F55</f>
        <v>50957.344839601836</v>
      </c>
      <c r="G177" s="334">
        <f>'Output - Jobs vs Yr (BAU)'!G55</f>
        <v>49515.992707666577</v>
      </c>
      <c r="H177" s="404">
        <f>'Output - Jobs vs Yr (BAU)'!H55</f>
        <v>49044.693251426055</v>
      </c>
      <c r="I177" s="19">
        <f>'Output - Jobs vs Yr (BAU)'!I55</f>
        <v>51906.886510007127</v>
      </c>
      <c r="J177" s="19">
        <f>'Output - Jobs vs Yr (BAU)'!J55</f>
        <v>55023.023288124277</v>
      </c>
      <c r="K177" s="19">
        <f>'Output - Jobs vs Yr (BAU)'!K55</f>
        <v>54843.201473091962</v>
      </c>
      <c r="L177" s="19">
        <f>'Output - Jobs vs Yr (BAU)'!L55</f>
        <v>55006.003419148081</v>
      </c>
      <c r="M177" s="19">
        <f>'Output - Jobs vs Yr (BAU)'!M55</f>
        <v>55599.231193098633</v>
      </c>
      <c r="N177" s="182">
        <f>'Output - Jobs vs Yr (BAU)'!N55</f>
        <v>56362.047530565163</v>
      </c>
      <c r="O177" s="19">
        <f>'Output - Jobs vs Yr (BAU)'!O55</f>
        <v>56933.539689660058</v>
      </c>
      <c r="P177" s="19">
        <f>'Output - Jobs vs Yr (BAU)'!P55</f>
        <v>57657.357133615646</v>
      </c>
      <c r="Q177" s="19">
        <f>'Output - Jobs vs Yr (BAU)'!Q55</f>
        <v>58776.374144429137</v>
      </c>
      <c r="R177" s="19">
        <f>'Output - Jobs vs Yr (BAU)'!R55</f>
        <v>59682.208273933618</v>
      </c>
      <c r="S177" s="19">
        <f>'Output - Jobs vs Yr (BAU)'!S55</f>
        <v>60320.270307241604</v>
      </c>
      <c r="T177" s="19">
        <f>'Output - Jobs vs Yr (BAU)'!T55</f>
        <v>60906.962669409811</v>
      </c>
      <c r="U177" s="19">
        <f>'Output - Jobs vs Yr (BAU)'!U55</f>
        <v>61522.814251985052</v>
      </c>
      <c r="V177" s="19">
        <f>'Output - Jobs vs Yr (BAU)'!V55</f>
        <v>62246.710229038923</v>
      </c>
      <c r="W177" s="19">
        <f>'Output - Jobs vs Yr (BAU)'!W55</f>
        <v>62710.398591679681</v>
      </c>
      <c r="X177" s="182">
        <f>'Output - Jobs vs Yr (BAU)'!X55</f>
        <v>63443.170658463991</v>
      </c>
      <c r="Y177" s="206">
        <f>'Output - Jobs vs Yr (BAU)'!Y55</f>
        <v>63898.194091423356</v>
      </c>
      <c r="Z177" s="206">
        <f>'Output - Jobs vs Yr (BAU)'!Z55</f>
        <v>64499.40943440087</v>
      </c>
      <c r="AA177" s="206">
        <f>'Output - Jobs vs Yr (BAU)'!AA55</f>
        <v>65007.941907347842</v>
      </c>
      <c r="AB177" s="206">
        <f>'Output - Jobs vs Yr (BAU)'!AB55</f>
        <v>65639.742737837427</v>
      </c>
      <c r="AC177" s="206">
        <f>'Output - Jobs vs Yr (BAU)'!AC55</f>
        <v>66463.318325650573</v>
      </c>
      <c r="AD177" s="206">
        <f>'Output - Jobs vs Yr (BAU)'!AD55</f>
        <v>67230.065482433187</v>
      </c>
      <c r="AE177" s="206">
        <f>'Output - Jobs vs Yr (BAU)'!AE55</f>
        <v>68324.329834156466</v>
      </c>
      <c r="AF177" s="206">
        <f>'Output - Jobs vs Yr (BAU)'!AF55</f>
        <v>69493.456793673831</v>
      </c>
      <c r="AG177" s="206">
        <f>'Output - Jobs vs Yr (BAU)'!AG55</f>
        <v>70509.842932011379</v>
      </c>
      <c r="AH177" s="182">
        <f>'Output - Jobs vs Yr (BAU)'!AH55</f>
        <v>71417.316584859771</v>
      </c>
      <c r="AI177" s="1"/>
    </row>
    <row r="178" spans="1:35">
      <c r="A178" s="76" t="s">
        <v>301</v>
      </c>
      <c r="C178" s="334">
        <f>'Output - Jobs vs Yr (BAU)'!C73</f>
        <v>41097.160080000001</v>
      </c>
      <c r="D178" s="334">
        <f>'Output - Jobs vs Yr (BAU)'!D73</f>
        <v>42994.144079999998</v>
      </c>
      <c r="E178" s="334">
        <f>'Output - Jobs vs Yr (BAU)'!E73</f>
        <v>43666.794463509825</v>
      </c>
      <c r="F178" s="334">
        <f>'Output - Jobs vs Yr (BAU)'!F73</f>
        <v>45861.610355641649</v>
      </c>
      <c r="G178" s="334">
        <f>'Output - Jobs vs Yr (BAU)'!G73</f>
        <v>44564.393436899918</v>
      </c>
      <c r="H178" s="404">
        <f>'Output - Jobs vs Yr (BAU)'!H73</f>
        <v>44140.223926283448</v>
      </c>
      <c r="I178" s="19">
        <f>'Output - Jobs vs Yr (BAU)'!I73</f>
        <v>46716.19785900641</v>
      </c>
      <c r="J178" s="19">
        <f>'Output - Jobs vs Yr (BAU)'!J73</f>
        <v>49520.720959311853</v>
      </c>
      <c r="K178" s="19">
        <f>'Output - Jobs vs Yr (BAU)'!K73</f>
        <v>49358.881325782764</v>
      </c>
      <c r="L178" s="19">
        <f>'Output - Jobs vs Yr (BAU)'!L73</f>
        <v>49505.403077233277</v>
      </c>
      <c r="M178" s="19">
        <f>'Output - Jobs vs Yr (BAU)'!M73</f>
        <v>50039.308073788765</v>
      </c>
      <c r="N178" s="182">
        <f>'Output - Jobs vs Yr (BAU)'!N73</f>
        <v>50725.842777508646</v>
      </c>
      <c r="O178" s="19">
        <f>'Output - Jobs vs Yr (BAU)'!O73</f>
        <v>51240.185720694048</v>
      </c>
      <c r="P178" s="19">
        <f>'Output - Jobs vs Yr (BAU)'!P73</f>
        <v>51891.621420254087</v>
      </c>
      <c r="Q178" s="19">
        <f>'Output - Jobs vs Yr (BAU)'!Q73</f>
        <v>52898.736729986224</v>
      </c>
      <c r="R178" s="19">
        <f>'Output - Jobs vs Yr (BAU)'!R73</f>
        <v>53713.987446540261</v>
      </c>
      <c r="S178" s="19">
        <f>'Output - Jobs vs Yr (BAU)'!S73</f>
        <v>54288.243276517445</v>
      </c>
      <c r="T178" s="19">
        <f>'Output - Jobs vs Yr (BAU)'!T73</f>
        <v>54816.266402468827</v>
      </c>
      <c r="U178" s="19">
        <f>'Output - Jobs vs Yr (BAU)'!U73</f>
        <v>55370.532826786541</v>
      </c>
      <c r="V178" s="19">
        <f>'Output - Jobs vs Yr (BAU)'!V73</f>
        <v>56022.039206135029</v>
      </c>
      <c r="W178" s="19">
        <f>'Output - Jobs vs Yr (BAU)'!W73</f>
        <v>56439.358732511711</v>
      </c>
      <c r="X178" s="182">
        <f>'Output - Jobs vs Yr (BAU)'!X73</f>
        <v>57098.853592617583</v>
      </c>
      <c r="Y178" s="206">
        <f>'Output - Jobs vs Yr (BAU)'!Y73</f>
        <v>57508.374682281021</v>
      </c>
      <c r="Z178" s="206">
        <f>'Output - Jobs vs Yr (BAU)'!Z73</f>
        <v>58049.468490960782</v>
      </c>
      <c r="AA178" s="206">
        <f>'Output - Jobs vs Yr (BAU)'!AA73</f>
        <v>58507.147716613064</v>
      </c>
      <c r="AB178" s="206">
        <f>'Output - Jobs vs Yr (BAU)'!AB73</f>
        <v>59075.768464053675</v>
      </c>
      <c r="AC178" s="206">
        <f>'Output - Jobs vs Yr (BAU)'!AC73</f>
        <v>59816.986493085518</v>
      </c>
      <c r="AD178" s="206">
        <f>'Output - Jobs vs Yr (BAU)'!AD73</f>
        <v>60507.058934189881</v>
      </c>
      <c r="AE178" s="206">
        <f>'Output - Jobs vs Yr (BAU)'!AE73</f>
        <v>61491.896850740814</v>
      </c>
      <c r="AF178" s="206">
        <f>'Output - Jobs vs Yr (BAU)'!AF73</f>
        <v>62544.111114306448</v>
      </c>
      <c r="AG178" s="206">
        <f>'Output - Jobs vs Yr (BAU)'!AG73</f>
        <v>63458.858638810249</v>
      </c>
      <c r="AH178" s="182">
        <f>'Output - Jobs vs Yr (BAU)'!AH73</f>
        <v>64275.584926373791</v>
      </c>
      <c r="AI178" s="80" t="s">
        <v>0</v>
      </c>
    </row>
    <row r="179" spans="1:35">
      <c r="A179" s="75" t="s">
        <v>298</v>
      </c>
      <c r="C179" s="331">
        <f>SUM(C118,C145)</f>
        <v>86767.150009999983</v>
      </c>
      <c r="D179" s="331">
        <f t="shared" ref="D179:AH179" si="99">SUM(D118,D145)+D249+D252</f>
        <v>90867.287306055514</v>
      </c>
      <c r="E179" s="331">
        <f t="shared" si="99"/>
        <v>92258.376913655899</v>
      </c>
      <c r="F179" s="331">
        <f t="shared" si="99"/>
        <v>97072.591437058843</v>
      </c>
      <c r="G179" s="331">
        <f t="shared" si="99"/>
        <v>94250.784883928602</v>
      </c>
      <c r="H179" s="402">
        <f>SUM(H118,H145)+H249+H252</f>
        <v>93231.782022709522</v>
      </c>
      <c r="I179" s="14">
        <f t="shared" si="99"/>
        <v>98739.665111717331</v>
      </c>
      <c r="J179" s="14">
        <f t="shared" si="99"/>
        <v>104708.27876481993</v>
      </c>
      <c r="K179" s="14">
        <f t="shared" si="99"/>
        <v>104255.40814814309</v>
      </c>
      <c r="L179" s="14">
        <f t="shared" si="99"/>
        <v>104508.98131507081</v>
      </c>
      <c r="M179" s="14">
        <f t="shared" si="99"/>
        <v>105852.03400224326</v>
      </c>
      <c r="N179" s="187">
        <f t="shared" si="99"/>
        <v>107917.38346506034</v>
      </c>
      <c r="O179" s="14">
        <f t="shared" si="99"/>
        <v>109177.39932893863</v>
      </c>
      <c r="P179" s="14">
        <f t="shared" si="99"/>
        <v>110759.56877571202</v>
      </c>
      <c r="Q179" s="14">
        <f t="shared" si="99"/>
        <v>113151.34700547841</v>
      </c>
      <c r="R179" s="14">
        <f t="shared" si="99"/>
        <v>115091.38961592541</v>
      </c>
      <c r="S179" s="14">
        <f t="shared" si="99"/>
        <v>116498.08124480743</v>
      </c>
      <c r="T179" s="14">
        <f t="shared" si="99"/>
        <v>117833.34460803632</v>
      </c>
      <c r="U179" s="14">
        <f t="shared" si="99"/>
        <v>119229.23120611759</v>
      </c>
      <c r="V179" s="14">
        <f t="shared" si="99"/>
        <v>120852.539203294</v>
      </c>
      <c r="W179" s="14">
        <f t="shared" si="99"/>
        <v>121923.34079554924</v>
      </c>
      <c r="X179" s="187">
        <f t="shared" si="99"/>
        <v>122244.01875316408</v>
      </c>
      <c r="Y179" s="158">
        <f t="shared" si="99"/>
        <v>124720.92490142919</v>
      </c>
      <c r="Z179" s="158">
        <f t="shared" si="99"/>
        <v>126172.43884966694</v>
      </c>
      <c r="AA179" s="158">
        <f t="shared" si="99"/>
        <v>127424.10407121488</v>
      </c>
      <c r="AB179" s="158">
        <f t="shared" si="99"/>
        <v>128954.1881618912</v>
      </c>
      <c r="AC179" s="158">
        <f t="shared" si="99"/>
        <v>130924.65623224793</v>
      </c>
      <c r="AD179" s="158">
        <f t="shared" si="99"/>
        <v>132775.75622507659</v>
      </c>
      <c r="AE179" s="158">
        <f t="shared" si="99"/>
        <v>135292.90423662955</v>
      </c>
      <c r="AF179" s="158">
        <f t="shared" si="99"/>
        <v>138002.60486302353</v>
      </c>
      <c r="AG179" s="158">
        <f t="shared" si="99"/>
        <v>140390.83851264333</v>
      </c>
      <c r="AH179" s="187">
        <f t="shared" si="99"/>
        <v>137630.5122433583</v>
      </c>
    </row>
    <row r="180" spans="1:35">
      <c r="A180" s="76" t="s">
        <v>302</v>
      </c>
      <c r="C180" s="331">
        <f>C118</f>
        <v>45666.92119999999</v>
      </c>
      <c r="D180" s="331">
        <f t="shared" ref="D180:AH180" si="100">D118+D250+D253</f>
        <v>47824.888202935377</v>
      </c>
      <c r="E180" s="331">
        <f t="shared" si="100"/>
        <v>48557.040629791038</v>
      </c>
      <c r="F180" s="331">
        <f t="shared" si="100"/>
        <v>51090.837754166729</v>
      </c>
      <c r="G180" s="331">
        <f t="shared" si="100"/>
        <v>49605.676404358179</v>
      </c>
      <c r="H180" s="402">
        <f t="shared" si="100"/>
        <v>49069.35910142606</v>
      </c>
      <c r="I180" s="14">
        <f t="shared" si="100"/>
        <v>51968.244944001592</v>
      </c>
      <c r="J180" s="14">
        <f t="shared" si="100"/>
        <v>55109.620558271483</v>
      </c>
      <c r="K180" s="14">
        <f t="shared" si="100"/>
        <v>54871.267600900748</v>
      </c>
      <c r="L180" s="14">
        <f t="shared" si="100"/>
        <v>55004.727162409821</v>
      </c>
      <c r="M180" s="14">
        <f t="shared" si="100"/>
        <v>55711.596999143083</v>
      </c>
      <c r="N180" s="187">
        <f t="shared" si="100"/>
        <v>56798.623034069053</v>
      </c>
      <c r="O180" s="14">
        <f t="shared" si="100"/>
        <v>57461.789283438891</v>
      </c>
      <c r="P180" s="14">
        <f t="shared" si="100"/>
        <v>58294.510050757315</v>
      </c>
      <c r="Q180" s="14">
        <f t="shared" si="100"/>
        <v>59553.340705280672</v>
      </c>
      <c r="R180" s="14">
        <f t="shared" si="100"/>
        <v>60574.415770203705</v>
      </c>
      <c r="S180" s="14">
        <f t="shared" si="100"/>
        <v>61314.779791351728</v>
      </c>
      <c r="T180" s="14">
        <f t="shared" si="100"/>
        <v>62017.549988459883</v>
      </c>
      <c r="U180" s="14">
        <f t="shared" si="100"/>
        <v>62752.227151478597</v>
      </c>
      <c r="V180" s="14">
        <f t="shared" si="100"/>
        <v>63606.599788158535</v>
      </c>
      <c r="W180" s="14">
        <f t="shared" si="100"/>
        <v>64170.17957919844</v>
      </c>
      <c r="X180" s="187">
        <f t="shared" si="100"/>
        <v>64338.95745848518</v>
      </c>
      <c r="Y180" s="158">
        <f t="shared" si="100"/>
        <v>65642.592280777972</v>
      </c>
      <c r="Z180" s="158">
        <f t="shared" si="100"/>
        <v>66406.546998589503</v>
      </c>
      <c r="AA180" s="158">
        <f t="shared" si="100"/>
        <v>67065.318175874461</v>
      </c>
      <c r="AB180" s="158">
        <f t="shared" si="100"/>
        <v>67870.62560083995</v>
      </c>
      <c r="AC180" s="158">
        <f t="shared" si="100"/>
        <v>68907.714068910427</v>
      </c>
      <c r="AD180" s="158">
        <f t="shared" si="100"/>
        <v>69881.977233061087</v>
      </c>
      <c r="AE180" s="158">
        <f t="shared" si="100"/>
        <v>71206.791987792079</v>
      </c>
      <c r="AF180" s="158">
        <f t="shared" si="100"/>
        <v>72632.950224843138</v>
      </c>
      <c r="AG180" s="158">
        <f t="shared" si="100"/>
        <v>73889.915315902501</v>
      </c>
      <c r="AH180" s="187">
        <f t="shared" si="100"/>
        <v>72437.112028417279</v>
      </c>
    </row>
    <row r="181" spans="1:35">
      <c r="A181" s="76" t="s">
        <v>303</v>
      </c>
      <c r="C181" s="331">
        <f>C145</f>
        <v>41100.228809999993</v>
      </c>
      <c r="D181" s="331">
        <f t="shared" ref="D181:AH181" si="101">D145+D251+D254</f>
        <v>43042.399103120129</v>
      </c>
      <c r="E181" s="331">
        <f t="shared" si="101"/>
        <v>43701.336283864861</v>
      </c>
      <c r="F181" s="331">
        <f t="shared" si="101"/>
        <v>45981.753682892122</v>
      </c>
      <c r="G181" s="331">
        <f t="shared" si="101"/>
        <v>44645.108479570423</v>
      </c>
      <c r="H181" s="402">
        <f>H145+H251+H254</f>
        <v>44162.422921283454</v>
      </c>
      <c r="I181" s="14">
        <f t="shared" si="101"/>
        <v>46771.420167715733</v>
      </c>
      <c r="J181" s="14">
        <f t="shared" si="101"/>
        <v>49598.658206548454</v>
      </c>
      <c r="K181" s="14">
        <f t="shared" si="101"/>
        <v>49384.140547242336</v>
      </c>
      <c r="L181" s="14">
        <f t="shared" si="101"/>
        <v>49504.254152660986</v>
      </c>
      <c r="M181" s="14">
        <f t="shared" si="101"/>
        <v>50140.437003100182</v>
      </c>
      <c r="N181" s="187">
        <f t="shared" si="101"/>
        <v>51118.760430991286</v>
      </c>
      <c r="O181" s="14">
        <f t="shared" si="101"/>
        <v>51715.610045499743</v>
      </c>
      <c r="P181" s="14">
        <f t="shared" si="101"/>
        <v>52465.058724954695</v>
      </c>
      <c r="Q181" s="14">
        <f t="shared" si="101"/>
        <v>53598.00630019774</v>
      </c>
      <c r="R181" s="14">
        <f t="shared" si="101"/>
        <v>54516.97384572171</v>
      </c>
      <c r="S181" s="14">
        <f t="shared" si="101"/>
        <v>55183.301453455693</v>
      </c>
      <c r="T181" s="14">
        <f t="shared" si="101"/>
        <v>55815.794619576438</v>
      </c>
      <c r="U181" s="14">
        <f t="shared" si="101"/>
        <v>56477.004054638994</v>
      </c>
      <c r="V181" s="14">
        <f t="shared" si="101"/>
        <v>57245.939415135465</v>
      </c>
      <c r="W181" s="14">
        <f t="shared" si="101"/>
        <v>57753.161216350803</v>
      </c>
      <c r="X181" s="187">
        <f t="shared" si="101"/>
        <v>57905.061294678904</v>
      </c>
      <c r="Y181" s="158">
        <f t="shared" si="101"/>
        <v>59078.332620651214</v>
      </c>
      <c r="Z181" s="158">
        <f t="shared" si="101"/>
        <v>59765.891851077438</v>
      </c>
      <c r="AA181" s="158">
        <f t="shared" si="101"/>
        <v>60358.785895340428</v>
      </c>
      <c r="AB181" s="158">
        <f t="shared" si="101"/>
        <v>61083.562561051251</v>
      </c>
      <c r="AC181" s="158">
        <f t="shared" si="101"/>
        <v>62016.942163337502</v>
      </c>
      <c r="AD181" s="158">
        <f t="shared" si="101"/>
        <v>62893.778992015505</v>
      </c>
      <c r="AE181" s="158">
        <f t="shared" si="101"/>
        <v>64086.112248837453</v>
      </c>
      <c r="AF181" s="158">
        <f t="shared" si="101"/>
        <v>65369.654638180386</v>
      </c>
      <c r="AG181" s="158">
        <f t="shared" si="101"/>
        <v>66500.923196740827</v>
      </c>
      <c r="AH181" s="187">
        <f t="shared" si="101"/>
        <v>65193.400214941015</v>
      </c>
      <c r="AI181" s="31" t="s">
        <v>0</v>
      </c>
    </row>
    <row r="182" spans="1:35" s="1" customFormat="1">
      <c r="A182" s="75" t="s">
        <v>304</v>
      </c>
      <c r="B182" s="13"/>
      <c r="C182" s="341" t="s">
        <v>0</v>
      </c>
      <c r="D182" s="341">
        <f t="shared" ref="D182:AH182" si="102">D179-D176</f>
        <v>101.87202605551283</v>
      </c>
      <c r="E182" s="341">
        <f t="shared" si="102"/>
        <v>72.921935135149397</v>
      </c>
      <c r="F182" s="341">
        <f t="shared" si="102"/>
        <v>253.63624181535852</v>
      </c>
      <c r="G182" s="341">
        <f t="shared" si="102"/>
        <v>170.39873936210643</v>
      </c>
      <c r="H182" s="405">
        <f>H179-H176</f>
        <v>46.864845000018249</v>
      </c>
      <c r="I182" s="15">
        <f t="shared" si="102"/>
        <v>116.58074270379439</v>
      </c>
      <c r="J182" s="15">
        <f t="shared" si="102"/>
        <v>164.53451738379954</v>
      </c>
      <c r="K182" s="15">
        <f t="shared" si="102"/>
        <v>53.325349268357968</v>
      </c>
      <c r="L182" s="15">
        <f t="shared" si="102"/>
        <v>-2.4251813105511246</v>
      </c>
      <c r="M182" s="15">
        <f t="shared" si="102"/>
        <v>213.49473535586731</v>
      </c>
      <c r="N182" s="190">
        <f t="shared" si="102"/>
        <v>829.49315698652936</v>
      </c>
      <c r="O182" s="15">
        <f t="shared" si="102"/>
        <v>1003.6739185845217</v>
      </c>
      <c r="P182" s="15">
        <f t="shared" si="102"/>
        <v>1210.5902218422852</v>
      </c>
      <c r="Q182" s="15">
        <f t="shared" si="102"/>
        <v>1476.2361310630513</v>
      </c>
      <c r="R182" s="15">
        <f t="shared" si="102"/>
        <v>1695.1938954515208</v>
      </c>
      <c r="S182" s="15">
        <f t="shared" si="102"/>
        <v>1889.5676610483788</v>
      </c>
      <c r="T182" s="15">
        <f t="shared" si="102"/>
        <v>2110.1155361576821</v>
      </c>
      <c r="U182" s="15">
        <f t="shared" si="102"/>
        <v>2335.8841273459984</v>
      </c>
      <c r="V182" s="15">
        <f t="shared" si="102"/>
        <v>2583.7897681200411</v>
      </c>
      <c r="W182" s="15">
        <f t="shared" si="102"/>
        <v>2773.5834713578515</v>
      </c>
      <c r="X182" s="190">
        <f t="shared" si="102"/>
        <v>1701.9945020825107</v>
      </c>
      <c r="Y182" s="130">
        <f t="shared" si="102"/>
        <v>3314.3561277248082</v>
      </c>
      <c r="Z182" s="130">
        <f t="shared" si="102"/>
        <v>3623.5609243052895</v>
      </c>
      <c r="AA182" s="130">
        <f t="shared" si="102"/>
        <v>3909.0144472539832</v>
      </c>
      <c r="AB182" s="130">
        <f t="shared" si="102"/>
        <v>4238.6769600000989</v>
      </c>
      <c r="AC182" s="130">
        <f t="shared" si="102"/>
        <v>4644.3514135118312</v>
      </c>
      <c r="AD182" s="130">
        <f t="shared" si="102"/>
        <v>5038.6318084535305</v>
      </c>
      <c r="AE182" s="130">
        <f t="shared" si="102"/>
        <v>5476.6775517322676</v>
      </c>
      <c r="AF182" s="130">
        <f t="shared" si="102"/>
        <v>5965.036955043237</v>
      </c>
      <c r="AG182" s="130">
        <f t="shared" si="102"/>
        <v>6422.1369418216927</v>
      </c>
      <c r="AH182" s="190">
        <f t="shared" si="102"/>
        <v>1937.61073212474</v>
      </c>
    </row>
    <row r="183" spans="1:35" s="20" customFormat="1">
      <c r="A183" s="20" t="s">
        <v>305</v>
      </c>
      <c r="B183" s="33"/>
      <c r="C183" s="334" t="s">
        <v>0</v>
      </c>
      <c r="D183" s="334">
        <f t="shared" ref="D183:AH183" si="103">D180-D177</f>
        <v>53.61700293537433</v>
      </c>
      <c r="E183" s="334">
        <f t="shared" si="103"/>
        <v>38.380114780113217</v>
      </c>
      <c r="F183" s="334">
        <f t="shared" si="103"/>
        <v>133.492914564893</v>
      </c>
      <c r="G183" s="334">
        <f t="shared" si="103"/>
        <v>89.683696691601654</v>
      </c>
      <c r="H183" s="404">
        <f>H180-H177</f>
        <v>24.665850000004866</v>
      </c>
      <c r="I183" s="19">
        <f t="shared" si="103"/>
        <v>61.358433994464576</v>
      </c>
      <c r="J183" s="19">
        <f t="shared" si="103"/>
        <v>86.597270147205563</v>
      </c>
      <c r="K183" s="19">
        <f t="shared" si="103"/>
        <v>28.066127808786405</v>
      </c>
      <c r="L183" s="19">
        <f t="shared" si="103"/>
        <v>-1.2762567382596899</v>
      </c>
      <c r="M183" s="19">
        <f t="shared" si="103"/>
        <v>112.36580604445044</v>
      </c>
      <c r="N183" s="182">
        <f t="shared" si="103"/>
        <v>436.57550350388919</v>
      </c>
      <c r="O183" s="19">
        <f t="shared" si="103"/>
        <v>528.24959377883351</v>
      </c>
      <c r="P183" s="19">
        <f t="shared" si="103"/>
        <v>637.1529171416696</v>
      </c>
      <c r="Q183" s="19">
        <f t="shared" si="103"/>
        <v>776.96656085153518</v>
      </c>
      <c r="R183" s="19">
        <f t="shared" si="103"/>
        <v>892.20749627008627</v>
      </c>
      <c r="S183" s="19">
        <f t="shared" si="103"/>
        <v>994.50948411012359</v>
      </c>
      <c r="T183" s="19">
        <f t="shared" si="103"/>
        <v>1110.5873190500715</v>
      </c>
      <c r="U183" s="19">
        <f t="shared" si="103"/>
        <v>1229.4128994935454</v>
      </c>
      <c r="V183" s="19">
        <f t="shared" si="103"/>
        <v>1359.8895591196124</v>
      </c>
      <c r="W183" s="19">
        <f t="shared" si="103"/>
        <v>1459.7809875187595</v>
      </c>
      <c r="X183" s="182">
        <f t="shared" si="103"/>
        <v>895.78680002118926</v>
      </c>
      <c r="Y183" s="206">
        <f t="shared" si="103"/>
        <v>1744.3981893546152</v>
      </c>
      <c r="Z183" s="206">
        <f t="shared" si="103"/>
        <v>1907.1375641886334</v>
      </c>
      <c r="AA183" s="206">
        <f t="shared" si="103"/>
        <v>2057.3762685266192</v>
      </c>
      <c r="AB183" s="206">
        <f t="shared" si="103"/>
        <v>2230.8828630025237</v>
      </c>
      <c r="AC183" s="206">
        <f t="shared" si="103"/>
        <v>2444.3957432598545</v>
      </c>
      <c r="AD183" s="206">
        <f t="shared" si="103"/>
        <v>2651.9117506278999</v>
      </c>
      <c r="AE183" s="206">
        <f t="shared" si="103"/>
        <v>2882.4621536356135</v>
      </c>
      <c r="AF183" s="206">
        <f t="shared" si="103"/>
        <v>3139.4934311693069</v>
      </c>
      <c r="AG183" s="206">
        <f t="shared" si="103"/>
        <v>3380.0723838911217</v>
      </c>
      <c r="AH183" s="182">
        <f t="shared" si="103"/>
        <v>1019.7954435575084</v>
      </c>
    </row>
    <row r="184" spans="1:35" s="20" customFormat="1">
      <c r="A184" s="20" t="s">
        <v>306</v>
      </c>
      <c r="B184" s="33"/>
      <c r="C184" s="334" t="s">
        <v>0</v>
      </c>
      <c r="D184" s="334">
        <f t="shared" ref="D184:AH184" si="104">D181-D178</f>
        <v>48.255023120131227</v>
      </c>
      <c r="E184" s="334">
        <f t="shared" si="104"/>
        <v>34.54182035503618</v>
      </c>
      <c r="F184" s="334">
        <f t="shared" si="104"/>
        <v>120.14332725047279</v>
      </c>
      <c r="G184" s="334">
        <f t="shared" si="104"/>
        <v>80.715042670504772</v>
      </c>
      <c r="H184" s="404">
        <f t="shared" si="104"/>
        <v>22.198995000006107</v>
      </c>
      <c r="I184" s="19">
        <f t="shared" si="104"/>
        <v>55.222308709322533</v>
      </c>
      <c r="J184" s="19">
        <f t="shared" si="104"/>
        <v>77.937247236601252</v>
      </c>
      <c r="K184" s="19">
        <f t="shared" si="104"/>
        <v>25.259221459571563</v>
      </c>
      <c r="L184" s="19">
        <f t="shared" si="104"/>
        <v>-1.1489245722914347</v>
      </c>
      <c r="M184" s="19">
        <f t="shared" si="104"/>
        <v>101.12892931141687</v>
      </c>
      <c r="N184" s="182">
        <f t="shared" si="104"/>
        <v>392.91765348264016</v>
      </c>
      <c r="O184" s="19">
        <f t="shared" si="104"/>
        <v>475.42432480569551</v>
      </c>
      <c r="P184" s="19">
        <f t="shared" si="104"/>
        <v>573.43730470060837</v>
      </c>
      <c r="Q184" s="19">
        <f t="shared" si="104"/>
        <v>699.26957021151611</v>
      </c>
      <c r="R184" s="19">
        <f t="shared" si="104"/>
        <v>802.98639918144909</v>
      </c>
      <c r="S184" s="19">
        <f t="shared" si="104"/>
        <v>895.05817693824793</v>
      </c>
      <c r="T184" s="19">
        <f t="shared" si="104"/>
        <v>999.52821710761054</v>
      </c>
      <c r="U184" s="19">
        <f t="shared" si="104"/>
        <v>1106.471227852453</v>
      </c>
      <c r="V184" s="19">
        <f t="shared" si="104"/>
        <v>1223.900209000436</v>
      </c>
      <c r="W184" s="19">
        <f t="shared" si="104"/>
        <v>1313.802483839092</v>
      </c>
      <c r="X184" s="182">
        <f t="shared" si="104"/>
        <v>806.20770206132147</v>
      </c>
      <c r="Y184" s="206">
        <f t="shared" si="104"/>
        <v>1569.957938370193</v>
      </c>
      <c r="Z184" s="206">
        <f t="shared" si="104"/>
        <v>1716.4233601166561</v>
      </c>
      <c r="AA184" s="206">
        <f t="shared" si="104"/>
        <v>1851.638178727364</v>
      </c>
      <c r="AB184" s="206">
        <f t="shared" si="104"/>
        <v>2007.7940969975753</v>
      </c>
      <c r="AC184" s="206">
        <f t="shared" si="104"/>
        <v>2199.955670251984</v>
      </c>
      <c r="AD184" s="206">
        <f t="shared" si="104"/>
        <v>2386.7200578256234</v>
      </c>
      <c r="AE184" s="206">
        <f t="shared" si="104"/>
        <v>2594.2153980966395</v>
      </c>
      <c r="AF184" s="206">
        <f t="shared" si="104"/>
        <v>2825.5435238739374</v>
      </c>
      <c r="AG184" s="206">
        <f t="shared" si="104"/>
        <v>3042.0645579305783</v>
      </c>
      <c r="AH184" s="182">
        <f t="shared" si="104"/>
        <v>917.81528856722434</v>
      </c>
    </row>
    <row r="185" spans="1:35" s="1" customFormat="1">
      <c r="A185" s="1" t="s">
        <v>450</v>
      </c>
      <c r="B185" s="13"/>
      <c r="C185" s="341"/>
      <c r="D185" s="341">
        <f>D182</f>
        <v>101.87202605551283</v>
      </c>
      <c r="E185" s="341">
        <f>D185+E182</f>
        <v>174.79396119066223</v>
      </c>
      <c r="F185" s="341">
        <f>E185+F182</f>
        <v>428.43020300602075</v>
      </c>
      <c r="G185" s="341">
        <f t="shared" ref="E185:N187" si="105">F185+G182</f>
        <v>598.82894236812717</v>
      </c>
      <c r="H185" s="405">
        <f>H182</f>
        <v>46.864845000018249</v>
      </c>
      <c r="I185" s="15">
        <f t="shared" si="105"/>
        <v>163.44558770381263</v>
      </c>
      <c r="J185" s="15">
        <f t="shared" si="105"/>
        <v>327.98010508761217</v>
      </c>
      <c r="K185" s="15">
        <f t="shared" si="105"/>
        <v>381.30545435597014</v>
      </c>
      <c r="L185" s="15">
        <f t="shared" si="105"/>
        <v>378.88027304541902</v>
      </c>
      <c r="M185" s="15">
        <f t="shared" si="105"/>
        <v>592.37500840128632</v>
      </c>
      <c r="N185" s="15">
        <f t="shared" si="105"/>
        <v>1421.8681653878157</v>
      </c>
      <c r="O185" s="15">
        <f t="shared" ref="O185:X185" si="106">N185+O182</f>
        <v>2425.5420839723374</v>
      </c>
      <c r="P185" s="15">
        <f t="shared" si="106"/>
        <v>3636.1323058146227</v>
      </c>
      <c r="Q185" s="15">
        <f t="shared" si="106"/>
        <v>5112.368436877674</v>
      </c>
      <c r="R185" s="15">
        <f t="shared" si="106"/>
        <v>6807.5623323291948</v>
      </c>
      <c r="S185" s="130">
        <f t="shared" si="106"/>
        <v>8697.1299933775736</v>
      </c>
      <c r="T185" s="15">
        <f t="shared" si="106"/>
        <v>10807.245529535256</v>
      </c>
      <c r="U185" s="15">
        <f t="shared" si="106"/>
        <v>13143.129656881254</v>
      </c>
      <c r="V185" s="15">
        <f t="shared" si="106"/>
        <v>15726.919425001295</v>
      </c>
      <c r="W185" s="15">
        <f t="shared" si="106"/>
        <v>18500.502896359147</v>
      </c>
      <c r="X185" s="190">
        <f t="shared" si="106"/>
        <v>20202.497398441657</v>
      </c>
      <c r="Y185" s="130">
        <f t="shared" ref="Y185:AH185" si="107">X185+Y182</f>
        <v>23516.853526166466</v>
      </c>
      <c r="Z185" s="130">
        <f t="shared" si="107"/>
        <v>27140.414450471755</v>
      </c>
      <c r="AA185" s="130">
        <f t="shared" si="107"/>
        <v>31049.428897725738</v>
      </c>
      <c r="AB185" s="130">
        <f t="shared" si="107"/>
        <v>35288.105857725837</v>
      </c>
      <c r="AC185" s="130">
        <f t="shared" si="107"/>
        <v>39932.457271237668</v>
      </c>
      <c r="AD185" s="130">
        <f t="shared" si="107"/>
        <v>44971.089079691199</v>
      </c>
      <c r="AE185" s="130">
        <f t="shared" si="107"/>
        <v>50447.766631423467</v>
      </c>
      <c r="AF185" s="130">
        <f t="shared" si="107"/>
        <v>56412.803586466704</v>
      </c>
      <c r="AG185" s="130">
        <f t="shared" si="107"/>
        <v>62834.940528288396</v>
      </c>
      <c r="AH185" s="190">
        <f t="shared" si="107"/>
        <v>64772.551260413136</v>
      </c>
    </row>
    <row r="186" spans="1:35" s="20" customFormat="1">
      <c r="A186" s="20" t="s">
        <v>451</v>
      </c>
      <c r="B186" s="33"/>
      <c r="C186" s="334"/>
      <c r="D186" s="334">
        <f>D183</f>
        <v>53.61700293537433</v>
      </c>
      <c r="E186" s="334">
        <f t="shared" si="105"/>
        <v>91.997117715487548</v>
      </c>
      <c r="F186" s="334">
        <f t="shared" si="105"/>
        <v>225.49003228038055</v>
      </c>
      <c r="G186" s="334">
        <f t="shared" si="105"/>
        <v>315.1737289719822</v>
      </c>
      <c r="H186" s="404">
        <f t="shared" si="105"/>
        <v>339.83957897198707</v>
      </c>
      <c r="I186" s="19">
        <f t="shared" ref="I186:X186" si="108">H186+I183</f>
        <v>401.19801296645164</v>
      </c>
      <c r="J186" s="19">
        <f t="shared" si="108"/>
        <v>487.79528311365721</v>
      </c>
      <c r="K186" s="19">
        <f t="shared" si="108"/>
        <v>515.86141092244361</v>
      </c>
      <c r="L186" s="19">
        <f t="shared" si="108"/>
        <v>514.58515418418392</v>
      </c>
      <c r="M186" s="19">
        <f t="shared" si="108"/>
        <v>626.95096022863436</v>
      </c>
      <c r="N186" s="182">
        <f t="shared" si="108"/>
        <v>1063.5264637325236</v>
      </c>
      <c r="O186" s="19">
        <f t="shared" si="108"/>
        <v>1591.7760575113571</v>
      </c>
      <c r="P186" s="19">
        <f t="shared" si="108"/>
        <v>2228.9289746530267</v>
      </c>
      <c r="Q186" s="19">
        <f t="shared" si="108"/>
        <v>3005.8955355045618</v>
      </c>
      <c r="R186" s="19">
        <f t="shared" si="108"/>
        <v>3898.1030317746481</v>
      </c>
      <c r="S186" s="206">
        <f t="shared" si="108"/>
        <v>4892.6125158847717</v>
      </c>
      <c r="T186" s="19">
        <f t="shared" si="108"/>
        <v>6003.1998349348432</v>
      </c>
      <c r="U186" s="19">
        <f t="shared" si="108"/>
        <v>7232.6127344283886</v>
      </c>
      <c r="V186" s="19">
        <f t="shared" si="108"/>
        <v>8592.502293548001</v>
      </c>
      <c r="W186" s="19">
        <f t="shared" si="108"/>
        <v>10052.283281066761</v>
      </c>
      <c r="X186" s="182">
        <f t="shared" si="108"/>
        <v>10948.07008108795</v>
      </c>
      <c r="Y186" s="206">
        <f t="shared" ref="Y186:AH186" si="109">X186+Y183</f>
        <v>12692.468270442565</v>
      </c>
      <c r="Z186" s="206">
        <f t="shared" si="109"/>
        <v>14599.605834631198</v>
      </c>
      <c r="AA186" s="206">
        <f t="shared" si="109"/>
        <v>16656.982103157818</v>
      </c>
      <c r="AB186" s="206">
        <f t="shared" si="109"/>
        <v>18887.864966160341</v>
      </c>
      <c r="AC186" s="206">
        <f t="shared" si="109"/>
        <v>21332.260709420196</v>
      </c>
      <c r="AD186" s="206">
        <f t="shared" si="109"/>
        <v>23984.172460048096</v>
      </c>
      <c r="AE186" s="206">
        <f t="shared" si="109"/>
        <v>26866.634613683709</v>
      </c>
      <c r="AF186" s="206">
        <f t="shared" si="109"/>
        <v>30006.128044853016</v>
      </c>
      <c r="AG186" s="206">
        <f t="shared" si="109"/>
        <v>33386.200428744138</v>
      </c>
      <c r="AH186" s="182">
        <f t="shared" si="109"/>
        <v>34405.995872301646</v>
      </c>
    </row>
    <row r="187" spans="1:35" s="20" customFormat="1">
      <c r="A187" s="20" t="s">
        <v>452</v>
      </c>
      <c r="B187" s="33"/>
      <c r="C187" s="334"/>
      <c r="D187" s="334">
        <f>D184</f>
        <v>48.255023120131227</v>
      </c>
      <c r="E187" s="334">
        <f t="shared" si="105"/>
        <v>82.796843475167407</v>
      </c>
      <c r="F187" s="334">
        <f t="shared" si="105"/>
        <v>202.9401707256402</v>
      </c>
      <c r="G187" s="334">
        <f t="shared" si="105"/>
        <v>283.65521339614497</v>
      </c>
      <c r="H187" s="404">
        <f t="shared" si="105"/>
        <v>305.85420839615108</v>
      </c>
      <c r="I187" s="19">
        <f t="shared" ref="I187:X187" si="110">H187+I184</f>
        <v>361.07651710547361</v>
      </c>
      <c r="J187" s="19">
        <f t="shared" si="110"/>
        <v>439.01376434207486</v>
      </c>
      <c r="K187" s="19">
        <f t="shared" si="110"/>
        <v>464.27298580164643</v>
      </c>
      <c r="L187" s="19">
        <f t="shared" si="110"/>
        <v>463.12406122935499</v>
      </c>
      <c r="M187" s="19">
        <f t="shared" si="110"/>
        <v>564.25299054077186</v>
      </c>
      <c r="N187" s="182">
        <f t="shared" si="110"/>
        <v>957.17064402341202</v>
      </c>
      <c r="O187" s="19">
        <f t="shared" si="110"/>
        <v>1432.5949688291075</v>
      </c>
      <c r="P187" s="19">
        <f t="shared" si="110"/>
        <v>2006.0322735297159</v>
      </c>
      <c r="Q187" s="19">
        <f t="shared" si="110"/>
        <v>2705.301843741232</v>
      </c>
      <c r="R187" s="19">
        <f t="shared" si="110"/>
        <v>3508.2882429226811</v>
      </c>
      <c r="S187" s="206">
        <f t="shared" si="110"/>
        <v>4403.346419860929</v>
      </c>
      <c r="T187" s="19">
        <f t="shared" si="110"/>
        <v>5402.8746369685396</v>
      </c>
      <c r="U187" s="19">
        <f t="shared" si="110"/>
        <v>6509.3458648209926</v>
      </c>
      <c r="V187" s="19">
        <f t="shared" si="110"/>
        <v>7733.2460738214286</v>
      </c>
      <c r="W187" s="19">
        <f t="shared" si="110"/>
        <v>9047.0485576605206</v>
      </c>
      <c r="X187" s="182">
        <f t="shared" si="110"/>
        <v>9853.2562597218421</v>
      </c>
      <c r="Y187" s="206">
        <f t="shared" ref="Y187:AH187" si="111">X187+Y184</f>
        <v>11423.214198092035</v>
      </c>
      <c r="Z187" s="206">
        <f t="shared" si="111"/>
        <v>13139.637558208691</v>
      </c>
      <c r="AA187" s="206">
        <f t="shared" si="111"/>
        <v>14991.275736936055</v>
      </c>
      <c r="AB187" s="206">
        <f t="shared" si="111"/>
        <v>16999.06983393363</v>
      </c>
      <c r="AC187" s="206">
        <f t="shared" si="111"/>
        <v>19199.025504185614</v>
      </c>
      <c r="AD187" s="206">
        <f t="shared" si="111"/>
        <v>21585.745562011238</v>
      </c>
      <c r="AE187" s="206">
        <f t="shared" si="111"/>
        <v>24179.960960107877</v>
      </c>
      <c r="AF187" s="206">
        <f t="shared" si="111"/>
        <v>27005.504483981815</v>
      </c>
      <c r="AG187" s="206">
        <f t="shared" si="111"/>
        <v>30047.569041912393</v>
      </c>
      <c r="AH187" s="182">
        <f t="shared" si="111"/>
        <v>30965.384330479617</v>
      </c>
    </row>
    <row r="188" spans="1:35" s="519" customFormat="1">
      <c r="A188" s="519" t="s">
        <v>550</v>
      </c>
      <c r="B188" s="520"/>
      <c r="C188" s="521"/>
      <c r="D188"/>
      <c r="E188"/>
      <c r="F188"/>
      <c r="G188"/>
      <c r="H188"/>
      <c r="I188"/>
      <c r="J188"/>
      <c r="K188"/>
      <c r="L188"/>
      <c r="M188"/>
      <c r="N188"/>
      <c r="O188"/>
      <c r="P188"/>
      <c r="Q188"/>
      <c r="R188"/>
      <c r="S188"/>
      <c r="T188"/>
      <c r="U188"/>
      <c r="V188"/>
      <c r="W188"/>
      <c r="X188"/>
      <c r="Y188"/>
      <c r="Z188"/>
      <c r="AA188"/>
      <c r="AB188"/>
      <c r="AC188"/>
      <c r="AD188"/>
      <c r="AE188"/>
      <c r="AF188"/>
      <c r="AG188"/>
      <c r="AH188"/>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6840.78413</v>
      </c>
      <c r="D194" s="331">
        <f t="shared" ref="D194:AH194" si="112">SUM(D195:D196)</f>
        <v>8966.1431300000004</v>
      </c>
      <c r="E194" s="331">
        <f t="shared" si="112"/>
        <v>9507.2376750848744</v>
      </c>
      <c r="F194" s="331">
        <f t="shared" si="112"/>
        <v>10617.151860388491</v>
      </c>
      <c r="G194" s="331">
        <f t="shared" si="112"/>
        <v>11468.863656618607</v>
      </c>
      <c r="H194" s="402">
        <f t="shared" si="112"/>
        <v>11766.192578162636</v>
      </c>
      <c r="I194" s="14">
        <f t="shared" si="112"/>
        <v>14953.307307671592</v>
      </c>
      <c r="J194" s="14">
        <f t="shared" si="112"/>
        <v>17312.733962694409</v>
      </c>
      <c r="K194" s="14">
        <f t="shared" si="112"/>
        <v>17356.458228169184</v>
      </c>
      <c r="L194" s="14">
        <f t="shared" si="112"/>
        <v>17386.530249613985</v>
      </c>
      <c r="M194" s="14">
        <f t="shared" si="112"/>
        <v>17432.077633077482</v>
      </c>
      <c r="N194" s="187">
        <f t="shared" si="112"/>
        <v>17516.030516768726</v>
      </c>
      <c r="O194" s="14">
        <f t="shared" si="112"/>
        <v>17630.241188239892</v>
      </c>
      <c r="P194" s="14">
        <f t="shared" si="112"/>
        <v>17749.530915431053</v>
      </c>
      <c r="Q194" s="14">
        <f t="shared" si="112"/>
        <v>17926.010885099895</v>
      </c>
      <c r="R194" s="14">
        <f t="shared" si="112"/>
        <v>18091.036640448463</v>
      </c>
      <c r="S194" s="15">
        <f t="shared" si="112"/>
        <v>18375.866365068468</v>
      </c>
      <c r="T194" s="14">
        <f t="shared" si="112"/>
        <v>18630.876734729551</v>
      </c>
      <c r="U194" s="14">
        <f t="shared" si="112"/>
        <v>18935.897768391565</v>
      </c>
      <c r="V194" s="14">
        <f t="shared" si="112"/>
        <v>19309.27015874425</v>
      </c>
      <c r="W194" s="14">
        <f t="shared" si="112"/>
        <v>19824.637887027791</v>
      </c>
      <c r="X194" s="187">
        <f t="shared" si="112"/>
        <v>20295.279661626821</v>
      </c>
      <c r="Y194" s="158">
        <f t="shared" si="112"/>
        <v>20788.501055967987</v>
      </c>
      <c r="Z194" s="158">
        <f t="shared" si="112"/>
        <v>21294.430814017225</v>
      </c>
      <c r="AA194" s="158">
        <f t="shared" si="112"/>
        <v>21824.664151234596</v>
      </c>
      <c r="AB194" s="158">
        <f t="shared" si="112"/>
        <v>22404.939446769778</v>
      </c>
      <c r="AC194" s="158">
        <f t="shared" si="112"/>
        <v>22976.328836697248</v>
      </c>
      <c r="AD194" s="158">
        <f t="shared" si="112"/>
        <v>23548.090202530519</v>
      </c>
      <c r="AE194" s="158">
        <f t="shared" si="112"/>
        <v>24209.764417441525</v>
      </c>
      <c r="AF194" s="158">
        <f t="shared" si="112"/>
        <v>24856.249606049947</v>
      </c>
      <c r="AG194" s="158">
        <f t="shared" si="112"/>
        <v>25548.870378059804</v>
      </c>
      <c r="AH194" s="187">
        <f t="shared" si="112"/>
        <v>26310.057126487405</v>
      </c>
    </row>
    <row r="195" spans="1:34">
      <c r="A195" t="s">
        <v>389</v>
      </c>
      <c r="C195" s="330">
        <f>'Output - Jobs vs Yr (BAU)'!C51</f>
        <v>3600.4126999999999</v>
      </c>
      <c r="D195" s="330">
        <f>'Output - Jobs vs Yr (BAU)'!D51</f>
        <v>4719.0227000000004</v>
      </c>
      <c r="E195" s="330">
        <f>'Output - Jobs vs Yr (BAU)'!E51</f>
        <v>5003.8093026762499</v>
      </c>
      <c r="F195" s="330">
        <f>'Output - Jobs vs Yr (BAU)'!F51</f>
        <v>5587.9746633623627</v>
      </c>
      <c r="G195" s="330">
        <f>'Output - Jobs vs Yr (BAU)'!G51</f>
        <v>6036.2440297992671</v>
      </c>
      <c r="H195" s="286">
        <f>'Output - Jobs vs Yr (BAU)'!H51</f>
        <v>6192.7329358750712</v>
      </c>
      <c r="I195" s="118">
        <f>'Output - Jobs vs Yr (BAU)'!I51</f>
        <v>7870.1617408797847</v>
      </c>
      <c r="J195" s="118">
        <f>'Output - Jobs vs Yr (BAU)'!J51</f>
        <v>9111.9652435233729</v>
      </c>
      <c r="K195" s="118">
        <f>'Output - Jobs vs Yr (BAU)'!K51</f>
        <v>9134.9780148258851</v>
      </c>
      <c r="L195" s="118">
        <f>'Output - Jobs vs Yr (BAU)'!L51</f>
        <v>9150.805394533676</v>
      </c>
      <c r="M195" s="118">
        <f>'Output - Jobs vs Yr (BAU)'!M51</f>
        <v>9174.7777016197269</v>
      </c>
      <c r="N195" s="177">
        <f>'Output - Jobs vs Yr (BAU)'!N51</f>
        <v>9218.9634298782767</v>
      </c>
      <c r="O195" s="118">
        <f>'Output - Jobs vs Yr (BAU)'!O51</f>
        <v>9279.0743095999424</v>
      </c>
      <c r="P195" s="118">
        <f>'Output - Jobs vs Yr (BAU)'!P51</f>
        <v>9341.8583765426574</v>
      </c>
      <c r="Q195" s="118">
        <f>'Output - Jobs vs Yr (BAU)'!Q51</f>
        <v>9434.7425711052074</v>
      </c>
      <c r="R195" s="118">
        <f>'Output - Jobs vs Yr (BAU)'!R51</f>
        <v>9521.59823181498</v>
      </c>
      <c r="S195" s="118">
        <f>'Output - Jobs vs Yr (BAU)'!S51</f>
        <v>9671.5086131939297</v>
      </c>
      <c r="T195" s="118">
        <f>'Output - Jobs vs Yr (BAU)'!T51</f>
        <v>9805.7245972260789</v>
      </c>
      <c r="U195" s="118">
        <f>'Output - Jobs vs Yr (BAU)'!U51</f>
        <v>9966.2619833639819</v>
      </c>
      <c r="V195" s="118">
        <f>'Output - Jobs vs Yr (BAU)'!V51</f>
        <v>10162.773767760133</v>
      </c>
      <c r="W195" s="118">
        <f>'Output - Jobs vs Yr (BAU)'!W51</f>
        <v>10434.019940540944</v>
      </c>
      <c r="X195" s="184">
        <f>'Output - Jobs vs Yr (BAU)'!X51</f>
        <v>10681.726137698326</v>
      </c>
      <c r="Y195" s="271">
        <f>'Output - Jobs vs Yr (BAU)'!Y51</f>
        <v>10941.316345246309</v>
      </c>
      <c r="Z195" s="271">
        <f>'Output - Jobs vs Yr (BAU)'!Z51</f>
        <v>11207.595165272223</v>
      </c>
      <c r="AA195" s="271">
        <f>'Output - Jobs vs Yr (BAU)'!AA51</f>
        <v>11486.66534275505</v>
      </c>
      <c r="AB195" s="271">
        <f>'Output - Jobs vs Yr (BAU)'!AB51</f>
        <v>11792.073393036724</v>
      </c>
      <c r="AC195" s="271">
        <f>'Output - Jobs vs Yr (BAU)'!AC51</f>
        <v>12092.804650893289</v>
      </c>
      <c r="AD195" s="271">
        <f>'Output - Jobs vs Yr (BAU)'!AD51</f>
        <v>12393.731685542378</v>
      </c>
      <c r="AE195" s="271">
        <f>'Output - Jobs vs Yr (BAU)'!AE51</f>
        <v>12741.981272337645</v>
      </c>
      <c r="AF195" s="271">
        <f>'Output - Jobs vs Yr (BAU)'!AF51</f>
        <v>13082.23663476313</v>
      </c>
      <c r="AG195" s="271">
        <f>'Output - Jobs vs Yr (BAU)'!AG51</f>
        <v>13446.773883189371</v>
      </c>
      <c r="AH195" s="184">
        <f>'Output - Jobs vs Yr (BAU)'!AH51</f>
        <v>13847.398487624951</v>
      </c>
    </row>
    <row r="196" spans="1:34">
      <c r="A196" t="s">
        <v>390</v>
      </c>
      <c r="C196" s="330">
        <f>'Output - Jobs vs Yr (BAU)'!C69</f>
        <v>3240.3714300000001</v>
      </c>
      <c r="D196" s="330">
        <f>'Output - Jobs vs Yr (BAU)'!D69</f>
        <v>4247.1204299999999</v>
      </c>
      <c r="E196" s="330">
        <f>'Output - Jobs vs Yr (BAU)'!E69</f>
        <v>4503.4283724086245</v>
      </c>
      <c r="F196" s="330">
        <f>'Output - Jobs vs Yr (BAU)'!F69</f>
        <v>5029.177197026127</v>
      </c>
      <c r="G196" s="330">
        <f>'Output - Jobs vs Yr (BAU)'!G69</f>
        <v>5432.6196268193398</v>
      </c>
      <c r="H196" s="286">
        <f>'Output - Jobs vs Yr (BAU)'!H69</f>
        <v>5573.4596422875647</v>
      </c>
      <c r="I196" s="118">
        <f>'Output - Jobs vs Yr (BAU)'!I69</f>
        <v>7083.1455667918062</v>
      </c>
      <c r="J196" s="118">
        <f>'Output - Jobs vs Yr (BAU)'!J69</f>
        <v>8200.7687191710356</v>
      </c>
      <c r="K196" s="118">
        <f>'Output - Jobs vs Yr (BAU)'!K69</f>
        <v>8221.4802133432968</v>
      </c>
      <c r="L196" s="118">
        <f>'Output - Jobs vs Yr (BAU)'!L69</f>
        <v>8235.7248550803088</v>
      </c>
      <c r="M196" s="118">
        <f>'Output - Jobs vs Yr (BAU)'!M69</f>
        <v>8257.2999314577555</v>
      </c>
      <c r="N196" s="177">
        <f>'Output - Jobs vs Yr (BAU)'!N69</f>
        <v>8297.067086890449</v>
      </c>
      <c r="O196" s="118">
        <f>'Output - Jobs vs Yr (BAU)'!O69</f>
        <v>8351.1668786399496</v>
      </c>
      <c r="P196" s="118">
        <f>'Output - Jobs vs Yr (BAU)'!P69</f>
        <v>8407.6725388883933</v>
      </c>
      <c r="Q196" s="118">
        <f>'Output - Jobs vs Yr (BAU)'!Q69</f>
        <v>8491.2683139946876</v>
      </c>
      <c r="R196" s="118">
        <f>'Output - Jobs vs Yr (BAU)'!R69</f>
        <v>8569.438408633483</v>
      </c>
      <c r="S196" s="118">
        <f>'Output - Jobs vs Yr (BAU)'!S69</f>
        <v>8704.3577518745369</v>
      </c>
      <c r="T196" s="118">
        <f>'Output - Jobs vs Yr (BAU)'!T69</f>
        <v>8825.1521375034717</v>
      </c>
      <c r="U196" s="118">
        <f>'Output - Jobs vs Yr (BAU)'!U69</f>
        <v>8969.6357850275836</v>
      </c>
      <c r="V196" s="118">
        <f>'Output - Jobs vs Yr (BAU)'!V69</f>
        <v>9146.496390984119</v>
      </c>
      <c r="W196" s="118">
        <f>'Output - Jobs vs Yr (BAU)'!W69</f>
        <v>9390.6179464868492</v>
      </c>
      <c r="X196" s="184">
        <f>'Output - Jobs vs Yr (BAU)'!X69</f>
        <v>9613.5535239284945</v>
      </c>
      <c r="Y196" s="271">
        <f>'Output - Jobs vs Yr (BAU)'!Y69</f>
        <v>9847.1847107216781</v>
      </c>
      <c r="Z196" s="271">
        <f>'Output - Jobs vs Yr (BAU)'!Z69</f>
        <v>10086.835648745002</v>
      </c>
      <c r="AA196" s="271">
        <f>'Output - Jobs vs Yr (BAU)'!AA69</f>
        <v>10337.998808479544</v>
      </c>
      <c r="AB196" s="271">
        <f>'Output - Jobs vs Yr (BAU)'!AB69</f>
        <v>10612.866053733052</v>
      </c>
      <c r="AC196" s="271">
        <f>'Output - Jobs vs Yr (BAU)'!AC69</f>
        <v>10883.524185803959</v>
      </c>
      <c r="AD196" s="271">
        <f>'Output - Jobs vs Yr (BAU)'!AD69</f>
        <v>11154.358516988141</v>
      </c>
      <c r="AE196" s="271">
        <f>'Output - Jobs vs Yr (BAU)'!AE69</f>
        <v>11467.78314510388</v>
      </c>
      <c r="AF196" s="271">
        <f>'Output - Jobs vs Yr (BAU)'!AF69</f>
        <v>11774.012971286817</v>
      </c>
      <c r="AG196" s="271">
        <f>'Output - Jobs vs Yr (BAU)'!AG69</f>
        <v>12102.096494870433</v>
      </c>
      <c r="AH196" s="184">
        <f>'Output - Jobs vs Yr (BAU)'!AH69</f>
        <v>12462.658638862455</v>
      </c>
    </row>
    <row r="197" spans="1:34">
      <c r="A197" t="s">
        <v>391</v>
      </c>
      <c r="C197" s="331">
        <f>SUM(C198:C199)</f>
        <v>11331.730150000001</v>
      </c>
      <c r="D197" s="331">
        <f t="shared" ref="D197:AH197" si="113">SUM(D198:D199)</f>
        <v>11354.777150000002</v>
      </c>
      <c r="E197" s="331">
        <f t="shared" si="113"/>
        <v>11555.386095115071</v>
      </c>
      <c r="F197" s="331">
        <f t="shared" si="113"/>
        <v>11374.093641689375</v>
      </c>
      <c r="G197" s="331">
        <f t="shared" si="113"/>
        <v>11290.216489731767</v>
      </c>
      <c r="H197" s="402">
        <f t="shared" si="113"/>
        <v>11332.8902760488</v>
      </c>
      <c r="I197" s="14">
        <f t="shared" si="113"/>
        <v>11755.448383635783</v>
      </c>
      <c r="J197" s="14">
        <f t="shared" si="113"/>
        <v>12242.201256638504</v>
      </c>
      <c r="K197" s="14">
        <f t="shared" si="113"/>
        <v>12712.994203600185</v>
      </c>
      <c r="L197" s="14">
        <f t="shared" si="113"/>
        <v>13074.344926060563</v>
      </c>
      <c r="M197" s="14">
        <f t="shared" si="113"/>
        <v>13137.476025623246</v>
      </c>
      <c r="N197" s="187">
        <f t="shared" si="113"/>
        <v>13137.476220683902</v>
      </c>
      <c r="O197" s="14">
        <f t="shared" si="113"/>
        <v>13137.47633336949</v>
      </c>
      <c r="P197" s="14">
        <f t="shared" si="113"/>
        <v>13137.475898990955</v>
      </c>
      <c r="Q197" s="14">
        <f t="shared" si="113"/>
        <v>13140.059575331376</v>
      </c>
      <c r="R197" s="14">
        <f t="shared" si="113"/>
        <v>13140.059070385352</v>
      </c>
      <c r="S197" s="15">
        <f t="shared" si="113"/>
        <v>13140.084902802413</v>
      </c>
      <c r="T197" s="14">
        <f t="shared" si="113"/>
        <v>13141.041308530515</v>
      </c>
      <c r="U197" s="14">
        <f t="shared" si="113"/>
        <v>13141.630708077035</v>
      </c>
      <c r="V197" s="14">
        <f t="shared" si="113"/>
        <v>13144.968070159583</v>
      </c>
      <c r="W197" s="14">
        <f t="shared" si="113"/>
        <v>13148.228303791948</v>
      </c>
      <c r="X197" s="187">
        <f t="shared" si="113"/>
        <v>13151.865742758868</v>
      </c>
      <c r="Y197" s="158">
        <f t="shared" si="113"/>
        <v>13151.865808492126</v>
      </c>
      <c r="Z197" s="158">
        <f t="shared" si="113"/>
        <v>13153.975867309715</v>
      </c>
      <c r="AA197" s="158">
        <f t="shared" si="113"/>
        <v>13153.975706324247</v>
      </c>
      <c r="AB197" s="158">
        <f t="shared" si="113"/>
        <v>13153.975864892602</v>
      </c>
      <c r="AC197" s="158">
        <f t="shared" si="113"/>
        <v>13155.978564934141</v>
      </c>
      <c r="AD197" s="158">
        <f t="shared" si="113"/>
        <v>13157.365564874148</v>
      </c>
      <c r="AE197" s="158">
        <f t="shared" si="113"/>
        <v>13157.36575268346</v>
      </c>
      <c r="AF197" s="158">
        <f t="shared" si="113"/>
        <v>13158.624159587587</v>
      </c>
      <c r="AG197" s="158">
        <f t="shared" si="113"/>
        <v>13158.623938772649</v>
      </c>
      <c r="AH197" s="187">
        <f t="shared" si="113"/>
        <v>13158.623985724977</v>
      </c>
    </row>
    <row r="198" spans="1:34">
      <c r="A198" t="s">
        <v>393</v>
      </c>
      <c r="C198" s="330">
        <f>SUM('Output - Jobs vs Yr (BAU)'!C40:C43)</f>
        <v>5964.0685000000003</v>
      </c>
      <c r="D198" s="330">
        <f>SUM('Output - Jobs vs Yr (BAU)'!D40:D43)</f>
        <v>5976.1985000000004</v>
      </c>
      <c r="E198" s="330">
        <f>SUM('Output - Jobs vs Yr (BAU)'!E40:E43)</f>
        <v>6081.7821553237218</v>
      </c>
      <c r="F198" s="330">
        <f>SUM('Output - Jobs vs Yr (BAU)'!F40:F43)</f>
        <v>5986.3650745733548</v>
      </c>
      <c r="G198" s="330">
        <f>SUM('Output - Jobs vs Yr (BAU)'!G40:G43)</f>
        <v>5942.2192051219827</v>
      </c>
      <c r="H198" s="286">
        <f>SUM('Output - Jobs vs Yr (BAU)'!H40:H43)</f>
        <v>5964.679092657263</v>
      </c>
      <c r="I198" s="118">
        <f>SUM('Output - Jobs vs Yr (BAU)'!I40:I43)</f>
        <v>6187.0780966504117</v>
      </c>
      <c r="J198" s="118">
        <f>SUM('Output - Jobs vs Yr (BAU)'!J40:J43)</f>
        <v>6443.2638192834229</v>
      </c>
      <c r="K198" s="118">
        <f>SUM('Output - Jobs vs Yr (BAU)'!K40:K43)</f>
        <v>6691.049580842202</v>
      </c>
      <c r="L198" s="118">
        <f>SUM('Output - Jobs vs Yr (BAU)'!L40:L43)</f>
        <v>6881.2341716108231</v>
      </c>
      <c r="M198" s="118">
        <f>SUM('Output - Jobs vs Yr (BAU)'!M40:M43)</f>
        <v>6914.4610661174975</v>
      </c>
      <c r="N198" s="177">
        <f>SUM('Output - Jobs vs Yr (BAU)'!N40:N43)</f>
        <v>6914.4611687810011</v>
      </c>
      <c r="O198" s="118">
        <f>SUM('Output - Jobs vs Yr (BAU)'!O40:O43)</f>
        <v>6914.4612280892052</v>
      </c>
      <c r="P198" s="118">
        <f>SUM('Output - Jobs vs Yr (BAU)'!P40:P43)</f>
        <v>6914.4609994689235</v>
      </c>
      <c r="Q198" s="118">
        <f>SUM('Output - Jobs vs Yr (BAU)'!Q40:Q43)</f>
        <v>6915.8208291217761</v>
      </c>
      <c r="R198" s="118">
        <f>SUM('Output - Jobs vs Yr (BAU)'!R40:R43)</f>
        <v>6915.8205633607122</v>
      </c>
      <c r="S198" s="118">
        <f>SUM('Output - Jobs vs Yr (BAU)'!S40:S43)</f>
        <v>6915.8341593696914</v>
      </c>
      <c r="T198" s="118">
        <f>SUM('Output - Jobs vs Yr (BAU)'!T40:T43)</f>
        <v>6916.3375308055338</v>
      </c>
      <c r="U198" s="118">
        <f>SUM('Output - Jobs vs Yr (BAU)'!U40:U43)</f>
        <v>6916.6477410931757</v>
      </c>
      <c r="V198" s="118">
        <f>SUM('Output - Jobs vs Yr (BAU)'!V40:V43)</f>
        <v>6918.4042474524113</v>
      </c>
      <c r="W198" s="118">
        <f>SUM('Output - Jobs vs Yr (BAU)'!W40:W43)</f>
        <v>6920.1201598904981</v>
      </c>
      <c r="X198" s="184">
        <f>SUM('Output - Jobs vs Yr (BAU)'!X40:X43)</f>
        <v>6922.0346014520355</v>
      </c>
      <c r="Y198" s="271">
        <f>SUM('Output - Jobs vs Yr (BAU)'!Y40:Y43)</f>
        <v>6922.0346360484882</v>
      </c>
      <c r="Z198" s="271">
        <f>SUM('Output - Jobs vs Yr (BAU)'!Z40:Z43)</f>
        <v>6923.1451933209028</v>
      </c>
      <c r="AA198" s="271">
        <f>SUM('Output - Jobs vs Yr (BAU)'!AA40:AA43)</f>
        <v>6923.1451085917088</v>
      </c>
      <c r="AB198" s="271">
        <f>SUM('Output - Jobs vs Yr (BAU)'!AB40:AB43)</f>
        <v>6923.145192048738</v>
      </c>
      <c r="AC198" s="271">
        <f>SUM('Output - Jobs vs Yr (BAU)'!AC40:AC43)</f>
        <v>6924.1992447021794</v>
      </c>
      <c r="AD198" s="271">
        <f>SUM('Output - Jobs vs Yr (BAU)'!AD40:AD43)</f>
        <v>6924.929244670604</v>
      </c>
      <c r="AE198" s="271">
        <f>SUM('Output - Jobs vs Yr (BAU)'!AE40:AE43)</f>
        <v>6924.9293435176105</v>
      </c>
      <c r="AF198" s="271">
        <f>SUM('Output - Jobs vs Yr (BAU)'!AF40:AF43)</f>
        <v>6925.5916629408357</v>
      </c>
      <c r="AG198" s="271">
        <f>SUM('Output - Jobs vs Yr (BAU)'!AG40:AG43)</f>
        <v>6925.5915467224468</v>
      </c>
      <c r="AH198" s="184">
        <f>SUM('Output - Jobs vs Yr (BAU)'!AH40:AH43)</f>
        <v>6925.5915714341982</v>
      </c>
    </row>
    <row r="199" spans="1:34">
      <c r="A199" t="s">
        <v>392</v>
      </c>
      <c r="C199" s="330">
        <f>SUM('Output - Jobs vs Yr (BAU)'!C58:C61)</f>
        <v>5367.6616500000009</v>
      </c>
      <c r="D199" s="330">
        <f>SUM('Output - Jobs vs Yr (BAU)'!D58:D61)</f>
        <v>5378.5786500000013</v>
      </c>
      <c r="E199" s="330">
        <f>SUM('Output - Jobs vs Yr (BAU)'!E58:E61)</f>
        <v>5473.6039397913501</v>
      </c>
      <c r="F199" s="330">
        <f>SUM('Output - Jobs vs Yr (BAU)'!F58:F61)</f>
        <v>5387.7285671160189</v>
      </c>
      <c r="G199" s="330">
        <f>SUM('Output - Jobs vs Yr (BAU)'!G58:G61)</f>
        <v>5347.9972846097853</v>
      </c>
      <c r="H199" s="286">
        <f>SUM('Output - Jobs vs Yr (BAU)'!H58:H61)</f>
        <v>5368.2111833915369</v>
      </c>
      <c r="I199" s="118">
        <f>SUM('Output - Jobs vs Yr (BAU)'!I58:I61)</f>
        <v>5568.3702869853705</v>
      </c>
      <c r="J199" s="118">
        <f>SUM('Output - Jobs vs Yr (BAU)'!J58:J61)</f>
        <v>5798.9374373550809</v>
      </c>
      <c r="K199" s="118">
        <f>SUM('Output - Jobs vs Yr (BAU)'!K58:K61)</f>
        <v>6021.944622757982</v>
      </c>
      <c r="L199" s="118">
        <f>SUM('Output - Jobs vs Yr (BAU)'!L58:L61)</f>
        <v>6193.1107544497409</v>
      </c>
      <c r="M199" s="118">
        <f>SUM('Output - Jobs vs Yr (BAU)'!M58:M61)</f>
        <v>6223.0149595057483</v>
      </c>
      <c r="N199" s="177">
        <f>SUM('Output - Jobs vs Yr (BAU)'!N58:N61)</f>
        <v>6223.0150519029012</v>
      </c>
      <c r="O199" s="118">
        <f>SUM('Output - Jobs vs Yr (BAU)'!O58:O61)</f>
        <v>6223.0151052802848</v>
      </c>
      <c r="P199" s="118">
        <f>SUM('Output - Jobs vs Yr (BAU)'!P58:P61)</f>
        <v>6223.0148995220316</v>
      </c>
      <c r="Q199" s="118">
        <f>SUM('Output - Jobs vs Yr (BAU)'!Q58:Q61)</f>
        <v>6224.2387462095985</v>
      </c>
      <c r="R199" s="118">
        <f>SUM('Output - Jobs vs Yr (BAU)'!R58:R61)</f>
        <v>6224.238507024641</v>
      </c>
      <c r="S199" s="118">
        <f>SUM('Output - Jobs vs Yr (BAU)'!S58:S61)</f>
        <v>6224.2507434327226</v>
      </c>
      <c r="T199" s="118">
        <f>SUM('Output - Jobs vs Yr (BAU)'!T58:T61)</f>
        <v>6224.7037777249807</v>
      </c>
      <c r="U199" s="118">
        <f>SUM('Output - Jobs vs Yr (BAU)'!U58:U61)</f>
        <v>6224.9829669838582</v>
      </c>
      <c r="V199" s="118">
        <f>SUM('Output - Jobs vs Yr (BAU)'!V58:V61)</f>
        <v>6226.5638227071704</v>
      </c>
      <c r="W199" s="118">
        <f>SUM('Output - Jobs vs Yr (BAU)'!W58:W61)</f>
        <v>6228.1081439014488</v>
      </c>
      <c r="X199" s="184">
        <f>SUM('Output - Jobs vs Yr (BAU)'!X58:X61)</f>
        <v>6229.8311413068323</v>
      </c>
      <c r="Y199" s="271">
        <f>SUM('Output - Jobs vs Yr (BAU)'!Y58:Y61)</f>
        <v>6229.8311724436389</v>
      </c>
      <c r="Z199" s="271">
        <f>SUM('Output - Jobs vs Yr (BAU)'!Z58:Z61)</f>
        <v>6230.8306739888121</v>
      </c>
      <c r="AA199" s="271">
        <f>SUM('Output - Jobs vs Yr (BAU)'!AA58:AA61)</f>
        <v>6230.8305977325381</v>
      </c>
      <c r="AB199" s="271">
        <f>SUM('Output - Jobs vs Yr (BAU)'!AB58:AB61)</f>
        <v>6230.8306728438638</v>
      </c>
      <c r="AC199" s="271">
        <f>SUM('Output - Jobs vs Yr (BAU)'!AC58:AC61)</f>
        <v>6231.7793202319617</v>
      </c>
      <c r="AD199" s="271">
        <f>SUM('Output - Jobs vs Yr (BAU)'!AD58:AD61)</f>
        <v>6232.4363202035438</v>
      </c>
      <c r="AE199" s="271">
        <f>SUM('Output - Jobs vs Yr (BAU)'!AE58:AE61)</f>
        <v>6232.436409165849</v>
      </c>
      <c r="AF199" s="271">
        <f>SUM('Output - Jobs vs Yr (BAU)'!AF58:AF61)</f>
        <v>6233.0324966467515</v>
      </c>
      <c r="AG199" s="271">
        <f>SUM('Output - Jobs vs Yr (BAU)'!AG58:AG61)</f>
        <v>6233.0323920502024</v>
      </c>
      <c r="AH199" s="184">
        <f>SUM('Output - Jobs vs Yr (BAU)'!AH58:AH61)</f>
        <v>6233.0324142907784</v>
      </c>
    </row>
    <row r="200" spans="1:34">
      <c r="A200" t="s">
        <v>394</v>
      </c>
      <c r="C200" s="331">
        <f>SUM(C201:C202)</f>
        <v>68588.157000000007</v>
      </c>
      <c r="D200" s="331">
        <f t="shared" ref="D200:AH200" si="114">SUM(D201:D202)</f>
        <v>70444.494999999995</v>
      </c>
      <c r="E200" s="331">
        <f t="shared" si="114"/>
        <v>71122.8312083208</v>
      </c>
      <c r="F200" s="331">
        <f t="shared" si="114"/>
        <v>74827.709693165627</v>
      </c>
      <c r="G200" s="331">
        <f t="shared" si="114"/>
        <v>71321.305998216121</v>
      </c>
      <c r="H200" s="402">
        <f t="shared" si="114"/>
        <v>70085.834323498071</v>
      </c>
      <c r="I200" s="14">
        <f t="shared" si="114"/>
        <v>71914.328677706158</v>
      </c>
      <c r="J200" s="14">
        <f t="shared" si="114"/>
        <v>74988.80902810322</v>
      </c>
      <c r="K200" s="14">
        <f t="shared" si="114"/>
        <v>74132.630367105361</v>
      </c>
      <c r="L200" s="14">
        <f t="shared" si="114"/>
        <v>74050.53132070681</v>
      </c>
      <c r="M200" s="14">
        <f t="shared" si="114"/>
        <v>75068.985608186675</v>
      </c>
      <c r="N200" s="187">
        <f t="shared" si="114"/>
        <v>76434.383570621198</v>
      </c>
      <c r="O200" s="14">
        <f t="shared" si="114"/>
        <v>77406.007888744716</v>
      </c>
      <c r="P200" s="14">
        <f t="shared" si="114"/>
        <v>78661.971739447719</v>
      </c>
      <c r="Q200" s="14">
        <f t="shared" si="114"/>
        <v>80609.040413984098</v>
      </c>
      <c r="R200" s="14">
        <f t="shared" si="114"/>
        <v>82165.100009640068</v>
      </c>
      <c r="S200" s="15">
        <f t="shared" si="114"/>
        <v>83092.562315888164</v>
      </c>
      <c r="T200" s="14">
        <f t="shared" si="114"/>
        <v>83951.311028618569</v>
      </c>
      <c r="U200" s="14">
        <f t="shared" si="114"/>
        <v>84815.818602303014</v>
      </c>
      <c r="V200" s="14">
        <f t="shared" si="114"/>
        <v>85814.511206270108</v>
      </c>
      <c r="W200" s="14">
        <f t="shared" si="114"/>
        <v>86176.891133371653</v>
      </c>
      <c r="X200" s="187">
        <f t="shared" si="114"/>
        <v>87094.878846695879</v>
      </c>
      <c r="Y200" s="158">
        <f t="shared" si="114"/>
        <v>87466.20190924425</v>
      </c>
      <c r="Z200" s="158">
        <f t="shared" si="114"/>
        <v>88100.471244034707</v>
      </c>
      <c r="AA200" s="158">
        <f t="shared" si="114"/>
        <v>88536.44976640206</v>
      </c>
      <c r="AB200" s="158">
        <f t="shared" si="114"/>
        <v>89156.595890228738</v>
      </c>
      <c r="AC200" s="158">
        <f t="shared" si="114"/>
        <v>90147.997417104707</v>
      </c>
      <c r="AD200" s="158">
        <f t="shared" si="114"/>
        <v>91031.668649218409</v>
      </c>
      <c r="AE200" s="158">
        <f t="shared" si="114"/>
        <v>92449.096514772289</v>
      </c>
      <c r="AF200" s="158">
        <f t="shared" si="114"/>
        <v>94022.694142342749</v>
      </c>
      <c r="AG200" s="158">
        <f t="shared" si="114"/>
        <v>95261.207253989181</v>
      </c>
      <c r="AH200" s="187">
        <f t="shared" si="114"/>
        <v>96224.220399021171</v>
      </c>
    </row>
    <row r="201" spans="1:34">
      <c r="A201" t="s">
        <v>395</v>
      </c>
      <c r="C201" s="330">
        <f>SUM('Output - Jobs vs Yr (BAU)'!C53:C54)</f>
        <v>36099.03</v>
      </c>
      <c r="D201" s="330">
        <f>SUM('Output - Jobs vs Yr (BAU)'!D53:D54)</f>
        <v>37076.050000000003</v>
      </c>
      <c r="E201" s="330">
        <f>SUM('Output - Jobs vs Yr (BAU)'!E53:E54)</f>
        <v>37433.069057010951</v>
      </c>
      <c r="F201" s="330">
        <f>SUM('Output - Jobs vs Yr (BAU)'!F53:F54)</f>
        <v>39383.005101666116</v>
      </c>
      <c r="G201" s="330">
        <f>SUM('Output - Jobs vs Yr (BAU)'!G53:G54)</f>
        <v>37537.529472745329</v>
      </c>
      <c r="H201" s="286">
        <f>SUM('Output - Jobs vs Yr (BAU)'!H53:H54)</f>
        <v>36887.281222893725</v>
      </c>
      <c r="I201" s="118">
        <f>SUM('Output - Jobs vs Yr (BAU)'!I53:I54)</f>
        <v>37849.646672476927</v>
      </c>
      <c r="J201" s="118">
        <f>SUM('Output - Jobs vs Yr (BAU)'!J53:J54)</f>
        <v>39467.794225317484</v>
      </c>
      <c r="K201" s="118">
        <f>SUM('Output - Jobs vs Yr (BAU)'!K53:K54)</f>
        <v>39017.173877423869</v>
      </c>
      <c r="L201" s="118">
        <f>SUM('Output - Jobs vs Yr (BAU)'!L53:L54)</f>
        <v>38973.963853003588</v>
      </c>
      <c r="M201" s="118">
        <f>SUM('Output - Jobs vs Yr (BAU)'!M53:M54)</f>
        <v>39509.992425361408</v>
      </c>
      <c r="N201" s="177">
        <f>SUM('Output - Jobs vs Yr (BAU)'!N53:N54)</f>
        <v>40228.622931905891</v>
      </c>
      <c r="O201" s="118">
        <f>SUM('Output - Jobs vs Yr (BAU)'!O53:O54)</f>
        <v>40740.004151970905</v>
      </c>
      <c r="P201" s="118">
        <f>SUM('Output - Jobs vs Yr (BAU)'!P53:P54)</f>
        <v>41401.037757604063</v>
      </c>
      <c r="Q201" s="118">
        <f>SUM('Output - Jobs vs Yr (BAU)'!Q53:Q54)</f>
        <v>42425.810744202157</v>
      </c>
      <c r="R201" s="118">
        <f>SUM('Output - Jobs vs Yr (BAU)'!R53:R54)</f>
        <v>43244.789478757928</v>
      </c>
      <c r="S201" s="118">
        <f>SUM('Output - Jobs vs Yr (BAU)'!S53:S54)</f>
        <v>43732.927534677983</v>
      </c>
      <c r="T201" s="118">
        <f>SUM('Output - Jobs vs Yr (BAU)'!T53:T54)</f>
        <v>44184.9005413782</v>
      </c>
      <c r="U201" s="118">
        <f>SUM('Output - Jobs vs Yr (BAU)'!U53:U54)</f>
        <v>44639.904527527899</v>
      </c>
      <c r="V201" s="118">
        <f>SUM('Output - Jobs vs Yr (BAU)'!V53:V54)</f>
        <v>45165.53221382638</v>
      </c>
      <c r="W201" s="118">
        <f>SUM('Output - Jobs vs Yr (BAU)'!W53:W54)</f>
        <v>45356.258491248242</v>
      </c>
      <c r="X201" s="184">
        <f>SUM('Output - Jobs vs Yr (BAU)'!X53:X54)</f>
        <v>45839.409919313621</v>
      </c>
      <c r="Y201" s="271">
        <f>SUM('Output - Jobs vs Yr (BAU)'!Y53:Y54)</f>
        <v>46034.843110128553</v>
      </c>
      <c r="Z201" s="271">
        <f>SUM('Output - Jobs vs Yr (BAU)'!Z53:Z54)</f>
        <v>46368.669075807746</v>
      </c>
      <c r="AA201" s="271">
        <f>SUM('Output - Jobs vs Yr (BAU)'!AA53:AA54)</f>
        <v>46598.13145600108</v>
      </c>
      <c r="AB201" s="271">
        <f>SUM('Output - Jobs vs Yr (BAU)'!AB53:AB54)</f>
        <v>46924.524152751968</v>
      </c>
      <c r="AC201" s="271">
        <f>SUM('Output - Jobs vs Yr (BAU)'!AC53:AC54)</f>
        <v>47446.314430055107</v>
      </c>
      <c r="AD201" s="271">
        <f>SUM('Output - Jobs vs Yr (BAU)'!AD53:AD54)</f>
        <v>47911.404552220214</v>
      </c>
      <c r="AE201" s="271">
        <f>SUM('Output - Jobs vs Yr (BAU)'!AE53:AE54)</f>
        <v>48657.419218301206</v>
      </c>
      <c r="AF201" s="271">
        <f>SUM('Output - Jobs vs Yr (BAU)'!AF53:AF54)</f>
        <v>49485.628495969868</v>
      </c>
      <c r="AG201" s="271">
        <f>SUM('Output - Jobs vs Yr (BAU)'!AG53:AG54)</f>
        <v>50137.477502099566</v>
      </c>
      <c r="AH201" s="184">
        <f>SUM('Output - Jobs vs Yr (BAU)'!AH53:AH54)</f>
        <v>50644.326525800614</v>
      </c>
    </row>
    <row r="202" spans="1:34">
      <c r="A202" t="s">
        <v>396</v>
      </c>
      <c r="C202" s="330">
        <f>SUM('Output - Jobs vs Yr (BAU)'!C71:C72)</f>
        <v>32489.127</v>
      </c>
      <c r="D202" s="330">
        <f>SUM('Output - Jobs vs Yr (BAU)'!D71:D72)</f>
        <v>33368.445</v>
      </c>
      <c r="E202" s="330">
        <f>SUM('Output - Jobs vs Yr (BAU)'!E71:E72)</f>
        <v>33689.762151309857</v>
      </c>
      <c r="F202" s="330">
        <f>SUM('Output - Jobs vs Yr (BAU)'!F71:F72)</f>
        <v>35444.704591499511</v>
      </c>
      <c r="G202" s="330">
        <f>SUM('Output - Jobs vs Yr (BAU)'!G71:G72)</f>
        <v>33783.776525470799</v>
      </c>
      <c r="H202" s="286">
        <f>SUM('Output - Jobs vs Yr (BAU)'!H71:H72)</f>
        <v>33198.553100604346</v>
      </c>
      <c r="I202" s="118">
        <f>SUM('Output - Jobs vs Yr (BAU)'!I71:I72)</f>
        <v>34064.682005229239</v>
      </c>
      <c r="J202" s="118">
        <f>SUM('Output - Jobs vs Yr (BAU)'!J71:J72)</f>
        <v>35521.014802785736</v>
      </c>
      <c r="K202" s="118">
        <f>SUM('Output - Jobs vs Yr (BAU)'!K71:K72)</f>
        <v>35115.456489681485</v>
      </c>
      <c r="L202" s="118">
        <f>SUM('Output - Jobs vs Yr (BAU)'!L71:L72)</f>
        <v>35076.567467703222</v>
      </c>
      <c r="M202" s="118">
        <f>SUM('Output - Jobs vs Yr (BAU)'!M71:M72)</f>
        <v>35558.993182825267</v>
      </c>
      <c r="N202" s="177">
        <f>SUM('Output - Jobs vs Yr (BAU)'!N71:N72)</f>
        <v>36205.760638715299</v>
      </c>
      <c r="O202" s="118">
        <f>SUM('Output - Jobs vs Yr (BAU)'!O71:O72)</f>
        <v>36666.003736773811</v>
      </c>
      <c r="P202" s="118">
        <f>SUM('Output - Jobs vs Yr (BAU)'!P71:P72)</f>
        <v>37260.933981843657</v>
      </c>
      <c r="Q202" s="118">
        <f>SUM('Output - Jobs vs Yr (BAU)'!Q71:Q72)</f>
        <v>38183.22966978194</v>
      </c>
      <c r="R202" s="118">
        <f>SUM('Output - Jobs vs Yr (BAU)'!R71:R72)</f>
        <v>38920.31053088214</v>
      </c>
      <c r="S202" s="118">
        <f>SUM('Output - Jobs vs Yr (BAU)'!S71:S72)</f>
        <v>39359.634781210181</v>
      </c>
      <c r="T202" s="118">
        <f>SUM('Output - Jobs vs Yr (BAU)'!T71:T72)</f>
        <v>39766.410487240377</v>
      </c>
      <c r="U202" s="118">
        <f>SUM('Output - Jobs vs Yr (BAU)'!U71:U72)</f>
        <v>40175.914074775108</v>
      </c>
      <c r="V202" s="118">
        <f>SUM('Output - Jobs vs Yr (BAU)'!V71:V72)</f>
        <v>40648.978992443735</v>
      </c>
      <c r="W202" s="118">
        <f>SUM('Output - Jobs vs Yr (BAU)'!W71:W72)</f>
        <v>40820.632642123419</v>
      </c>
      <c r="X202" s="184">
        <f>SUM('Output - Jobs vs Yr (BAU)'!X71:X72)</f>
        <v>41255.468927382259</v>
      </c>
      <c r="Y202" s="271">
        <f>SUM('Output - Jobs vs Yr (BAU)'!Y71:Y72)</f>
        <v>41431.358799115696</v>
      </c>
      <c r="Z202" s="271">
        <f>SUM('Output - Jobs vs Yr (BAU)'!Z71:Z72)</f>
        <v>41731.802168226968</v>
      </c>
      <c r="AA202" s="271">
        <f>SUM('Output - Jobs vs Yr (BAU)'!AA71:AA72)</f>
        <v>41938.31831040098</v>
      </c>
      <c r="AB202" s="271">
        <f>SUM('Output - Jobs vs Yr (BAU)'!AB71:AB72)</f>
        <v>42232.07173747677</v>
      </c>
      <c r="AC202" s="271">
        <f>SUM('Output - Jobs vs Yr (BAU)'!AC71:AC72)</f>
        <v>42701.6829870496</v>
      </c>
      <c r="AD202" s="271">
        <f>SUM('Output - Jobs vs Yr (BAU)'!AD71:AD72)</f>
        <v>43120.264096998195</v>
      </c>
      <c r="AE202" s="271">
        <f>SUM('Output - Jobs vs Yr (BAU)'!AE71:AE72)</f>
        <v>43791.677296471084</v>
      </c>
      <c r="AF202" s="271">
        <f>SUM('Output - Jobs vs Yr (BAU)'!AF71:AF72)</f>
        <v>44537.065646372881</v>
      </c>
      <c r="AG202" s="271">
        <f>SUM('Output - Jobs vs Yr (BAU)'!AG71:AG72)</f>
        <v>45123.729751889608</v>
      </c>
      <c r="AH202" s="184">
        <f>SUM('Output - Jobs vs Yr (BAU)'!AH71:AH72)</f>
        <v>45579.893873220557</v>
      </c>
    </row>
    <row r="203" spans="1:34">
      <c r="A203" s="1" t="s">
        <v>425</v>
      </c>
      <c r="C203" s="331">
        <f>SUM(C191,C194,C197,C200)</f>
        <v>86760.67128000001</v>
      </c>
      <c r="D203" s="331">
        <f t="shared" ref="D203:AH203" si="115">SUM(D191,D194,D197,D200)</f>
        <v>90765.415280000001</v>
      </c>
      <c r="E203" s="331">
        <f t="shared" si="115"/>
        <v>92185.454978520749</v>
      </c>
      <c r="F203" s="331">
        <f t="shared" si="115"/>
        <v>96818.955195243499</v>
      </c>
      <c r="G203" s="331">
        <f t="shared" si="115"/>
        <v>94080.386144566495</v>
      </c>
      <c r="H203" s="402">
        <f t="shared" si="115"/>
        <v>93184.917177709503</v>
      </c>
      <c r="I203" s="14">
        <f t="shared" si="115"/>
        <v>98623.084369013537</v>
      </c>
      <c r="J203" s="14">
        <f t="shared" si="115"/>
        <v>104543.74424743613</v>
      </c>
      <c r="K203" s="14">
        <f t="shared" si="115"/>
        <v>104202.08279887473</v>
      </c>
      <c r="L203" s="14">
        <f t="shared" si="115"/>
        <v>104511.40649638136</v>
      </c>
      <c r="M203" s="132">
        <f t="shared" si="115"/>
        <v>105638.53926688741</v>
      </c>
      <c r="N203" s="193">
        <f t="shared" si="115"/>
        <v>107087.89030807382</v>
      </c>
      <c r="O203" s="14">
        <f t="shared" si="115"/>
        <v>108173.72541035409</v>
      </c>
      <c r="P203" s="14">
        <f t="shared" si="115"/>
        <v>109548.97855386973</v>
      </c>
      <c r="Q203" s="14">
        <f t="shared" si="115"/>
        <v>111675.11087441538</v>
      </c>
      <c r="R203" s="14">
        <f t="shared" si="115"/>
        <v>113396.19572047389</v>
      </c>
      <c r="S203" s="14">
        <f t="shared" si="115"/>
        <v>114608.51358375905</v>
      </c>
      <c r="T203" s="14">
        <f t="shared" si="115"/>
        <v>115723.22907187864</v>
      </c>
      <c r="U203" s="14">
        <f t="shared" si="115"/>
        <v>116893.34707877162</v>
      </c>
      <c r="V203" s="14">
        <f t="shared" si="115"/>
        <v>118268.74943517394</v>
      </c>
      <c r="W203" s="14">
        <f t="shared" si="115"/>
        <v>119149.75732419139</v>
      </c>
      <c r="X203" s="187">
        <f t="shared" si="115"/>
        <v>120542.02425108157</v>
      </c>
      <c r="Y203" s="158">
        <f t="shared" si="115"/>
        <v>121406.56877370436</v>
      </c>
      <c r="Z203" s="158">
        <f t="shared" si="115"/>
        <v>122548.87792536165</v>
      </c>
      <c r="AA203" s="158">
        <f t="shared" si="115"/>
        <v>123515.0896239609</v>
      </c>
      <c r="AB203" s="158">
        <f t="shared" si="115"/>
        <v>124715.51120189112</v>
      </c>
      <c r="AC203" s="158">
        <f t="shared" si="115"/>
        <v>126280.3048187361</v>
      </c>
      <c r="AD203" s="158">
        <f t="shared" si="115"/>
        <v>127737.12441662308</v>
      </c>
      <c r="AE203" s="158">
        <f t="shared" si="115"/>
        <v>129816.22668489726</v>
      </c>
      <c r="AF203" s="158">
        <f t="shared" si="115"/>
        <v>132037.56790798029</v>
      </c>
      <c r="AG203" s="158">
        <f t="shared" si="115"/>
        <v>133968.70157082163</v>
      </c>
      <c r="AH203" s="187">
        <f t="shared" si="115"/>
        <v>135692.90151123356</v>
      </c>
    </row>
    <row r="204" spans="1:34">
      <c r="A204" s="1" t="s">
        <v>448</v>
      </c>
      <c r="C204" s="331"/>
      <c r="D204" s="331">
        <f>D194+D197</f>
        <v>20320.920280000002</v>
      </c>
      <c r="E204" s="331">
        <f t="shared" ref="E204:AH204" si="116">E194+E197</f>
        <v>21062.623770199945</v>
      </c>
      <c r="F204" s="331">
        <f t="shared" si="116"/>
        <v>21991.245502077865</v>
      </c>
      <c r="G204" s="331">
        <f t="shared" si="116"/>
        <v>22759.080146350374</v>
      </c>
      <c r="H204" s="402">
        <f t="shared" si="116"/>
        <v>23099.082854211436</v>
      </c>
      <c r="I204" s="14">
        <f t="shared" si="116"/>
        <v>26708.755691307375</v>
      </c>
      <c r="J204" s="14">
        <f t="shared" si="116"/>
        <v>29554.93521933291</v>
      </c>
      <c r="K204" s="14">
        <f t="shared" si="116"/>
        <v>30069.452431769369</v>
      </c>
      <c r="L204" s="14">
        <f t="shared" si="116"/>
        <v>30460.875175674548</v>
      </c>
      <c r="M204" s="14">
        <f t="shared" si="116"/>
        <v>30569.55365870073</v>
      </c>
      <c r="N204" s="187">
        <f t="shared" si="116"/>
        <v>30653.506737452626</v>
      </c>
      <c r="O204" s="14">
        <f t="shared" si="116"/>
        <v>30767.717521609382</v>
      </c>
      <c r="P204" s="14">
        <f t="shared" si="116"/>
        <v>30887.006814422006</v>
      </c>
      <c r="Q204" s="14">
        <f t="shared" si="116"/>
        <v>31066.07046043127</v>
      </c>
      <c r="R204" s="14">
        <f t="shared" si="116"/>
        <v>31231.095710833815</v>
      </c>
      <c r="S204" s="14">
        <f t="shared" si="116"/>
        <v>31515.951267870882</v>
      </c>
      <c r="T204" s="14">
        <f t="shared" si="116"/>
        <v>31771.918043260066</v>
      </c>
      <c r="U204" s="14">
        <f t="shared" si="116"/>
        <v>32077.5284764686</v>
      </c>
      <c r="V204" s="14">
        <f t="shared" si="116"/>
        <v>32454.238228903832</v>
      </c>
      <c r="W204" s="14">
        <f t="shared" si="116"/>
        <v>32972.866190819739</v>
      </c>
      <c r="X204" s="187">
        <f t="shared" si="116"/>
        <v>33447.145404385687</v>
      </c>
      <c r="Y204" s="158">
        <f t="shared" si="116"/>
        <v>33940.366864460113</v>
      </c>
      <c r="Z204" s="158">
        <f t="shared" si="116"/>
        <v>34448.406681326938</v>
      </c>
      <c r="AA204" s="158">
        <f t="shared" si="116"/>
        <v>34978.639857558839</v>
      </c>
      <c r="AB204" s="158">
        <f t="shared" si="116"/>
        <v>35558.915311662378</v>
      </c>
      <c r="AC204" s="158">
        <f t="shared" si="116"/>
        <v>36132.307401631391</v>
      </c>
      <c r="AD204" s="158">
        <f t="shared" si="116"/>
        <v>36705.455767404666</v>
      </c>
      <c r="AE204" s="158">
        <f t="shared" si="116"/>
        <v>37367.130170124983</v>
      </c>
      <c r="AF204" s="158">
        <f t="shared" si="116"/>
        <v>38014.873765637531</v>
      </c>
      <c r="AG204" s="158">
        <f t="shared" si="116"/>
        <v>38707.494316832453</v>
      </c>
      <c r="AH204" s="187">
        <f t="shared" si="116"/>
        <v>39468.681112212384</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8966.1431300000004</v>
      </c>
      <c r="E206" s="331">
        <f>D206+E194</f>
        <v>18473.380805084875</v>
      </c>
      <c r="F206" s="331">
        <f>E206+F194</f>
        <v>29090.532665473365</v>
      </c>
      <c r="G206" s="331">
        <f>F206+G194</f>
        <v>40559.396322091969</v>
      </c>
      <c r="H206" s="402">
        <f t="shared" ref="H206:X206" si="117">G206+H194</f>
        <v>52325.588900254603</v>
      </c>
      <c r="I206" s="14">
        <f t="shared" si="117"/>
        <v>67278.896207926198</v>
      </c>
      <c r="J206" s="14">
        <f t="shared" si="117"/>
        <v>84591.6301706206</v>
      </c>
      <c r="K206" s="14">
        <f t="shared" si="117"/>
        <v>101948.08839878978</v>
      </c>
      <c r="L206" s="14">
        <f t="shared" si="117"/>
        <v>119334.61864840376</v>
      </c>
      <c r="M206" s="14">
        <f t="shared" si="117"/>
        <v>136766.69628148124</v>
      </c>
      <c r="N206" s="187">
        <f t="shared" si="117"/>
        <v>154282.72679824996</v>
      </c>
      <c r="O206" s="14">
        <f t="shared" si="117"/>
        <v>171912.96798648985</v>
      </c>
      <c r="P206" s="14">
        <f t="shared" si="117"/>
        <v>189662.49890192092</v>
      </c>
      <c r="Q206" s="14">
        <f t="shared" si="117"/>
        <v>207588.5097870208</v>
      </c>
      <c r="R206" s="14">
        <f t="shared" si="117"/>
        <v>225679.54642746926</v>
      </c>
      <c r="S206" s="14">
        <f t="shared" si="117"/>
        <v>244055.41279253774</v>
      </c>
      <c r="T206" s="14">
        <f t="shared" si="117"/>
        <v>262686.28952726728</v>
      </c>
      <c r="U206" s="14">
        <f t="shared" si="117"/>
        <v>281622.18729565886</v>
      </c>
      <c r="V206" s="14">
        <f t="shared" si="117"/>
        <v>300931.45745440311</v>
      </c>
      <c r="W206" s="14">
        <f t="shared" si="117"/>
        <v>320756.09534143092</v>
      </c>
      <c r="X206" s="187">
        <f t="shared" si="117"/>
        <v>341051.37500305776</v>
      </c>
      <c r="Y206" s="158">
        <f t="shared" ref="Y206:AH206" si="118">X206+Y194</f>
        <v>361839.87605902576</v>
      </c>
      <c r="Z206" s="158">
        <f t="shared" si="118"/>
        <v>383134.30687304301</v>
      </c>
      <c r="AA206" s="158">
        <f t="shared" si="118"/>
        <v>404958.97102427762</v>
      </c>
      <c r="AB206" s="158">
        <f t="shared" si="118"/>
        <v>427363.91047104739</v>
      </c>
      <c r="AC206" s="158">
        <f t="shared" si="118"/>
        <v>450340.23930774466</v>
      </c>
      <c r="AD206" s="158">
        <f t="shared" si="118"/>
        <v>473888.32951027516</v>
      </c>
      <c r="AE206" s="158">
        <f t="shared" si="118"/>
        <v>498098.09392771666</v>
      </c>
      <c r="AF206" s="158">
        <f t="shared" si="118"/>
        <v>522954.34353376663</v>
      </c>
      <c r="AG206" s="158">
        <f t="shared" si="118"/>
        <v>548503.21391182649</v>
      </c>
      <c r="AH206" s="187">
        <f t="shared" si="118"/>
        <v>574813.27103831386</v>
      </c>
    </row>
    <row r="207" spans="1:34">
      <c r="A207" s="1" t="s">
        <v>456</v>
      </c>
      <c r="C207" s="331"/>
      <c r="D207" s="331">
        <f>D200</f>
        <v>70444.494999999995</v>
      </c>
      <c r="E207" s="331">
        <f>D207+E200</f>
        <v>141567.3262083208</v>
      </c>
      <c r="F207" s="331">
        <f>E207+F200</f>
        <v>216395.03590148641</v>
      </c>
      <c r="G207" s="331">
        <f t="shared" ref="G207:X207" si="119">F207+G200</f>
        <v>287716.34189970256</v>
      </c>
      <c r="H207" s="402">
        <f t="shared" si="119"/>
        <v>357802.17622320063</v>
      </c>
      <c r="I207" s="14">
        <f t="shared" si="119"/>
        <v>429716.50490090682</v>
      </c>
      <c r="J207" s="14">
        <f t="shared" si="119"/>
        <v>504705.31392901007</v>
      </c>
      <c r="K207" s="14">
        <f t="shared" si="119"/>
        <v>578837.94429611543</v>
      </c>
      <c r="L207" s="14">
        <f t="shared" si="119"/>
        <v>652888.47561682225</v>
      </c>
      <c r="M207" s="14">
        <f t="shared" si="119"/>
        <v>727957.46122500894</v>
      </c>
      <c r="N207" s="187">
        <f t="shared" si="119"/>
        <v>804391.84479563008</v>
      </c>
      <c r="O207" s="14">
        <f t="shared" si="119"/>
        <v>881797.85268437478</v>
      </c>
      <c r="P207" s="14">
        <f t="shared" si="119"/>
        <v>960459.82442382246</v>
      </c>
      <c r="Q207" s="14">
        <f t="shared" si="119"/>
        <v>1041068.8648378066</v>
      </c>
      <c r="R207" s="14">
        <f t="shared" si="119"/>
        <v>1123233.9648474467</v>
      </c>
      <c r="S207" s="14">
        <f t="shared" si="119"/>
        <v>1206326.5271633349</v>
      </c>
      <c r="T207" s="14">
        <f t="shared" si="119"/>
        <v>1290277.8381919535</v>
      </c>
      <c r="U207" s="14">
        <f t="shared" si="119"/>
        <v>1375093.6567942565</v>
      </c>
      <c r="V207" s="14">
        <f t="shared" si="119"/>
        <v>1460908.1680005267</v>
      </c>
      <c r="W207" s="14">
        <f t="shared" si="119"/>
        <v>1547085.0591338985</v>
      </c>
      <c r="X207" s="187">
        <f t="shared" si="119"/>
        <v>1634179.9379805943</v>
      </c>
      <c r="Y207" s="158">
        <f t="shared" ref="Y207:AH207" si="120">X207+Y200</f>
        <v>1721646.1398898386</v>
      </c>
      <c r="Z207" s="158">
        <f t="shared" si="120"/>
        <v>1809746.6111338735</v>
      </c>
      <c r="AA207" s="158">
        <f t="shared" si="120"/>
        <v>1898283.0609002756</v>
      </c>
      <c r="AB207" s="158">
        <f t="shared" si="120"/>
        <v>1987439.6567905042</v>
      </c>
      <c r="AC207" s="158">
        <f t="shared" si="120"/>
        <v>2077587.6542076089</v>
      </c>
      <c r="AD207" s="158">
        <f t="shared" si="120"/>
        <v>2168619.3228568272</v>
      </c>
      <c r="AE207" s="158">
        <f t="shared" si="120"/>
        <v>2261068.4193715993</v>
      </c>
      <c r="AF207" s="158">
        <f t="shared" si="120"/>
        <v>2355091.1135139419</v>
      </c>
      <c r="AG207" s="158">
        <f t="shared" si="120"/>
        <v>2450352.3207679312</v>
      </c>
      <c r="AH207" s="187">
        <f t="shared" si="120"/>
        <v>2546576.5411669523</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6840.7838599999995</v>
      </c>
      <c r="D213" s="341">
        <f t="shared" ref="D213:AH213" si="124">SUM(D214:D215)</f>
        <v>8966.1430313908386</v>
      </c>
      <c r="E213" s="341">
        <f t="shared" si="124"/>
        <v>9507.2376381321246</v>
      </c>
      <c r="F213" s="341">
        <f t="shared" si="124"/>
        <v>10617.152055831393</v>
      </c>
      <c r="G213" s="341">
        <f t="shared" si="124"/>
        <v>11468.863644953619</v>
      </c>
      <c r="H213" s="405">
        <f t="shared" si="124"/>
        <v>11766.192308162636</v>
      </c>
      <c r="I213" s="15">
        <f t="shared" si="124"/>
        <v>15007.964315718045</v>
      </c>
      <c r="J213" s="15">
        <f t="shared" si="124"/>
        <v>17369.838946505944</v>
      </c>
      <c r="K213" s="15">
        <f t="shared" si="124"/>
        <v>17397.091990162007</v>
      </c>
      <c r="L213" s="15">
        <f t="shared" si="124"/>
        <v>17434.802832224639</v>
      </c>
      <c r="M213" s="15">
        <f t="shared" si="124"/>
        <v>18003.227846061454</v>
      </c>
      <c r="N213" s="190">
        <f t="shared" si="124"/>
        <v>19440.903829769071</v>
      </c>
      <c r="O213" s="15">
        <f t="shared" si="124"/>
        <v>20084.740085285448</v>
      </c>
      <c r="P213" s="15">
        <f t="shared" si="124"/>
        <v>20806.895500358078</v>
      </c>
      <c r="Q213" s="15">
        <f t="shared" si="124"/>
        <v>21716.453177050258</v>
      </c>
      <c r="R213" s="15">
        <f t="shared" si="124"/>
        <v>22557.57957319769</v>
      </c>
      <c r="S213" s="15">
        <f t="shared" si="124"/>
        <v>23454.396804218515</v>
      </c>
      <c r="T213" s="15">
        <f t="shared" si="124"/>
        <v>24357.317807212403</v>
      </c>
      <c r="U213" s="15">
        <f t="shared" si="124"/>
        <v>25323.851243187615</v>
      </c>
      <c r="V213" s="15">
        <f t="shared" si="124"/>
        <v>26414.699671711092</v>
      </c>
      <c r="W213" s="15">
        <f t="shared" si="124"/>
        <v>27527.97540913225</v>
      </c>
      <c r="X213" s="190">
        <f t="shared" si="124"/>
        <v>27114.66956617996</v>
      </c>
      <c r="Y213" s="130">
        <f t="shared" si="124"/>
        <v>30001.996630919439</v>
      </c>
      <c r="Z213" s="130">
        <f t="shared" si="124"/>
        <v>31375.439000663802</v>
      </c>
      <c r="AA213" s="130">
        <f t="shared" si="124"/>
        <v>32750.289893310379</v>
      </c>
      <c r="AB213" s="130">
        <f t="shared" si="124"/>
        <v>34236.544246245059</v>
      </c>
      <c r="AC213" s="130">
        <f t="shared" si="124"/>
        <v>35870.912758558261</v>
      </c>
      <c r="AD213" s="130">
        <f t="shared" si="124"/>
        <v>37533.215118583488</v>
      </c>
      <c r="AE213" s="130">
        <f t="shared" si="124"/>
        <v>39404.771185979364</v>
      </c>
      <c r="AF213" s="130">
        <f t="shared" si="124"/>
        <v>41391.808032217319</v>
      </c>
      <c r="AG213" s="130">
        <f t="shared" si="124"/>
        <v>43358.401752553174</v>
      </c>
      <c r="AH213" s="190">
        <f t="shared" si="124"/>
        <v>39614.41869797495</v>
      </c>
    </row>
    <row r="214" spans="1:34">
      <c r="A214" t="s">
        <v>398</v>
      </c>
      <c r="C214" s="331">
        <f>C115</f>
        <v>3600.4126999999999</v>
      </c>
      <c r="D214" s="331">
        <f t="shared" ref="D214:AH214" si="125">D115</f>
        <v>4719.0227952171317</v>
      </c>
      <c r="E214" s="331">
        <f t="shared" si="125"/>
        <v>5003.8094321469443</v>
      </c>
      <c r="F214" s="331">
        <f t="shared" si="125"/>
        <v>5587.9749219417536</v>
      </c>
      <c r="G214" s="331">
        <f t="shared" si="125"/>
        <v>6036.2441733187179</v>
      </c>
      <c r="H214" s="402">
        <f t="shared" si="125"/>
        <v>6192.7329358750712</v>
      </c>
      <c r="I214" s="14">
        <f t="shared" si="125"/>
        <v>7898.9287355809183</v>
      </c>
      <c r="J214" s="14">
        <f t="shared" si="125"/>
        <v>9142.0206538956973</v>
      </c>
      <c r="K214" s="14">
        <f t="shared" si="125"/>
        <v>9156.3643598580747</v>
      </c>
      <c r="L214" s="14">
        <f t="shared" si="125"/>
        <v>9176.2121714381501</v>
      </c>
      <c r="M214" s="14">
        <f t="shared" si="125"/>
        <v>9475.3832327316031</v>
      </c>
      <c r="N214" s="182">
        <f t="shared" si="125"/>
        <v>10232.054804968391</v>
      </c>
      <c r="O214" s="14">
        <f t="shared" si="125"/>
        <v>10570.915997305632</v>
      </c>
      <c r="P214" s="14">
        <f t="shared" si="125"/>
        <v>10950.997800571031</v>
      </c>
      <c r="Q214" s="14">
        <f t="shared" si="125"/>
        <v>11429.712374529014</v>
      </c>
      <c r="R214" s="14">
        <f t="shared" si="125"/>
        <v>11872.410484557531</v>
      </c>
      <c r="S214" s="14">
        <f t="shared" si="125"/>
        <v>12344.419559462829</v>
      </c>
      <c r="T214" s="14">
        <f t="shared" si="125"/>
        <v>12819.641145920983</v>
      </c>
      <c r="U214" s="14">
        <f t="shared" si="125"/>
        <v>13328.342960462824</v>
      </c>
      <c r="V214" s="14">
        <f t="shared" si="125"/>
        <v>13902.473718904374</v>
      </c>
      <c r="W214" s="14">
        <f t="shared" si="125"/>
        <v>14488.408323189495</v>
      </c>
      <c r="X214" s="187">
        <f t="shared" si="125"/>
        <v>14270.878939019853</v>
      </c>
      <c r="Y214" s="158">
        <f t="shared" si="125"/>
        <v>15790.524769983371</v>
      </c>
      <c r="Z214" s="158">
        <f t="shared" si="125"/>
        <v>16513.389183324696</v>
      </c>
      <c r="AA214" s="158">
        <f t="shared" si="125"/>
        <v>17236.994924345767</v>
      </c>
      <c r="AB214" s="158">
        <f t="shared" si="125"/>
        <v>18019.234066289351</v>
      </c>
      <c r="AC214" s="158">
        <f t="shared" si="125"/>
        <v>18879.42803012639</v>
      </c>
      <c r="AD214" s="158">
        <f t="shared" si="125"/>
        <v>19754.324019117346</v>
      </c>
      <c r="AE214" s="158">
        <f t="shared" si="125"/>
        <v>20739.353540081465</v>
      </c>
      <c r="AF214" s="158">
        <f t="shared" si="125"/>
        <v>21785.162419155662</v>
      </c>
      <c r="AG214" s="158">
        <f t="shared" si="125"/>
        <v>22820.211757960315</v>
      </c>
      <c r="AH214" s="187">
        <f t="shared" si="125"/>
        <v>20849.694372952363</v>
      </c>
    </row>
    <row r="215" spans="1:34">
      <c r="A215" t="s">
        <v>399</v>
      </c>
      <c r="C215" s="331">
        <f>C142</f>
        <v>3240.3711600000001</v>
      </c>
      <c r="D215" s="331">
        <f t="shared" ref="D215:AH215" si="126">D142</f>
        <v>4247.120236173706</v>
      </c>
      <c r="E215" s="331">
        <f t="shared" si="126"/>
        <v>4503.4282059851803</v>
      </c>
      <c r="F215" s="331">
        <f t="shared" si="126"/>
        <v>5029.1771338896397</v>
      </c>
      <c r="G215" s="331">
        <f t="shared" si="126"/>
        <v>5432.6194716349009</v>
      </c>
      <c r="H215" s="402">
        <f t="shared" si="126"/>
        <v>5573.4593722875643</v>
      </c>
      <c r="I215" s="14">
        <f t="shared" si="126"/>
        <v>7109.035580137127</v>
      </c>
      <c r="J215" s="14">
        <f t="shared" si="126"/>
        <v>8227.8182926102454</v>
      </c>
      <c r="K215" s="14">
        <f t="shared" si="126"/>
        <v>8240.7276303039307</v>
      </c>
      <c r="L215" s="14">
        <f t="shared" si="126"/>
        <v>8258.5906607864872</v>
      </c>
      <c r="M215" s="14">
        <f t="shared" si="126"/>
        <v>8527.8446133298494</v>
      </c>
      <c r="N215" s="182">
        <f t="shared" si="126"/>
        <v>9208.8490248006801</v>
      </c>
      <c r="O215" s="14">
        <f t="shared" si="126"/>
        <v>9513.8240879798159</v>
      </c>
      <c r="P215" s="14">
        <f t="shared" si="126"/>
        <v>9855.897699787045</v>
      </c>
      <c r="Q215" s="14">
        <f t="shared" si="126"/>
        <v>10286.740802521246</v>
      </c>
      <c r="R215" s="14">
        <f t="shared" si="126"/>
        <v>10685.169088640161</v>
      </c>
      <c r="S215" s="14">
        <f t="shared" si="126"/>
        <v>11109.977244755688</v>
      </c>
      <c r="T215" s="14">
        <f t="shared" si="126"/>
        <v>11537.67666129142</v>
      </c>
      <c r="U215" s="14">
        <f t="shared" si="126"/>
        <v>11995.508282724793</v>
      </c>
      <c r="V215" s="14">
        <f t="shared" si="126"/>
        <v>12512.225952806719</v>
      </c>
      <c r="W215" s="14">
        <f t="shared" si="126"/>
        <v>13039.567085942756</v>
      </c>
      <c r="X215" s="187">
        <f t="shared" si="126"/>
        <v>12843.790627160106</v>
      </c>
      <c r="Y215" s="158">
        <f t="shared" si="126"/>
        <v>14211.471860936068</v>
      </c>
      <c r="Z215" s="158">
        <f t="shared" si="126"/>
        <v>14862.049817339106</v>
      </c>
      <c r="AA215" s="158">
        <f t="shared" si="126"/>
        <v>15513.294968964612</v>
      </c>
      <c r="AB215" s="158">
        <f t="shared" si="126"/>
        <v>16217.310179955706</v>
      </c>
      <c r="AC215" s="158">
        <f t="shared" si="126"/>
        <v>16991.484728431875</v>
      </c>
      <c r="AD215" s="158">
        <f t="shared" si="126"/>
        <v>17778.891099466142</v>
      </c>
      <c r="AE215" s="158">
        <f t="shared" si="126"/>
        <v>18665.417645897895</v>
      </c>
      <c r="AF215" s="158">
        <f t="shared" si="126"/>
        <v>19606.645613061657</v>
      </c>
      <c r="AG215" s="158">
        <f t="shared" si="126"/>
        <v>20538.18999459286</v>
      </c>
      <c r="AH215" s="187">
        <f t="shared" si="126"/>
        <v>18764.724325022587</v>
      </c>
    </row>
    <row r="216" spans="1:34">
      <c r="A216" t="s">
        <v>400</v>
      </c>
      <c r="C216" s="331">
        <f>SUM(C217:C218)</f>
        <v>11331.730150000001</v>
      </c>
      <c r="D216" s="331">
        <f t="shared" ref="D216:AH216" si="127">SUM(D217:D218)</f>
        <v>11738.932419522935</v>
      </c>
      <c r="E216" s="331">
        <f t="shared" si="127"/>
        <v>11890.425602748732</v>
      </c>
      <c r="F216" s="331">
        <f t="shared" si="127"/>
        <v>12440.937898439635</v>
      </c>
      <c r="G216" s="331">
        <f t="shared" si="127"/>
        <v>11964.714376473692</v>
      </c>
      <c r="H216" s="402">
        <f t="shared" si="127"/>
        <v>11332.8902760488</v>
      </c>
      <c r="I216" s="14">
        <f t="shared" si="127"/>
        <v>11918.547870822702</v>
      </c>
      <c r="J216" s="14">
        <f t="shared" si="127"/>
        <v>12602.377598250434</v>
      </c>
      <c r="K216" s="14">
        <f t="shared" si="127"/>
        <v>12594.357890436879</v>
      </c>
      <c r="L216" s="14">
        <f t="shared" si="127"/>
        <v>12683.22989420812</v>
      </c>
      <c r="M216" s="14">
        <f t="shared" si="127"/>
        <v>12889.141524883966</v>
      </c>
      <c r="N216" s="190">
        <f t="shared" si="127"/>
        <v>13137.476220683902</v>
      </c>
      <c r="O216" s="14">
        <f t="shared" si="127"/>
        <v>13136.541108783713</v>
      </c>
      <c r="P216" s="14">
        <f t="shared" si="127"/>
        <v>13170.265275039859</v>
      </c>
      <c r="Q216" s="14">
        <f t="shared" si="127"/>
        <v>13293.858362021116</v>
      </c>
      <c r="R216" s="14">
        <f t="shared" si="127"/>
        <v>13358.760204012466</v>
      </c>
      <c r="S216" s="15">
        <f t="shared" si="127"/>
        <v>13344.122740302319</v>
      </c>
      <c r="T216" s="14">
        <f t="shared" si="127"/>
        <v>13313.899459809334</v>
      </c>
      <c r="U216" s="14">
        <f t="shared" si="127"/>
        <v>13282.957068932814</v>
      </c>
      <c r="V216" s="14">
        <f t="shared" si="127"/>
        <v>13267.089148165283</v>
      </c>
      <c r="W216" s="14">
        <f t="shared" si="127"/>
        <v>13177.808386901484</v>
      </c>
      <c r="X216" s="187">
        <f t="shared" si="127"/>
        <v>13150.93839574881</v>
      </c>
      <c r="Y216" s="158">
        <f t="shared" si="127"/>
        <v>13093.962888354712</v>
      </c>
      <c r="Z216" s="158">
        <f t="shared" si="127"/>
        <v>13066.525855746062</v>
      </c>
      <c r="AA216" s="158">
        <f t="shared" si="127"/>
        <v>13013.549658135715</v>
      </c>
      <c r="AB216" s="158">
        <f t="shared" si="127"/>
        <v>12985.259927389299</v>
      </c>
      <c r="AC216" s="158">
        <f t="shared" si="127"/>
        <v>12998.007387652731</v>
      </c>
      <c r="AD216" s="158">
        <f t="shared" si="127"/>
        <v>12992.870743346502</v>
      </c>
      <c r="AE216" s="158">
        <f t="shared" si="127"/>
        <v>13050.668932114284</v>
      </c>
      <c r="AF216" s="158">
        <f t="shared" si="127"/>
        <v>13121.434690143089</v>
      </c>
      <c r="AG216" s="158">
        <f t="shared" si="127"/>
        <v>13153.897985587764</v>
      </c>
      <c r="AH216" s="187">
        <f t="shared" si="127"/>
        <v>13157.261103685243</v>
      </c>
    </row>
    <row r="217" spans="1:34">
      <c r="A217" t="s">
        <v>401</v>
      </c>
      <c r="C217" s="331">
        <f>C114</f>
        <v>5964.0685000000003</v>
      </c>
      <c r="D217" s="331">
        <f t="shared" ref="D217:AH217" si="128">D114</f>
        <v>6178.3854839594396</v>
      </c>
      <c r="E217" s="331">
        <f t="shared" si="128"/>
        <v>6258.1187382888065</v>
      </c>
      <c r="F217" s="331">
        <f t="shared" si="128"/>
        <v>6547.8620518103344</v>
      </c>
      <c r="G217" s="331">
        <f t="shared" si="128"/>
        <v>6297.2180928808903</v>
      </c>
      <c r="H217" s="402">
        <f t="shared" si="128"/>
        <v>5964.679092657263</v>
      </c>
      <c r="I217" s="14">
        <f t="shared" si="128"/>
        <v>6272.9199320119487</v>
      </c>
      <c r="J217" s="14">
        <f t="shared" si="128"/>
        <v>6632.8303148686491</v>
      </c>
      <c r="K217" s="14">
        <f t="shared" si="128"/>
        <v>6628.6094160194098</v>
      </c>
      <c r="L217" s="14">
        <f t="shared" si="128"/>
        <v>6675.3841548463788</v>
      </c>
      <c r="M217" s="14">
        <f t="shared" si="128"/>
        <v>6783.7586973073503</v>
      </c>
      <c r="N217" s="187">
        <f t="shared" si="128"/>
        <v>6914.4611687810011</v>
      </c>
      <c r="O217" s="14">
        <f t="shared" si="128"/>
        <v>6913.9690046230062</v>
      </c>
      <c r="P217" s="14">
        <f t="shared" si="128"/>
        <v>6931.7185658104527</v>
      </c>
      <c r="Q217" s="14">
        <f t="shared" si="128"/>
        <v>6996.7675589584824</v>
      </c>
      <c r="R217" s="14">
        <f t="shared" si="128"/>
        <v>7030.9264231644565</v>
      </c>
      <c r="S217" s="14">
        <f t="shared" si="128"/>
        <v>7023.2224948959574</v>
      </c>
      <c r="T217" s="14">
        <f t="shared" si="128"/>
        <v>7007.3155051628073</v>
      </c>
      <c r="U217" s="14">
        <f t="shared" si="128"/>
        <v>6991.0300362804282</v>
      </c>
      <c r="V217" s="14">
        <f t="shared" si="128"/>
        <v>6982.6784990343594</v>
      </c>
      <c r="W217" s="14">
        <f t="shared" si="128"/>
        <v>6935.6886246849917</v>
      </c>
      <c r="X217" s="187">
        <f t="shared" si="128"/>
        <v>6921.5465240783215</v>
      </c>
      <c r="Y217" s="158">
        <f t="shared" si="128"/>
        <v>6891.559414923533</v>
      </c>
      <c r="Z217" s="158">
        <f t="shared" si="128"/>
        <v>6877.1188714452956</v>
      </c>
      <c r="AA217" s="158">
        <f t="shared" si="128"/>
        <v>6849.2366621766914</v>
      </c>
      <c r="AB217" s="158">
        <f t="shared" si="128"/>
        <v>6834.3473302048942</v>
      </c>
      <c r="AC217" s="158">
        <f t="shared" si="128"/>
        <v>6841.0565198172271</v>
      </c>
      <c r="AD217" s="158">
        <f t="shared" si="128"/>
        <v>6838.3530228139489</v>
      </c>
      <c r="AE217" s="158">
        <f t="shared" si="128"/>
        <v>6868.7731221654121</v>
      </c>
      <c r="AF217" s="158">
        <f t="shared" si="128"/>
        <v>6906.0182579700468</v>
      </c>
      <c r="AG217" s="158">
        <f t="shared" si="128"/>
        <v>6923.1042029409291</v>
      </c>
      <c r="AH217" s="187">
        <f t="shared" si="128"/>
        <v>6924.8742650974964</v>
      </c>
    </row>
    <row r="218" spans="1:34">
      <c r="A218" t="s">
        <v>402</v>
      </c>
      <c r="C218" s="331">
        <f>C141</f>
        <v>5367.6616500000009</v>
      </c>
      <c r="D218" s="331">
        <f t="shared" ref="D218:AH218" si="129">D141</f>
        <v>5560.5469355634959</v>
      </c>
      <c r="E218" s="331">
        <f t="shared" si="129"/>
        <v>5632.3068644599261</v>
      </c>
      <c r="F218" s="331">
        <f t="shared" si="129"/>
        <v>5893.0758466293009</v>
      </c>
      <c r="G218" s="331">
        <f t="shared" si="129"/>
        <v>5667.4962835928018</v>
      </c>
      <c r="H218" s="402">
        <f t="shared" si="129"/>
        <v>5368.2111833915369</v>
      </c>
      <c r="I218" s="14">
        <f t="shared" si="129"/>
        <v>5645.6279388107541</v>
      </c>
      <c r="J218" s="14">
        <f t="shared" si="129"/>
        <v>5969.5472833817839</v>
      </c>
      <c r="K218" s="14">
        <f t="shared" si="129"/>
        <v>5965.748474417469</v>
      </c>
      <c r="L218" s="14">
        <f t="shared" si="129"/>
        <v>6007.8457393617409</v>
      </c>
      <c r="M218" s="14">
        <f t="shared" si="129"/>
        <v>6105.3828275766164</v>
      </c>
      <c r="N218" s="187">
        <f t="shared" si="129"/>
        <v>6223.0150519029012</v>
      </c>
      <c r="O218" s="14">
        <f t="shared" si="129"/>
        <v>6222.5721041607057</v>
      </c>
      <c r="P218" s="14">
        <f t="shared" si="129"/>
        <v>6238.5467092294075</v>
      </c>
      <c r="Q218" s="14">
        <f t="shared" si="129"/>
        <v>6297.0908030626333</v>
      </c>
      <c r="R218" s="14">
        <f t="shared" si="129"/>
        <v>6327.8337808480101</v>
      </c>
      <c r="S218" s="14">
        <f t="shared" si="129"/>
        <v>6320.9002454063611</v>
      </c>
      <c r="T218" s="14">
        <f t="shared" si="129"/>
        <v>6306.5839546465268</v>
      </c>
      <c r="U218" s="14">
        <f t="shared" si="129"/>
        <v>6291.9270326523865</v>
      </c>
      <c r="V218" s="14">
        <f t="shared" si="129"/>
        <v>6284.410649130923</v>
      </c>
      <c r="W218" s="14">
        <f t="shared" si="129"/>
        <v>6242.1197622164927</v>
      </c>
      <c r="X218" s="187">
        <f t="shared" si="129"/>
        <v>6229.3918716704893</v>
      </c>
      <c r="Y218" s="158">
        <f t="shared" si="129"/>
        <v>6202.4034734311799</v>
      </c>
      <c r="Z218" s="158">
        <f t="shared" si="129"/>
        <v>6189.4069843007665</v>
      </c>
      <c r="AA218" s="158">
        <f t="shared" si="129"/>
        <v>6164.3129959590224</v>
      </c>
      <c r="AB218" s="158">
        <f t="shared" si="129"/>
        <v>6150.9125971844051</v>
      </c>
      <c r="AC218" s="158">
        <f t="shared" si="129"/>
        <v>6156.9508678355051</v>
      </c>
      <c r="AD218" s="158">
        <f t="shared" si="129"/>
        <v>6154.5177205325544</v>
      </c>
      <c r="AE218" s="158">
        <f t="shared" si="129"/>
        <v>6181.8958099488709</v>
      </c>
      <c r="AF218" s="158">
        <f t="shared" si="129"/>
        <v>6215.4164321730423</v>
      </c>
      <c r="AG218" s="158">
        <f t="shared" si="129"/>
        <v>6230.7937826468351</v>
      </c>
      <c r="AH218" s="187">
        <f t="shared" si="129"/>
        <v>6232.3868385877477</v>
      </c>
    </row>
    <row r="219" spans="1:34" s="1" customFormat="1">
      <c r="A219" s="1" t="s">
        <v>394</v>
      </c>
      <c r="B219" s="13"/>
      <c r="C219" s="341">
        <f>SUM(C220:C221)</f>
        <v>68594.635999999969</v>
      </c>
      <c r="D219" s="341">
        <f t="shared" ref="D219:AH219" si="130">SUM(D220:D221)</f>
        <v>70162.211855141722</v>
      </c>
      <c r="E219" s="341">
        <f t="shared" si="130"/>
        <v>70860.713672775048</v>
      </c>
      <c r="F219" s="341">
        <f t="shared" si="130"/>
        <v>74014.501482787833</v>
      </c>
      <c r="G219" s="341">
        <f t="shared" si="130"/>
        <v>70817.206862501276</v>
      </c>
      <c r="H219" s="405">
        <f t="shared" si="130"/>
        <v>70132.699438498064</v>
      </c>
      <c r="I219" s="15">
        <f t="shared" si="130"/>
        <v>71813.152925176575</v>
      </c>
      <c r="J219" s="15">
        <f t="shared" si="130"/>
        <v>74736.062220063555</v>
      </c>
      <c r="K219" s="15">
        <f t="shared" si="130"/>
        <v>74263.958267544192</v>
      </c>
      <c r="L219" s="15">
        <f t="shared" si="130"/>
        <v>74390.948588638043</v>
      </c>
      <c r="M219" s="15">
        <f t="shared" si="130"/>
        <v>74959.664631297841</v>
      </c>
      <c r="N219" s="190">
        <f t="shared" si="130"/>
        <v>75339.003414607374</v>
      </c>
      <c r="O219" s="15">
        <f t="shared" si="130"/>
        <v>75956.118134869466</v>
      </c>
      <c r="P219" s="15">
        <f t="shared" si="130"/>
        <v>76782.408000314084</v>
      </c>
      <c r="Q219" s="15">
        <f t="shared" si="130"/>
        <v>78141.035466407018</v>
      </c>
      <c r="R219" s="15">
        <f t="shared" si="130"/>
        <v>79175.049838715262</v>
      </c>
      <c r="S219" s="15">
        <f t="shared" si="130"/>
        <v>79699.561700286577</v>
      </c>
      <c r="T219" s="15">
        <f t="shared" si="130"/>
        <v>80162.12734101458</v>
      </c>
      <c r="U219" s="15">
        <f t="shared" si="130"/>
        <v>80622.422893997165</v>
      </c>
      <c r="V219" s="15">
        <f t="shared" si="130"/>
        <v>81170.750383417617</v>
      </c>
      <c r="W219" s="15">
        <f t="shared" si="130"/>
        <v>81217.556999515509</v>
      </c>
      <c r="X219" s="190">
        <f t="shared" si="130"/>
        <v>81978.410791235307</v>
      </c>
      <c r="Y219" s="130">
        <f t="shared" si="130"/>
        <v>81624.965382155031</v>
      </c>
      <c r="Z219" s="130">
        <f t="shared" si="130"/>
        <v>81730.473993257066</v>
      </c>
      <c r="AA219" s="130">
        <f t="shared" si="130"/>
        <v>81660.264519768796</v>
      </c>
      <c r="AB219" s="130">
        <f t="shared" si="130"/>
        <v>81732.383988256857</v>
      </c>
      <c r="AC219" s="130">
        <f t="shared" si="130"/>
        <v>82055.736086036937</v>
      </c>
      <c r="AD219" s="130">
        <f t="shared" si="130"/>
        <v>82249.670363146608</v>
      </c>
      <c r="AE219" s="130">
        <f t="shared" si="130"/>
        <v>82837.464118535892</v>
      </c>
      <c r="AF219" s="130">
        <f t="shared" si="130"/>
        <v>83489.362140663114</v>
      </c>
      <c r="AG219" s="130">
        <f t="shared" si="130"/>
        <v>83878.538774502376</v>
      </c>
      <c r="AH219" s="190">
        <f t="shared" si="130"/>
        <v>84858.83244169809</v>
      </c>
    </row>
    <row r="220" spans="1:34">
      <c r="A220" t="s">
        <v>403</v>
      </c>
      <c r="C220" s="331">
        <f>SUM(C116:C117)</f>
        <v>36102.439999999988</v>
      </c>
      <c r="D220" s="331">
        <f t="shared" ref="D220:AH220" si="131">SUM(D116:D117)</f>
        <v>36927.479923758801</v>
      </c>
      <c r="E220" s="331">
        <f t="shared" si="131"/>
        <v>37295.112459355281</v>
      </c>
      <c r="F220" s="331">
        <f t="shared" si="131"/>
        <v>38955.000780414644</v>
      </c>
      <c r="G220" s="331">
        <f t="shared" si="131"/>
        <v>37272.214138158568</v>
      </c>
      <c r="H220" s="402">
        <f t="shared" si="131"/>
        <v>36911.947072893723</v>
      </c>
      <c r="I220" s="14">
        <f t="shared" si="131"/>
        <v>37796.396276408719</v>
      </c>
      <c r="J220" s="14">
        <f t="shared" si="131"/>
        <v>39334.769589507137</v>
      </c>
      <c r="K220" s="14">
        <f t="shared" si="131"/>
        <v>39086.293825023262</v>
      </c>
      <c r="L220" s="14">
        <f t="shared" si="131"/>
        <v>39153.130836125289</v>
      </c>
      <c r="M220" s="14">
        <f t="shared" si="131"/>
        <v>39452.45506910413</v>
      </c>
      <c r="N220" s="187">
        <f t="shared" si="131"/>
        <v>39652.107060319664</v>
      </c>
      <c r="O220" s="14">
        <f t="shared" si="131"/>
        <v>39976.904281510244</v>
      </c>
      <c r="P220" s="14">
        <f t="shared" si="131"/>
        <v>40411.793684375829</v>
      </c>
      <c r="Q220" s="14">
        <f t="shared" si="131"/>
        <v>41126.860771793174</v>
      </c>
      <c r="R220" s="14">
        <f t="shared" si="131"/>
        <v>41671.078862481714</v>
      </c>
      <c r="S220" s="14">
        <f t="shared" si="131"/>
        <v>41947.13773699294</v>
      </c>
      <c r="T220" s="14">
        <f t="shared" si="131"/>
        <v>42190.593337376093</v>
      </c>
      <c r="U220" s="14">
        <f t="shared" si="131"/>
        <v>42432.854154735345</v>
      </c>
      <c r="V220" s="14">
        <f t="shared" si="131"/>
        <v>42721.447570219796</v>
      </c>
      <c r="W220" s="14">
        <f t="shared" si="131"/>
        <v>42746.082631323952</v>
      </c>
      <c r="X220" s="187">
        <f t="shared" si="131"/>
        <v>43146.531995387006</v>
      </c>
      <c r="Y220" s="158">
        <f t="shared" si="131"/>
        <v>42960.508095871068</v>
      </c>
      <c r="Z220" s="158">
        <f t="shared" si="131"/>
        <v>43016.038943819505</v>
      </c>
      <c r="AA220" s="158">
        <f t="shared" si="131"/>
        <v>42979.086589351995</v>
      </c>
      <c r="AB220" s="158">
        <f t="shared" si="131"/>
        <v>43017.044204345715</v>
      </c>
      <c r="AC220" s="158">
        <f t="shared" si="131"/>
        <v>43187.229518966808</v>
      </c>
      <c r="AD220" s="158">
        <f t="shared" si="131"/>
        <v>43289.300191129798</v>
      </c>
      <c r="AE220" s="158">
        <f t="shared" si="131"/>
        <v>43598.665325545211</v>
      </c>
      <c r="AF220" s="158">
        <f t="shared" si="131"/>
        <v>43941.769547717427</v>
      </c>
      <c r="AG220" s="158">
        <f t="shared" si="131"/>
        <v>44146.59935500125</v>
      </c>
      <c r="AH220" s="187">
        <f t="shared" si="131"/>
        <v>44662.54339036742</v>
      </c>
    </row>
    <row r="221" spans="1:34">
      <c r="A221" t="s">
        <v>404</v>
      </c>
      <c r="C221" s="331">
        <f>SUM(C143:C144)</f>
        <v>32492.195999999989</v>
      </c>
      <c r="D221" s="331">
        <f t="shared" ref="D221:AH221" si="132">SUM(D143:D144)</f>
        <v>33234.731931382921</v>
      </c>
      <c r="E221" s="331">
        <f t="shared" si="132"/>
        <v>33565.601213419759</v>
      </c>
      <c r="F221" s="331">
        <f t="shared" si="132"/>
        <v>35059.500702373181</v>
      </c>
      <c r="G221" s="331">
        <f t="shared" si="132"/>
        <v>33544.992724342716</v>
      </c>
      <c r="H221" s="402">
        <f t="shared" si="132"/>
        <v>33220.752365604349</v>
      </c>
      <c r="I221" s="14">
        <f t="shared" si="132"/>
        <v>34016.756648767849</v>
      </c>
      <c r="J221" s="14">
        <f t="shared" si="132"/>
        <v>35401.292630556425</v>
      </c>
      <c r="K221" s="14">
        <f t="shared" si="132"/>
        <v>35177.664442520938</v>
      </c>
      <c r="L221" s="14">
        <f t="shared" si="132"/>
        <v>35237.817752512761</v>
      </c>
      <c r="M221" s="14">
        <f t="shared" si="132"/>
        <v>35507.209562193719</v>
      </c>
      <c r="N221" s="187">
        <f t="shared" si="132"/>
        <v>35686.896354287703</v>
      </c>
      <c r="O221" s="14">
        <f t="shared" si="132"/>
        <v>35979.213853359222</v>
      </c>
      <c r="P221" s="14">
        <f t="shared" si="132"/>
        <v>36370.614315938248</v>
      </c>
      <c r="Q221" s="14">
        <f t="shared" si="132"/>
        <v>37014.174694613852</v>
      </c>
      <c r="R221" s="14">
        <f t="shared" si="132"/>
        <v>37503.970976233541</v>
      </c>
      <c r="S221" s="14">
        <f t="shared" si="132"/>
        <v>37752.423963293644</v>
      </c>
      <c r="T221" s="14">
        <f t="shared" si="132"/>
        <v>37971.534003638488</v>
      </c>
      <c r="U221" s="14">
        <f t="shared" si="132"/>
        <v>38189.568739261813</v>
      </c>
      <c r="V221" s="14">
        <f t="shared" si="132"/>
        <v>38449.302813197821</v>
      </c>
      <c r="W221" s="14">
        <f t="shared" si="132"/>
        <v>38471.474368191557</v>
      </c>
      <c r="X221" s="187">
        <f t="shared" si="132"/>
        <v>38831.878795848301</v>
      </c>
      <c r="Y221" s="158">
        <f t="shared" si="132"/>
        <v>38664.457286283963</v>
      </c>
      <c r="Z221" s="158">
        <f t="shared" si="132"/>
        <v>38714.435049437554</v>
      </c>
      <c r="AA221" s="158">
        <f t="shared" si="132"/>
        <v>38681.177930416794</v>
      </c>
      <c r="AB221" s="158">
        <f t="shared" si="132"/>
        <v>38715.339783911142</v>
      </c>
      <c r="AC221" s="158">
        <f t="shared" si="132"/>
        <v>38868.50656707013</v>
      </c>
      <c r="AD221" s="158">
        <f t="shared" si="132"/>
        <v>38960.370172016817</v>
      </c>
      <c r="AE221" s="158">
        <f t="shared" si="132"/>
        <v>39238.798792990689</v>
      </c>
      <c r="AF221" s="158">
        <f t="shared" si="132"/>
        <v>39547.592592945686</v>
      </c>
      <c r="AG221" s="158">
        <f t="shared" si="132"/>
        <v>39731.939419501126</v>
      </c>
      <c r="AH221" s="187">
        <f t="shared" si="132"/>
        <v>40196.289051330677</v>
      </c>
    </row>
    <row r="222" spans="1:34">
      <c r="A222" s="1" t="s">
        <v>426</v>
      </c>
      <c r="C222" s="331">
        <f>SUM(C210,C213,C216,C219)</f>
        <v>86767.150009999968</v>
      </c>
      <c r="D222" s="331">
        <f t="shared" ref="D222:AH222" si="133">SUM(D210,D213,D216,D219)</f>
        <v>90867.287306055499</v>
      </c>
      <c r="E222" s="331">
        <f t="shared" si="133"/>
        <v>92258.376913655899</v>
      </c>
      <c r="F222" s="331">
        <f t="shared" si="133"/>
        <v>97072.591437058858</v>
      </c>
      <c r="G222" s="331">
        <f t="shared" si="133"/>
        <v>94250.784883928587</v>
      </c>
      <c r="H222" s="402">
        <f t="shared" si="133"/>
        <v>93231.782022709493</v>
      </c>
      <c r="I222" s="14">
        <f t="shared" si="133"/>
        <v>98739.665111717331</v>
      </c>
      <c r="J222" s="14">
        <f t="shared" si="133"/>
        <v>104708.27876481993</v>
      </c>
      <c r="K222" s="14">
        <f t="shared" si="133"/>
        <v>104255.40814814308</v>
      </c>
      <c r="L222" s="14">
        <f t="shared" si="133"/>
        <v>104508.98131507079</v>
      </c>
      <c r="M222" s="14">
        <f t="shared" si="133"/>
        <v>105852.03400224326</v>
      </c>
      <c r="N222" s="187">
        <f t="shared" si="133"/>
        <v>107917.38346506035</v>
      </c>
      <c r="O222" s="14">
        <f t="shared" si="133"/>
        <v>109177.39932893863</v>
      </c>
      <c r="P222" s="14">
        <f t="shared" si="133"/>
        <v>110759.56877571202</v>
      </c>
      <c r="Q222" s="14">
        <f t="shared" si="133"/>
        <v>113151.3470054784</v>
      </c>
      <c r="R222" s="14">
        <f t="shared" si="133"/>
        <v>115091.38961592542</v>
      </c>
      <c r="S222" s="14">
        <f t="shared" si="133"/>
        <v>116498.08124480741</v>
      </c>
      <c r="T222" s="14">
        <f t="shared" si="133"/>
        <v>117833.34460803632</v>
      </c>
      <c r="U222" s="14">
        <f t="shared" si="133"/>
        <v>119229.23120611759</v>
      </c>
      <c r="V222" s="14">
        <f t="shared" si="133"/>
        <v>120852.539203294</v>
      </c>
      <c r="W222" s="14">
        <f t="shared" si="133"/>
        <v>121923.34079554924</v>
      </c>
      <c r="X222" s="187">
        <f t="shared" si="133"/>
        <v>122244.01875316407</v>
      </c>
      <c r="Y222" s="158">
        <f t="shared" si="133"/>
        <v>124720.92490142919</v>
      </c>
      <c r="Z222" s="158">
        <f t="shared" si="133"/>
        <v>126172.43884966693</v>
      </c>
      <c r="AA222" s="158">
        <f t="shared" si="133"/>
        <v>127424.10407121488</v>
      </c>
      <c r="AB222" s="158">
        <f t="shared" si="133"/>
        <v>128954.18816189122</v>
      </c>
      <c r="AC222" s="158">
        <f t="shared" si="133"/>
        <v>130924.65623224793</v>
      </c>
      <c r="AD222" s="158">
        <f t="shared" si="133"/>
        <v>132775.75622507659</v>
      </c>
      <c r="AE222" s="158">
        <f t="shared" si="133"/>
        <v>135292.90423662955</v>
      </c>
      <c r="AF222" s="158">
        <f t="shared" si="133"/>
        <v>138002.60486302353</v>
      </c>
      <c r="AG222" s="158">
        <f t="shared" si="133"/>
        <v>140390.8385126433</v>
      </c>
      <c r="AH222" s="187">
        <f t="shared" si="133"/>
        <v>137630.5122433583</v>
      </c>
    </row>
    <row r="223" spans="1:34" s="1" customFormat="1">
      <c r="A223" s="1" t="s">
        <v>444</v>
      </c>
      <c r="B223" s="13"/>
      <c r="C223" s="328" t="s">
        <v>0</v>
      </c>
      <c r="D223" s="341">
        <f>D210+D213</f>
        <v>8966.1430313908386</v>
      </c>
      <c r="E223" s="341">
        <f t="shared" ref="E223:AH223" si="134">E210+E213</f>
        <v>9507.2376381321246</v>
      </c>
      <c r="F223" s="341">
        <f t="shared" si="134"/>
        <v>10617.152055831393</v>
      </c>
      <c r="G223" s="341">
        <f t="shared" si="134"/>
        <v>11468.863644953619</v>
      </c>
      <c r="H223" s="405">
        <f>H210+H213</f>
        <v>11766.192308162636</v>
      </c>
      <c r="I223" s="15">
        <f t="shared" si="134"/>
        <v>15007.964315718045</v>
      </c>
      <c r="J223" s="15">
        <f t="shared" si="134"/>
        <v>17369.838946505944</v>
      </c>
      <c r="K223" s="15">
        <f t="shared" si="134"/>
        <v>17397.091990162007</v>
      </c>
      <c r="L223" s="15">
        <f t="shared" si="134"/>
        <v>17434.802832224639</v>
      </c>
      <c r="M223" s="15">
        <f t="shared" si="134"/>
        <v>18003.227846061454</v>
      </c>
      <c r="N223" s="190">
        <f t="shared" si="134"/>
        <v>19440.903829769071</v>
      </c>
      <c r="O223" s="15">
        <f t="shared" si="134"/>
        <v>20084.740085285448</v>
      </c>
      <c r="P223" s="15">
        <f t="shared" si="134"/>
        <v>20806.895500358078</v>
      </c>
      <c r="Q223" s="15">
        <f t="shared" si="134"/>
        <v>21716.453177050258</v>
      </c>
      <c r="R223" s="15">
        <f t="shared" si="134"/>
        <v>22557.57957319769</v>
      </c>
      <c r="S223" s="15">
        <f t="shared" si="134"/>
        <v>23454.396804218515</v>
      </c>
      <c r="T223" s="15">
        <f t="shared" si="134"/>
        <v>24357.317807212403</v>
      </c>
      <c r="U223" s="15">
        <f t="shared" si="134"/>
        <v>25323.851243187615</v>
      </c>
      <c r="V223" s="15">
        <f t="shared" si="134"/>
        <v>26414.699671711092</v>
      </c>
      <c r="W223" s="15">
        <f t="shared" si="134"/>
        <v>27527.97540913225</v>
      </c>
      <c r="X223" s="190">
        <f t="shared" si="134"/>
        <v>27114.66956617996</v>
      </c>
      <c r="Y223" s="130">
        <f t="shared" si="134"/>
        <v>30001.996630919439</v>
      </c>
      <c r="Z223" s="130">
        <f t="shared" si="134"/>
        <v>31375.439000663802</v>
      </c>
      <c r="AA223" s="130">
        <f t="shared" si="134"/>
        <v>32750.289893310379</v>
      </c>
      <c r="AB223" s="130">
        <f t="shared" si="134"/>
        <v>34236.544246245059</v>
      </c>
      <c r="AC223" s="130">
        <f t="shared" si="134"/>
        <v>35870.912758558261</v>
      </c>
      <c r="AD223" s="130">
        <f t="shared" si="134"/>
        <v>37533.215118583488</v>
      </c>
      <c r="AE223" s="130">
        <f t="shared" si="134"/>
        <v>39404.771185979364</v>
      </c>
      <c r="AF223" s="130">
        <f t="shared" si="134"/>
        <v>41391.808032217319</v>
      </c>
      <c r="AG223" s="130">
        <f t="shared" si="134"/>
        <v>43358.401752553174</v>
      </c>
      <c r="AH223" s="190">
        <f t="shared" si="134"/>
        <v>39614.41869797495</v>
      </c>
    </row>
    <row r="224" spans="1:34">
      <c r="A224" t="s">
        <v>447</v>
      </c>
      <c r="D224" s="331">
        <f>D210+D213+D216</f>
        <v>20705.075450913773</v>
      </c>
      <c r="E224" s="331">
        <f t="shared" ref="E224:AH224" si="135">E210+E213+E216</f>
        <v>21397.663240880858</v>
      </c>
      <c r="F224" s="331">
        <f t="shared" si="135"/>
        <v>23058.089954271029</v>
      </c>
      <c r="G224" s="331">
        <f t="shared" si="135"/>
        <v>23433.578021427311</v>
      </c>
      <c r="H224" s="402">
        <f t="shared" si="135"/>
        <v>23099.082584211435</v>
      </c>
      <c r="I224" s="14">
        <f t="shared" si="135"/>
        <v>26926.512186540749</v>
      </c>
      <c r="J224" s="14">
        <f t="shared" si="135"/>
        <v>29972.216544756378</v>
      </c>
      <c r="K224" s="14">
        <f t="shared" si="135"/>
        <v>29991.449880598884</v>
      </c>
      <c r="L224" s="14">
        <f t="shared" si="135"/>
        <v>30118.032726432757</v>
      </c>
      <c r="M224" s="14">
        <f t="shared" si="135"/>
        <v>30892.36937094542</v>
      </c>
      <c r="N224" s="187">
        <f t="shared" si="135"/>
        <v>32578.380050452972</v>
      </c>
      <c r="O224" s="14">
        <f t="shared" si="135"/>
        <v>33221.281194069161</v>
      </c>
      <c r="P224" s="14">
        <f t="shared" si="135"/>
        <v>33977.160775397933</v>
      </c>
      <c r="Q224" s="14">
        <f t="shared" si="135"/>
        <v>35010.311539071372</v>
      </c>
      <c r="R224" s="14">
        <f t="shared" si="135"/>
        <v>35916.33977721016</v>
      </c>
      <c r="S224" s="14">
        <f t="shared" si="135"/>
        <v>36798.519544520837</v>
      </c>
      <c r="T224" s="14">
        <f t="shared" si="135"/>
        <v>37671.217267021741</v>
      </c>
      <c r="U224" s="14">
        <f t="shared" si="135"/>
        <v>38606.808312120425</v>
      </c>
      <c r="V224" s="14">
        <f t="shared" si="135"/>
        <v>39681.788819876376</v>
      </c>
      <c r="W224" s="14">
        <f t="shared" si="135"/>
        <v>40705.783796033735</v>
      </c>
      <c r="X224" s="187">
        <f t="shared" si="135"/>
        <v>40265.60796192877</v>
      </c>
      <c r="Y224" s="158">
        <f t="shared" si="135"/>
        <v>43095.959519274154</v>
      </c>
      <c r="Z224" s="158">
        <f t="shared" si="135"/>
        <v>44441.964856409861</v>
      </c>
      <c r="AA224" s="158">
        <f t="shared" si="135"/>
        <v>45763.839551446094</v>
      </c>
      <c r="AB224" s="158">
        <f t="shared" si="135"/>
        <v>47221.804173634358</v>
      </c>
      <c r="AC224" s="158">
        <f t="shared" si="135"/>
        <v>48868.920146210992</v>
      </c>
      <c r="AD224" s="158">
        <f t="shared" si="135"/>
        <v>50526.085861929991</v>
      </c>
      <c r="AE224" s="158">
        <f t="shared" si="135"/>
        <v>52455.440118093647</v>
      </c>
      <c r="AF224" s="158">
        <f t="shared" si="135"/>
        <v>54513.24272236041</v>
      </c>
      <c r="AG224" s="158">
        <f t="shared" si="135"/>
        <v>56512.299738140937</v>
      </c>
      <c r="AH224" s="187">
        <f t="shared" si="135"/>
        <v>52771.679801660197</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8966.1430313908386</v>
      </c>
      <c r="E226" s="331">
        <f>D226+E210+E213</f>
        <v>18473.380669522965</v>
      </c>
      <c r="F226" s="331">
        <f>E226+F210+F213</f>
        <v>29090.532725354358</v>
      </c>
      <c r="G226" s="331">
        <f>F226+G210+G213</f>
        <v>40559.396370307979</v>
      </c>
      <c r="H226" s="402">
        <f t="shared" ref="H226:X226" si="136">G226+H210+H213</f>
        <v>52325.588678470616</v>
      </c>
      <c r="I226" s="14">
        <f t="shared" si="136"/>
        <v>67333.552994188663</v>
      </c>
      <c r="J226" s="14">
        <f t="shared" si="136"/>
        <v>84703.391940694608</v>
      </c>
      <c r="K226" s="14">
        <f t="shared" si="136"/>
        <v>102100.48393085662</v>
      </c>
      <c r="L226" s="14">
        <f t="shared" si="136"/>
        <v>119535.28676308125</v>
      </c>
      <c r="M226" s="14">
        <f t="shared" si="136"/>
        <v>137538.5146091427</v>
      </c>
      <c r="N226" s="187">
        <f t="shared" si="136"/>
        <v>156979.41843891179</v>
      </c>
      <c r="O226" s="14">
        <f t="shared" si="136"/>
        <v>177064.15852419724</v>
      </c>
      <c r="P226" s="14">
        <f t="shared" si="136"/>
        <v>197871.05402455531</v>
      </c>
      <c r="Q226" s="14">
        <f t="shared" si="136"/>
        <v>219587.50720160556</v>
      </c>
      <c r="R226" s="14">
        <f t="shared" si="136"/>
        <v>242145.08677480326</v>
      </c>
      <c r="S226" s="14">
        <f t="shared" si="136"/>
        <v>265599.48357902176</v>
      </c>
      <c r="T226" s="14">
        <f t="shared" si="136"/>
        <v>289956.80138623418</v>
      </c>
      <c r="U226" s="14">
        <f t="shared" si="136"/>
        <v>315280.65262942179</v>
      </c>
      <c r="V226" s="14">
        <f t="shared" si="136"/>
        <v>341695.35230113287</v>
      </c>
      <c r="W226" s="14">
        <f t="shared" si="136"/>
        <v>369223.32771026512</v>
      </c>
      <c r="X226" s="187">
        <f t="shared" si="136"/>
        <v>396337.99727644509</v>
      </c>
      <c r="Y226" s="158">
        <f t="shared" ref="Y226:AH226" si="137">X226+Y210+Y213</f>
        <v>426339.99390736455</v>
      </c>
      <c r="Z226" s="158">
        <f t="shared" si="137"/>
        <v>457715.43290802836</v>
      </c>
      <c r="AA226" s="158">
        <f t="shared" si="137"/>
        <v>490465.72280133876</v>
      </c>
      <c r="AB226" s="158">
        <f t="shared" si="137"/>
        <v>524702.26704758382</v>
      </c>
      <c r="AC226" s="158">
        <f t="shared" si="137"/>
        <v>560573.17980614211</v>
      </c>
      <c r="AD226" s="158">
        <f t="shared" si="137"/>
        <v>598106.39492472564</v>
      </c>
      <c r="AE226" s="158">
        <f t="shared" si="137"/>
        <v>637511.166110705</v>
      </c>
      <c r="AF226" s="158">
        <f t="shared" si="137"/>
        <v>678902.97414292232</v>
      </c>
      <c r="AG226" s="158">
        <f t="shared" si="137"/>
        <v>722261.3758954755</v>
      </c>
      <c r="AH226" s="187">
        <f t="shared" si="137"/>
        <v>761875.7945934505</v>
      </c>
    </row>
    <row r="227" spans="1:34">
      <c r="A227" s="1" t="s">
        <v>455</v>
      </c>
      <c r="D227" s="331">
        <f>D219</f>
        <v>70162.211855141722</v>
      </c>
      <c r="E227" s="331">
        <f>D227+E219</f>
        <v>141022.92552791676</v>
      </c>
      <c r="F227" s="331">
        <f>E227+F219</f>
        <v>215037.42701070459</v>
      </c>
      <c r="G227" s="331">
        <f t="shared" ref="G227:X227" si="138">F227+G219</f>
        <v>285854.63387320586</v>
      </c>
      <c r="H227" s="402">
        <f t="shared" si="138"/>
        <v>355987.33331170393</v>
      </c>
      <c r="I227" s="14">
        <f t="shared" si="138"/>
        <v>427800.48623688053</v>
      </c>
      <c r="J227" s="14">
        <f t="shared" si="138"/>
        <v>502536.54845694406</v>
      </c>
      <c r="K227" s="14">
        <f t="shared" si="138"/>
        <v>576800.50672448822</v>
      </c>
      <c r="L227" s="14">
        <f t="shared" si="138"/>
        <v>651191.45531312632</v>
      </c>
      <c r="M227" s="14">
        <f t="shared" si="138"/>
        <v>726151.11994442414</v>
      </c>
      <c r="N227" s="187">
        <f t="shared" si="138"/>
        <v>801490.12335903151</v>
      </c>
      <c r="O227" s="14">
        <f t="shared" si="138"/>
        <v>877446.24149390101</v>
      </c>
      <c r="P227" s="14">
        <f t="shared" si="138"/>
        <v>954228.64949421515</v>
      </c>
      <c r="Q227" s="14">
        <f t="shared" si="138"/>
        <v>1032369.6849606221</v>
      </c>
      <c r="R227" s="14">
        <f t="shared" si="138"/>
        <v>1111544.7347993373</v>
      </c>
      <c r="S227" s="14">
        <f t="shared" si="138"/>
        <v>1191244.2964996239</v>
      </c>
      <c r="T227" s="14">
        <f t="shared" si="138"/>
        <v>1271406.4238406385</v>
      </c>
      <c r="U227" s="14">
        <f t="shared" si="138"/>
        <v>1352028.8467346355</v>
      </c>
      <c r="V227" s="14">
        <f t="shared" si="138"/>
        <v>1433199.5971180531</v>
      </c>
      <c r="W227" s="14">
        <f t="shared" si="138"/>
        <v>1514417.1541175686</v>
      </c>
      <c r="X227" s="187">
        <f t="shared" si="138"/>
        <v>1596395.5649088039</v>
      </c>
      <c r="Y227" s="158">
        <f t="shared" ref="Y227:AH227" si="139">X227+Y219</f>
        <v>1678020.5302909589</v>
      </c>
      <c r="Z227" s="158">
        <f t="shared" si="139"/>
        <v>1759751.0042842161</v>
      </c>
      <c r="AA227" s="158">
        <f t="shared" si="139"/>
        <v>1841411.2688039849</v>
      </c>
      <c r="AB227" s="158">
        <f t="shared" si="139"/>
        <v>1923143.6527922417</v>
      </c>
      <c r="AC227" s="158">
        <f t="shared" si="139"/>
        <v>2005199.3888782787</v>
      </c>
      <c r="AD227" s="158">
        <f t="shared" si="139"/>
        <v>2087449.0592414252</v>
      </c>
      <c r="AE227" s="158">
        <f t="shared" si="139"/>
        <v>2170286.5233599613</v>
      </c>
      <c r="AF227" s="158">
        <f t="shared" si="139"/>
        <v>2253775.8855006243</v>
      </c>
      <c r="AG227" s="158">
        <f t="shared" si="139"/>
        <v>2337654.4242751268</v>
      </c>
      <c r="AH227" s="187">
        <f t="shared" si="139"/>
        <v>2422513.2567168251</v>
      </c>
    </row>
    <row r="228" spans="1:34">
      <c r="A228" s="1" t="s">
        <v>457</v>
      </c>
      <c r="D228" s="331">
        <f t="shared" ref="D228:AH228" si="140">D227-D207</f>
        <v>-282.28314485827286</v>
      </c>
      <c r="E228" s="331">
        <f t="shared" si="140"/>
        <v>-544.40068040404003</v>
      </c>
      <c r="F228" s="331">
        <f t="shared" si="140"/>
        <v>-1357.6088907818194</v>
      </c>
      <c r="G228" s="331">
        <f t="shared" si="140"/>
        <v>-1861.7080264966935</v>
      </c>
      <c r="H228" s="402">
        <f>H227-H207</f>
        <v>-1814.8429114967003</v>
      </c>
      <c r="I228" s="14">
        <f t="shared" si="140"/>
        <v>-1916.0186640262837</v>
      </c>
      <c r="J228" s="14">
        <f t="shared" si="140"/>
        <v>-2168.7654720660066</v>
      </c>
      <c r="K228" s="14">
        <f t="shared" si="140"/>
        <v>-2037.4375716272043</v>
      </c>
      <c r="L228" s="14">
        <f t="shared" si="140"/>
        <v>-1697.0203036959283</v>
      </c>
      <c r="M228" s="14">
        <f t="shared" si="140"/>
        <v>-1806.3412805848056</v>
      </c>
      <c r="N228" s="187">
        <f t="shared" si="140"/>
        <v>-2901.721436598571</v>
      </c>
      <c r="O228" s="14">
        <f t="shared" si="140"/>
        <v>-4351.6111904737772</v>
      </c>
      <c r="P228" s="14">
        <f t="shared" si="140"/>
        <v>-6231.1749296073103</v>
      </c>
      <c r="Q228" s="14">
        <f t="shared" si="140"/>
        <v>-8699.1798771844478</v>
      </c>
      <c r="R228" s="14">
        <f t="shared" si="140"/>
        <v>-11689.230048109312</v>
      </c>
      <c r="S228" s="14">
        <f t="shared" si="140"/>
        <v>-15082.230663710972</v>
      </c>
      <c r="T228" s="14">
        <f t="shared" si="140"/>
        <v>-18871.414351315005</v>
      </c>
      <c r="U228" s="14">
        <f t="shared" si="140"/>
        <v>-23064.810059620999</v>
      </c>
      <c r="V228" s="14">
        <f t="shared" si="140"/>
        <v>-27708.570882473607</v>
      </c>
      <c r="W228" s="14">
        <f t="shared" si="140"/>
        <v>-32667.905016329838</v>
      </c>
      <c r="X228" s="187">
        <f t="shared" si="140"/>
        <v>-37784.37307179044</v>
      </c>
      <c r="Y228" s="158">
        <f t="shared" si="140"/>
        <v>-43625.609598879702</v>
      </c>
      <c r="Z228" s="158">
        <f t="shared" si="140"/>
        <v>-49995.606849657372</v>
      </c>
      <c r="AA228" s="158">
        <f t="shared" si="140"/>
        <v>-56871.792096290737</v>
      </c>
      <c r="AB228" s="158">
        <f t="shared" si="140"/>
        <v>-64296.003998262575</v>
      </c>
      <c r="AC228" s="158">
        <f t="shared" si="140"/>
        <v>-72388.265329330228</v>
      </c>
      <c r="AD228" s="158">
        <f t="shared" si="140"/>
        <v>-81170.263615401927</v>
      </c>
      <c r="AE228" s="158">
        <f t="shared" si="140"/>
        <v>-90781.896011637989</v>
      </c>
      <c r="AF228" s="158">
        <f t="shared" si="140"/>
        <v>-101315.22801331757</v>
      </c>
      <c r="AG228" s="158">
        <f t="shared" si="140"/>
        <v>-112697.8964928044</v>
      </c>
      <c r="AH228" s="187">
        <f t="shared" si="140"/>
        <v>-124063.28445012728</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-2.7000000045518391E-4</v>
      </c>
      <c r="D234" s="331">
        <f t="shared" si="145"/>
        <v>-9.8609161796048284E-5</v>
      </c>
      <c r="E234" s="331">
        <f t="shared" si="145"/>
        <v>-3.6952749724150635E-5</v>
      </c>
      <c r="F234" s="331">
        <f t="shared" si="145"/>
        <v>1.9544290262274444E-4</v>
      </c>
      <c r="G234" s="331">
        <f t="shared" si="145"/>
        <v>-1.1664988051052205E-5</v>
      </c>
      <c r="H234" s="402">
        <f>H213-H194</f>
        <v>-2.7000000045518391E-4</v>
      </c>
      <c r="I234" s="14">
        <f t="shared" si="145"/>
        <v>54.657008046453484</v>
      </c>
      <c r="J234" s="14">
        <f t="shared" si="145"/>
        <v>57.104983811535931</v>
      </c>
      <c r="K234" s="14">
        <f t="shared" si="145"/>
        <v>40.633761992823565</v>
      </c>
      <c r="L234" s="14">
        <f t="shared" si="145"/>
        <v>48.272582610654354</v>
      </c>
      <c r="M234" s="14">
        <f t="shared" si="145"/>
        <v>571.15021298397187</v>
      </c>
      <c r="N234" s="187">
        <f t="shared" si="145"/>
        <v>1924.8733130003457</v>
      </c>
      <c r="O234" s="14">
        <f t="shared" si="145"/>
        <v>2454.4988970455561</v>
      </c>
      <c r="P234" s="14">
        <f t="shared" si="145"/>
        <v>3057.3645849270251</v>
      </c>
      <c r="Q234" s="14">
        <f t="shared" si="145"/>
        <v>3790.4422919503631</v>
      </c>
      <c r="R234" s="14">
        <f t="shared" si="145"/>
        <v>4466.5429327492275</v>
      </c>
      <c r="S234" s="14">
        <f t="shared" si="145"/>
        <v>5078.5304391500467</v>
      </c>
      <c r="T234" s="14">
        <f t="shared" si="145"/>
        <v>5726.4410724828522</v>
      </c>
      <c r="U234" s="14">
        <f t="shared" si="145"/>
        <v>6387.9534747960497</v>
      </c>
      <c r="V234" s="14">
        <f t="shared" si="145"/>
        <v>7105.4295129668426</v>
      </c>
      <c r="W234" s="14">
        <f t="shared" si="145"/>
        <v>7703.3375221044589</v>
      </c>
      <c r="X234" s="187">
        <f t="shared" si="145"/>
        <v>6819.3899045531398</v>
      </c>
      <c r="Y234" s="158">
        <f t="shared" si="145"/>
        <v>9213.495574951452</v>
      </c>
      <c r="Z234" s="158">
        <f t="shared" si="145"/>
        <v>10081.008186646577</v>
      </c>
      <c r="AA234" s="158">
        <f t="shared" si="145"/>
        <v>10925.625742075783</v>
      </c>
      <c r="AB234" s="158">
        <f t="shared" si="145"/>
        <v>11831.604799475281</v>
      </c>
      <c r="AC234" s="158">
        <f t="shared" si="145"/>
        <v>12894.583921861013</v>
      </c>
      <c r="AD234" s="158">
        <f t="shared" si="145"/>
        <v>13985.12491605297</v>
      </c>
      <c r="AE234" s="158">
        <f t="shared" si="145"/>
        <v>15195.006768537838</v>
      </c>
      <c r="AF234" s="158">
        <f t="shared" si="145"/>
        <v>16535.558426167372</v>
      </c>
      <c r="AG234" s="158">
        <f t="shared" si="145"/>
        <v>17809.53137449337</v>
      </c>
      <c r="AH234" s="187">
        <f t="shared" si="145"/>
        <v>13304.361571487545</v>
      </c>
    </row>
    <row r="235" spans="1:34">
      <c r="A235" t="s">
        <v>418</v>
      </c>
      <c r="C235" s="331">
        <f t="shared" ref="C235:AH235" si="146">C214-C195</f>
        <v>0</v>
      </c>
      <c r="D235" s="331">
        <f t="shared" si="146"/>
        <v>9.5217131274694111E-5</v>
      </c>
      <c r="E235" s="331">
        <f t="shared" si="146"/>
        <v>1.2947069444635417E-4</v>
      </c>
      <c r="F235" s="331">
        <f t="shared" si="146"/>
        <v>2.5857939090201398E-4</v>
      </c>
      <c r="G235" s="331">
        <f t="shared" si="146"/>
        <v>1.4351945083035389E-4</v>
      </c>
      <c r="H235" s="402">
        <f t="shared" si="146"/>
        <v>0</v>
      </c>
      <c r="I235" s="14">
        <f t="shared" si="146"/>
        <v>28.766994701133626</v>
      </c>
      <c r="J235" s="14">
        <f t="shared" si="146"/>
        <v>30.055410372324332</v>
      </c>
      <c r="K235" s="14">
        <f t="shared" si="146"/>
        <v>21.386345032189638</v>
      </c>
      <c r="L235" s="14">
        <f t="shared" si="146"/>
        <v>25.4067769044741</v>
      </c>
      <c r="M235" s="14">
        <f t="shared" si="146"/>
        <v>300.60553111187619</v>
      </c>
      <c r="N235" s="187">
        <f t="shared" si="146"/>
        <v>1013.0913750901145</v>
      </c>
      <c r="O235" s="14">
        <f t="shared" si="146"/>
        <v>1291.8416877056898</v>
      </c>
      <c r="P235" s="14">
        <f t="shared" si="146"/>
        <v>1609.1394240283735</v>
      </c>
      <c r="Q235" s="14">
        <f t="shared" si="146"/>
        <v>1994.9698034238063</v>
      </c>
      <c r="R235" s="14">
        <f t="shared" si="146"/>
        <v>2350.8122527425512</v>
      </c>
      <c r="S235" s="14">
        <f t="shared" si="146"/>
        <v>2672.9109462688994</v>
      </c>
      <c r="T235" s="14">
        <f t="shared" si="146"/>
        <v>3013.9165486949041</v>
      </c>
      <c r="U235" s="14">
        <f t="shared" si="146"/>
        <v>3362.0809770988417</v>
      </c>
      <c r="V235" s="14">
        <f t="shared" si="146"/>
        <v>3739.6999511442409</v>
      </c>
      <c r="W235" s="14">
        <f t="shared" si="146"/>
        <v>4054.3883826485508</v>
      </c>
      <c r="X235" s="187">
        <f t="shared" si="146"/>
        <v>3589.1528013215266</v>
      </c>
      <c r="Y235" s="158">
        <f t="shared" si="146"/>
        <v>4849.2084247370622</v>
      </c>
      <c r="Z235" s="158">
        <f t="shared" si="146"/>
        <v>5305.7940180524729</v>
      </c>
      <c r="AA235" s="158">
        <f t="shared" si="146"/>
        <v>5750.3295815907168</v>
      </c>
      <c r="AB235" s="158">
        <f t="shared" si="146"/>
        <v>6227.160673252627</v>
      </c>
      <c r="AC235" s="158">
        <f t="shared" si="146"/>
        <v>6786.6233792331004</v>
      </c>
      <c r="AD235" s="158">
        <f t="shared" si="146"/>
        <v>7360.5923335749685</v>
      </c>
      <c r="AE235" s="158">
        <f t="shared" si="146"/>
        <v>7997.37226774382</v>
      </c>
      <c r="AF235" s="158">
        <f t="shared" si="146"/>
        <v>8702.9257843925316</v>
      </c>
      <c r="AG235" s="158">
        <f t="shared" si="146"/>
        <v>9373.4378747709434</v>
      </c>
      <c r="AH235" s="187">
        <f t="shared" si="146"/>
        <v>7002.2958853274122</v>
      </c>
    </row>
    <row r="236" spans="1:34">
      <c r="A236" t="s">
        <v>419</v>
      </c>
      <c r="C236" s="331">
        <f t="shared" ref="C236:AH236" si="147">C215-C196</f>
        <v>-2.7000000000043656E-4</v>
      </c>
      <c r="D236" s="331">
        <f t="shared" si="147"/>
        <v>-1.938262939802371E-4</v>
      </c>
      <c r="E236" s="331">
        <f t="shared" si="147"/>
        <v>-1.6642344417050481E-4</v>
      </c>
      <c r="F236" s="331">
        <f t="shared" si="147"/>
        <v>-6.3136487369774841E-5</v>
      </c>
      <c r="G236" s="331">
        <f t="shared" si="147"/>
        <v>-1.5518443888140609E-4</v>
      </c>
      <c r="H236" s="402">
        <f>H215-H196</f>
        <v>-2.7000000045518391E-4</v>
      </c>
      <c r="I236" s="14">
        <f t="shared" si="147"/>
        <v>25.890013345320767</v>
      </c>
      <c r="J236" s="14">
        <f t="shared" si="147"/>
        <v>27.04957343920978</v>
      </c>
      <c r="K236" s="14">
        <f t="shared" si="147"/>
        <v>19.247416960633927</v>
      </c>
      <c r="L236" s="14">
        <f t="shared" si="147"/>
        <v>22.865805706178435</v>
      </c>
      <c r="M236" s="14">
        <f t="shared" si="147"/>
        <v>270.54468187209386</v>
      </c>
      <c r="N236" s="187">
        <f t="shared" si="147"/>
        <v>911.78193791023114</v>
      </c>
      <c r="O236" s="14">
        <f t="shared" si="147"/>
        <v>1162.6572093398663</v>
      </c>
      <c r="P236" s="14">
        <f t="shared" si="147"/>
        <v>1448.2251608986517</v>
      </c>
      <c r="Q236" s="14">
        <f t="shared" si="147"/>
        <v>1795.4724885265587</v>
      </c>
      <c r="R236" s="14">
        <f t="shared" si="147"/>
        <v>2115.7306800066781</v>
      </c>
      <c r="S236" s="14">
        <f t="shared" si="147"/>
        <v>2405.619492881151</v>
      </c>
      <c r="T236" s="14">
        <f t="shared" si="147"/>
        <v>2712.5245237879481</v>
      </c>
      <c r="U236" s="14">
        <f t="shared" si="147"/>
        <v>3025.8724976972098</v>
      </c>
      <c r="V236" s="14">
        <f t="shared" si="147"/>
        <v>3365.7295618225999</v>
      </c>
      <c r="W236" s="14">
        <f t="shared" si="147"/>
        <v>3648.9491394559063</v>
      </c>
      <c r="X236" s="187">
        <f t="shared" si="147"/>
        <v>3230.2371032316114</v>
      </c>
      <c r="Y236" s="158">
        <f t="shared" si="147"/>
        <v>4364.2871502143898</v>
      </c>
      <c r="Z236" s="158">
        <f t="shared" si="147"/>
        <v>4775.2141685941042</v>
      </c>
      <c r="AA236" s="158">
        <f t="shared" si="147"/>
        <v>5175.296160485068</v>
      </c>
      <c r="AB236" s="158">
        <f t="shared" si="147"/>
        <v>5604.4441262226537</v>
      </c>
      <c r="AC236" s="158">
        <f t="shared" si="147"/>
        <v>6107.9605426279159</v>
      </c>
      <c r="AD236" s="158">
        <f t="shared" si="147"/>
        <v>6624.5325824780011</v>
      </c>
      <c r="AE236" s="158">
        <f t="shared" si="147"/>
        <v>7197.6345007940145</v>
      </c>
      <c r="AF236" s="158">
        <f t="shared" si="147"/>
        <v>7832.6326417748405</v>
      </c>
      <c r="AG236" s="158">
        <f t="shared" si="147"/>
        <v>8436.0934997224267</v>
      </c>
      <c r="AH236" s="187">
        <f t="shared" si="147"/>
        <v>6302.0656861601328</v>
      </c>
    </row>
    <row r="237" spans="1:34">
      <c r="A237" t="s">
        <v>420</v>
      </c>
      <c r="C237" s="331">
        <f t="shared" ref="C237:AH237" si="148">C216-C197</f>
        <v>0</v>
      </c>
      <c r="D237" s="331">
        <f t="shared" si="148"/>
        <v>384.15526952293294</v>
      </c>
      <c r="E237" s="331">
        <f t="shared" si="148"/>
        <v>335.03950763366083</v>
      </c>
      <c r="F237" s="331">
        <f t="shared" si="148"/>
        <v>1066.8442567502607</v>
      </c>
      <c r="G237" s="331">
        <f t="shared" si="148"/>
        <v>674.49788674192496</v>
      </c>
      <c r="H237" s="402">
        <f t="shared" si="148"/>
        <v>0</v>
      </c>
      <c r="I237" s="14">
        <f t="shared" si="148"/>
        <v>163.09948718691885</v>
      </c>
      <c r="J237" s="14">
        <f t="shared" si="148"/>
        <v>360.17634161193018</v>
      </c>
      <c r="K237" s="14">
        <f t="shared" si="148"/>
        <v>-118.63631316330611</v>
      </c>
      <c r="L237" s="14">
        <f t="shared" si="148"/>
        <v>-391.11503185244328</v>
      </c>
      <c r="M237" s="14">
        <f t="shared" si="148"/>
        <v>-248.33450073927997</v>
      </c>
      <c r="N237" s="187">
        <f t="shared" si="148"/>
        <v>0</v>
      </c>
      <c r="O237" s="14">
        <f t="shared" si="148"/>
        <v>-0.93522458577717771</v>
      </c>
      <c r="P237" s="14">
        <f t="shared" si="148"/>
        <v>32.78937604890416</v>
      </c>
      <c r="Q237" s="14">
        <f t="shared" si="148"/>
        <v>153.79878668974015</v>
      </c>
      <c r="R237" s="14">
        <f t="shared" si="148"/>
        <v>218.70113362711345</v>
      </c>
      <c r="S237" s="14">
        <f t="shared" si="148"/>
        <v>204.03783749990544</v>
      </c>
      <c r="T237" s="14">
        <f t="shared" si="148"/>
        <v>172.8581512788187</v>
      </c>
      <c r="U237" s="14">
        <f t="shared" si="148"/>
        <v>141.32636085577906</v>
      </c>
      <c r="V237" s="14">
        <f t="shared" si="148"/>
        <v>122.12107800570084</v>
      </c>
      <c r="W237" s="14">
        <f t="shared" si="148"/>
        <v>29.580083109536645</v>
      </c>
      <c r="X237" s="187">
        <f t="shared" si="148"/>
        <v>-0.92734701005792886</v>
      </c>
      <c r="Y237" s="158">
        <f t="shared" si="148"/>
        <v>-57.902920137414185</v>
      </c>
      <c r="Z237" s="158">
        <f t="shared" si="148"/>
        <v>-87.450011563652879</v>
      </c>
      <c r="AA237" s="158">
        <f t="shared" si="148"/>
        <v>-140.42604818853215</v>
      </c>
      <c r="AB237" s="158">
        <f t="shared" si="148"/>
        <v>-168.71593750330248</v>
      </c>
      <c r="AC237" s="158">
        <f t="shared" si="148"/>
        <v>-157.97117728140984</v>
      </c>
      <c r="AD237" s="158">
        <f t="shared" si="148"/>
        <v>-164.4948215276454</v>
      </c>
      <c r="AE237" s="158">
        <f t="shared" si="148"/>
        <v>-106.69682056917554</v>
      </c>
      <c r="AF237" s="158">
        <f t="shared" si="148"/>
        <v>-37.189469444498172</v>
      </c>
      <c r="AG237" s="158">
        <f t="shared" si="148"/>
        <v>-4.7259531848849292</v>
      </c>
      <c r="AH237" s="187">
        <f t="shared" si="148"/>
        <v>-1.3628820397334493</v>
      </c>
    </row>
    <row r="238" spans="1:34">
      <c r="A238" t="s">
        <v>421</v>
      </c>
      <c r="C238" s="331">
        <f t="shared" ref="C238:AH238" si="149">C217-C198</f>
        <v>0</v>
      </c>
      <c r="D238" s="331">
        <f t="shared" si="149"/>
        <v>202.1869839594392</v>
      </c>
      <c r="E238" s="331">
        <f t="shared" si="149"/>
        <v>176.33658296508474</v>
      </c>
      <c r="F238" s="331">
        <f t="shared" si="149"/>
        <v>561.49697723697955</v>
      </c>
      <c r="G238" s="331">
        <f t="shared" si="149"/>
        <v>354.99888775890759</v>
      </c>
      <c r="H238" s="402">
        <f t="shared" si="149"/>
        <v>0</v>
      </c>
      <c r="I238" s="14">
        <f t="shared" si="149"/>
        <v>85.841835361537051</v>
      </c>
      <c r="J238" s="14">
        <f t="shared" si="149"/>
        <v>189.56649558522622</v>
      </c>
      <c r="K238" s="14">
        <f t="shared" si="149"/>
        <v>-62.440164822792212</v>
      </c>
      <c r="L238" s="14">
        <f t="shared" si="149"/>
        <v>-205.85001676444426</v>
      </c>
      <c r="M238" s="14">
        <f t="shared" si="149"/>
        <v>-130.70236881014716</v>
      </c>
      <c r="N238" s="187">
        <f t="shared" si="149"/>
        <v>0</v>
      </c>
      <c r="O238" s="14">
        <f t="shared" si="149"/>
        <v>-0.49222346619899326</v>
      </c>
      <c r="P238" s="14">
        <f t="shared" si="149"/>
        <v>17.257566341529127</v>
      </c>
      <c r="Q238" s="14">
        <f t="shared" si="149"/>
        <v>80.946729836706254</v>
      </c>
      <c r="R238" s="14">
        <f t="shared" si="149"/>
        <v>115.10585980374435</v>
      </c>
      <c r="S238" s="14">
        <f t="shared" si="149"/>
        <v>107.38833552626602</v>
      </c>
      <c r="T238" s="14">
        <f t="shared" si="149"/>
        <v>90.977974357273524</v>
      </c>
      <c r="U238" s="14">
        <f t="shared" si="149"/>
        <v>74.382295187252566</v>
      </c>
      <c r="V238" s="14">
        <f t="shared" si="149"/>
        <v>64.274251581948192</v>
      </c>
      <c r="W238" s="14">
        <f t="shared" si="149"/>
        <v>15.568464794493593</v>
      </c>
      <c r="X238" s="187">
        <f t="shared" si="149"/>
        <v>-0.48807737371407711</v>
      </c>
      <c r="Y238" s="158">
        <f t="shared" si="149"/>
        <v>-30.475221124955169</v>
      </c>
      <c r="Z238" s="158">
        <f t="shared" si="149"/>
        <v>-46.026321875607209</v>
      </c>
      <c r="AA238" s="158">
        <f t="shared" si="149"/>
        <v>-73.908446415017352</v>
      </c>
      <c r="AB238" s="158">
        <f t="shared" si="149"/>
        <v>-88.797861843843748</v>
      </c>
      <c r="AC238" s="158">
        <f t="shared" si="149"/>
        <v>-83.142724884952258</v>
      </c>
      <c r="AD238" s="158">
        <f t="shared" si="149"/>
        <v>-86.576221856655138</v>
      </c>
      <c r="AE238" s="158">
        <f t="shared" si="149"/>
        <v>-56.156221352198372</v>
      </c>
      <c r="AF238" s="158">
        <f t="shared" si="149"/>
        <v>-19.573404970788943</v>
      </c>
      <c r="AG238" s="158">
        <f t="shared" si="149"/>
        <v>-2.4873437815176658</v>
      </c>
      <c r="AH238" s="187">
        <f t="shared" si="149"/>
        <v>-0.71730633670176758</v>
      </c>
    </row>
    <row r="239" spans="1:34">
      <c r="A239" t="s">
        <v>422</v>
      </c>
      <c r="C239" s="331">
        <f t="shared" ref="C239:AH239" si="150">C218-C199</f>
        <v>0</v>
      </c>
      <c r="D239" s="331">
        <f t="shared" si="150"/>
        <v>181.96828556349465</v>
      </c>
      <c r="E239" s="331">
        <f t="shared" si="150"/>
        <v>158.70292466857609</v>
      </c>
      <c r="F239" s="331">
        <f t="shared" si="150"/>
        <v>505.34727951328205</v>
      </c>
      <c r="G239" s="331">
        <f t="shared" si="150"/>
        <v>319.49899898301646</v>
      </c>
      <c r="H239" s="402">
        <f t="shared" si="150"/>
        <v>0</v>
      </c>
      <c r="I239" s="14">
        <f t="shared" si="150"/>
        <v>77.257651825383618</v>
      </c>
      <c r="J239" s="14">
        <f t="shared" si="150"/>
        <v>170.60984602670305</v>
      </c>
      <c r="K239" s="14">
        <f t="shared" si="150"/>
        <v>-56.196148340512991</v>
      </c>
      <c r="L239" s="14">
        <f t="shared" si="150"/>
        <v>-185.26501508799993</v>
      </c>
      <c r="M239" s="14">
        <f t="shared" si="150"/>
        <v>-117.6321319291319</v>
      </c>
      <c r="N239" s="187">
        <f t="shared" si="150"/>
        <v>0</v>
      </c>
      <c r="O239" s="14">
        <f t="shared" si="150"/>
        <v>-0.44300111957909394</v>
      </c>
      <c r="P239" s="14">
        <f t="shared" si="150"/>
        <v>15.531809707375942</v>
      </c>
      <c r="Q239" s="14">
        <f t="shared" si="150"/>
        <v>72.85205685303481</v>
      </c>
      <c r="R239" s="14">
        <f t="shared" si="150"/>
        <v>103.5952738233691</v>
      </c>
      <c r="S239" s="14">
        <f t="shared" si="150"/>
        <v>96.649501973638507</v>
      </c>
      <c r="T239" s="14">
        <f t="shared" si="150"/>
        <v>81.880176921546081</v>
      </c>
      <c r="U239" s="14">
        <f t="shared" si="150"/>
        <v>66.94406566852831</v>
      </c>
      <c r="V239" s="14">
        <f t="shared" si="150"/>
        <v>57.846826423752645</v>
      </c>
      <c r="W239" s="14">
        <f t="shared" si="150"/>
        <v>14.011618315043961</v>
      </c>
      <c r="X239" s="187">
        <f t="shared" si="150"/>
        <v>-0.43926963634294225</v>
      </c>
      <c r="Y239" s="158">
        <f t="shared" si="150"/>
        <v>-27.427699012459016</v>
      </c>
      <c r="Z239" s="158">
        <f t="shared" si="150"/>
        <v>-41.42368968804567</v>
      </c>
      <c r="AA239" s="158">
        <f t="shared" si="150"/>
        <v>-66.517601773515707</v>
      </c>
      <c r="AB239" s="158">
        <f t="shared" si="150"/>
        <v>-79.918075659458736</v>
      </c>
      <c r="AC239" s="158">
        <f t="shared" si="150"/>
        <v>-74.828452396456669</v>
      </c>
      <c r="AD239" s="158">
        <f t="shared" si="150"/>
        <v>-77.918599670989352</v>
      </c>
      <c r="AE239" s="158">
        <f t="shared" si="150"/>
        <v>-50.54059921697808</v>
      </c>
      <c r="AF239" s="158">
        <f t="shared" si="150"/>
        <v>-17.61606447370923</v>
      </c>
      <c r="AG239" s="158">
        <f t="shared" si="150"/>
        <v>-2.2386094033672634</v>
      </c>
      <c r="AH239" s="187">
        <f t="shared" si="150"/>
        <v>-0.64557570303077227</v>
      </c>
    </row>
    <row r="240" spans="1:34">
      <c r="A240" t="s">
        <v>394</v>
      </c>
      <c r="C240" s="331">
        <f>C219-C200</f>
        <v>6.4789999999629799</v>
      </c>
      <c r="D240" s="331">
        <f t="shared" ref="D240:AH240" si="151">D219-D200+D249+D252</f>
        <v>-282.28314485827286</v>
      </c>
      <c r="E240" s="331">
        <f t="shared" si="151"/>
        <v>-262.11753554575262</v>
      </c>
      <c r="F240" s="331">
        <f t="shared" si="151"/>
        <v>-813.20821037779388</v>
      </c>
      <c r="G240" s="331">
        <f t="shared" si="151"/>
        <v>-504.09913571484503</v>
      </c>
      <c r="H240" s="402">
        <f t="shared" si="151"/>
        <v>46.865114999993239</v>
      </c>
      <c r="I240" s="14">
        <f t="shared" si="151"/>
        <v>-101.17575252958341</v>
      </c>
      <c r="J240" s="14">
        <f t="shared" si="151"/>
        <v>-252.74680803966476</v>
      </c>
      <c r="K240" s="14">
        <f t="shared" si="151"/>
        <v>131.32790043883142</v>
      </c>
      <c r="L240" s="14">
        <f t="shared" si="151"/>
        <v>340.41726793123235</v>
      </c>
      <c r="M240" s="14">
        <f t="shared" si="151"/>
        <v>-109.32097688883368</v>
      </c>
      <c r="N240" s="187">
        <f t="shared" si="151"/>
        <v>-1095.3801560138236</v>
      </c>
      <c r="O240" s="14">
        <f t="shared" si="151"/>
        <v>-1449.8897538752499</v>
      </c>
      <c r="P240" s="14">
        <f t="shared" si="151"/>
        <v>-1879.563739133635</v>
      </c>
      <c r="Q240" s="14">
        <f t="shared" si="151"/>
        <v>-2468.0049475770793</v>
      </c>
      <c r="R240" s="14">
        <f t="shared" si="151"/>
        <v>-2990.0501709248056</v>
      </c>
      <c r="S240" s="14">
        <f t="shared" si="151"/>
        <v>-3393.0006156015879</v>
      </c>
      <c r="T240" s="14">
        <f t="shared" si="151"/>
        <v>-3789.1836876039888</v>
      </c>
      <c r="U240" s="14">
        <f t="shared" si="151"/>
        <v>-4193.3957083058485</v>
      </c>
      <c r="V240" s="14">
        <f t="shared" si="151"/>
        <v>-4643.7608228524914</v>
      </c>
      <c r="W240" s="14">
        <f t="shared" si="151"/>
        <v>-4959.334133856144</v>
      </c>
      <c r="X240" s="187">
        <f t="shared" si="151"/>
        <v>-5116.4680554605729</v>
      </c>
      <c r="Y240" s="158">
        <f t="shared" si="151"/>
        <v>-5841.2365270892187</v>
      </c>
      <c r="Z240" s="158">
        <f t="shared" si="151"/>
        <v>-6369.9972507776401</v>
      </c>
      <c r="AA240" s="158">
        <f t="shared" si="151"/>
        <v>-6876.1852466332639</v>
      </c>
      <c r="AB240" s="158">
        <f t="shared" si="151"/>
        <v>-7424.2119019718812</v>
      </c>
      <c r="AC240" s="158">
        <f t="shared" si="151"/>
        <v>-8092.2613310677698</v>
      </c>
      <c r="AD240" s="158">
        <f t="shared" si="151"/>
        <v>-8781.998286071801</v>
      </c>
      <c r="AE240" s="158">
        <f t="shared" si="151"/>
        <v>-9611.6323962363967</v>
      </c>
      <c r="AF240" s="158">
        <f t="shared" si="151"/>
        <v>-10533.332001679635</v>
      </c>
      <c r="AG240" s="158">
        <f t="shared" si="151"/>
        <v>-11382.668479486805</v>
      </c>
      <c r="AH240" s="187">
        <f t="shared" si="151"/>
        <v>-11365.387957323081</v>
      </c>
    </row>
    <row r="241" spans="1:34">
      <c r="A241" t="s">
        <v>423</v>
      </c>
      <c r="C241" s="331">
        <f>C220-C201</f>
        <v>3.4099999999889405</v>
      </c>
      <c r="D241" s="331">
        <f t="shared" ref="D241:AH241" si="152">D220-D201+D250+D253</f>
        <v>-148.5700762412016</v>
      </c>
      <c r="E241" s="331">
        <f t="shared" si="152"/>
        <v>-137.95659765566961</v>
      </c>
      <c r="F241" s="331">
        <f t="shared" si="152"/>
        <v>-428.00432125147199</v>
      </c>
      <c r="G241" s="331">
        <f t="shared" si="152"/>
        <v>-265.31533458676131</v>
      </c>
      <c r="H241" s="402">
        <f t="shared" si="152"/>
        <v>24.66584999999759</v>
      </c>
      <c r="I241" s="14">
        <f t="shared" si="152"/>
        <v>-53.25039606820792</v>
      </c>
      <c r="J241" s="14">
        <f t="shared" si="152"/>
        <v>-133.02463581034681</v>
      </c>
      <c r="K241" s="14">
        <f t="shared" si="152"/>
        <v>69.119947599392617</v>
      </c>
      <c r="L241" s="14">
        <f t="shared" si="152"/>
        <v>179.16698312170047</v>
      </c>
      <c r="M241" s="14">
        <f t="shared" si="152"/>
        <v>-57.537356257278589</v>
      </c>
      <c r="N241" s="187">
        <f t="shared" si="152"/>
        <v>-576.51587158622715</v>
      </c>
      <c r="O241" s="14">
        <f t="shared" si="152"/>
        <v>-763.0998704606609</v>
      </c>
      <c r="P241" s="14">
        <f t="shared" si="152"/>
        <v>-989.2440732282339</v>
      </c>
      <c r="Q241" s="14">
        <f t="shared" si="152"/>
        <v>-1298.9499724089837</v>
      </c>
      <c r="R241" s="14">
        <f t="shared" si="152"/>
        <v>-1573.7106162762138</v>
      </c>
      <c r="S241" s="14">
        <f t="shared" si="152"/>
        <v>-1785.7897976850436</v>
      </c>
      <c r="T241" s="14">
        <f t="shared" si="152"/>
        <v>-1994.307204002107</v>
      </c>
      <c r="U241" s="14">
        <f t="shared" si="152"/>
        <v>-2207.0503727925534</v>
      </c>
      <c r="V241" s="14">
        <f t="shared" si="152"/>
        <v>-2444.084643606584</v>
      </c>
      <c r="W241" s="14">
        <f t="shared" si="152"/>
        <v>-2610.1758599242894</v>
      </c>
      <c r="X241" s="187">
        <f t="shared" si="152"/>
        <v>-2692.877923926615</v>
      </c>
      <c r="Y241" s="158">
        <f t="shared" si="152"/>
        <v>-3074.3350142574855</v>
      </c>
      <c r="Z241" s="158">
        <f t="shared" si="152"/>
        <v>-3352.6301319882405</v>
      </c>
      <c r="AA241" s="158">
        <f t="shared" si="152"/>
        <v>-3619.0448666490847</v>
      </c>
      <c r="AB241" s="158">
        <f t="shared" si="152"/>
        <v>-3907.4799484062532</v>
      </c>
      <c r="AC241" s="158">
        <f t="shared" si="152"/>
        <v>-4259.0849110882991</v>
      </c>
      <c r="AD241" s="158">
        <f t="shared" si="152"/>
        <v>-4622.1043610904162</v>
      </c>
      <c r="AE241" s="158">
        <f t="shared" si="152"/>
        <v>-5058.7538927559945</v>
      </c>
      <c r="AF241" s="158">
        <f t="shared" si="152"/>
        <v>-5543.8589482524403</v>
      </c>
      <c r="AG241" s="158">
        <f t="shared" si="152"/>
        <v>-5990.8781470983158</v>
      </c>
      <c r="AH241" s="187">
        <f t="shared" si="152"/>
        <v>-5981.7831354331938</v>
      </c>
    </row>
    <row r="242" spans="1:34">
      <c r="A242" t="s">
        <v>424</v>
      </c>
      <c r="C242" s="331">
        <f>C221-C202</f>
        <v>3.0689999999885913</v>
      </c>
      <c r="D242" s="331">
        <f t="shared" ref="D242:AH242" si="153">D221-D202+D251+D254</f>
        <v>-133.71306861707853</v>
      </c>
      <c r="E242" s="331">
        <f t="shared" si="153"/>
        <v>-124.16093789009756</v>
      </c>
      <c r="F242" s="331">
        <f t="shared" si="153"/>
        <v>-385.20388912632916</v>
      </c>
      <c r="G242" s="331">
        <f t="shared" si="153"/>
        <v>-238.78380112808372</v>
      </c>
      <c r="H242" s="402">
        <f t="shared" si="153"/>
        <v>22.199265000002924</v>
      </c>
      <c r="I242" s="14">
        <f t="shared" si="153"/>
        <v>-47.925356461390038</v>
      </c>
      <c r="J242" s="14">
        <f t="shared" si="153"/>
        <v>-119.72217222931067</v>
      </c>
      <c r="K242" s="14">
        <f t="shared" si="153"/>
        <v>62.207952839453355</v>
      </c>
      <c r="L242" s="14">
        <f t="shared" si="153"/>
        <v>161.25028480953915</v>
      </c>
      <c r="M242" s="14">
        <f t="shared" si="153"/>
        <v>-51.783620631547819</v>
      </c>
      <c r="N242" s="187">
        <f t="shared" si="153"/>
        <v>-518.86428442759643</v>
      </c>
      <c r="O242" s="14">
        <f t="shared" si="153"/>
        <v>-686.78988341458899</v>
      </c>
      <c r="P242" s="14">
        <f t="shared" si="153"/>
        <v>-890.31966590540833</v>
      </c>
      <c r="Q242" s="14">
        <f t="shared" si="153"/>
        <v>-1169.0549751680883</v>
      </c>
      <c r="R242" s="14">
        <f t="shared" si="153"/>
        <v>-1416.339554648599</v>
      </c>
      <c r="S242" s="14">
        <f t="shared" si="153"/>
        <v>-1607.2108179165371</v>
      </c>
      <c r="T242" s="14">
        <f t="shared" si="153"/>
        <v>-1794.876483601889</v>
      </c>
      <c r="U242" s="14">
        <f t="shared" si="153"/>
        <v>-1986.3453355132951</v>
      </c>
      <c r="V242" s="14">
        <f t="shared" si="153"/>
        <v>-2199.6761792459147</v>
      </c>
      <c r="W242" s="14">
        <f t="shared" si="153"/>
        <v>-2349.1582739318619</v>
      </c>
      <c r="X242" s="187">
        <f t="shared" si="153"/>
        <v>-2423.5901315339579</v>
      </c>
      <c r="Y242" s="158">
        <f t="shared" si="153"/>
        <v>-2766.9015128317333</v>
      </c>
      <c r="Z242" s="158">
        <f t="shared" si="153"/>
        <v>-3017.3671187894142</v>
      </c>
      <c r="AA242" s="158">
        <f t="shared" si="153"/>
        <v>-3257.1403799841864</v>
      </c>
      <c r="AB242" s="158">
        <f t="shared" si="153"/>
        <v>-3516.7319535656279</v>
      </c>
      <c r="AC242" s="158">
        <f t="shared" si="153"/>
        <v>-3833.1764199794707</v>
      </c>
      <c r="AD242" s="158">
        <f t="shared" si="153"/>
        <v>-4159.8939249813775</v>
      </c>
      <c r="AE242" s="158">
        <f t="shared" si="153"/>
        <v>-4552.878503480395</v>
      </c>
      <c r="AF242" s="158">
        <f t="shared" si="153"/>
        <v>-4989.4730534271948</v>
      </c>
      <c r="AG242" s="158">
        <f t="shared" si="153"/>
        <v>-5391.7903323884821</v>
      </c>
      <c r="AH242" s="187">
        <f t="shared" si="153"/>
        <v>-5383.6048218898795</v>
      </c>
    </row>
    <row r="243" spans="1:34" s="1" customFormat="1">
      <c r="A243" s="1" t="s">
        <v>405</v>
      </c>
      <c r="B243" s="13"/>
      <c r="C243" s="341">
        <f>C222-C203</f>
        <v>6.4787299999588868</v>
      </c>
      <c r="D243" s="341">
        <f t="shared" ref="D243:AH243" si="154">D222-D203+D249+D252</f>
        <v>101.87202605549828</v>
      </c>
      <c r="E243" s="341">
        <f t="shared" si="154"/>
        <v>72.921935135149397</v>
      </c>
      <c r="F243" s="341">
        <f t="shared" si="154"/>
        <v>253.63624181535852</v>
      </c>
      <c r="G243" s="341">
        <f t="shared" si="154"/>
        <v>170.39873936209187</v>
      </c>
      <c r="H243" s="405">
        <f t="shared" si="154"/>
        <v>46.864844999989145</v>
      </c>
      <c r="I243" s="15">
        <f t="shared" si="154"/>
        <v>116.58074270379439</v>
      </c>
      <c r="J243" s="15">
        <f t="shared" si="154"/>
        <v>164.53451738379954</v>
      </c>
      <c r="K243" s="15">
        <f t="shared" si="154"/>
        <v>53.325349268343416</v>
      </c>
      <c r="L243" s="15">
        <f t="shared" si="154"/>
        <v>-2.4251813105656765</v>
      </c>
      <c r="M243" s="15">
        <f t="shared" si="154"/>
        <v>213.49473535585275</v>
      </c>
      <c r="N243" s="190">
        <f t="shared" si="154"/>
        <v>829.49315698652936</v>
      </c>
      <c r="O243" s="15">
        <f t="shared" si="154"/>
        <v>1003.6739185845363</v>
      </c>
      <c r="P243" s="15">
        <f t="shared" si="154"/>
        <v>1210.5902218422852</v>
      </c>
      <c r="Q243" s="15">
        <f t="shared" si="154"/>
        <v>1476.2361310630222</v>
      </c>
      <c r="R243" s="15">
        <f t="shared" si="154"/>
        <v>1695.1938954515354</v>
      </c>
      <c r="S243" s="15">
        <f t="shared" si="154"/>
        <v>1889.5676610483642</v>
      </c>
      <c r="T243" s="15">
        <f t="shared" si="154"/>
        <v>2110.1155361576821</v>
      </c>
      <c r="U243" s="15">
        <f t="shared" si="154"/>
        <v>2335.8841273459693</v>
      </c>
      <c r="V243" s="15">
        <f t="shared" si="154"/>
        <v>2583.7897681200557</v>
      </c>
      <c r="W243" s="15">
        <f t="shared" si="154"/>
        <v>2773.5834713578515</v>
      </c>
      <c r="X243" s="190">
        <f t="shared" si="154"/>
        <v>1701.9945020824962</v>
      </c>
      <c r="Y243" s="130">
        <f t="shared" si="154"/>
        <v>3314.3561277248227</v>
      </c>
      <c r="Z243" s="130">
        <f t="shared" si="154"/>
        <v>3623.560924305275</v>
      </c>
      <c r="AA243" s="130">
        <f t="shared" si="154"/>
        <v>3909.0144472539832</v>
      </c>
      <c r="AB243" s="130">
        <f t="shared" si="154"/>
        <v>4238.6769600000989</v>
      </c>
      <c r="AC243" s="130">
        <f t="shared" si="154"/>
        <v>4644.3514135118312</v>
      </c>
      <c r="AD243" s="130">
        <f t="shared" si="154"/>
        <v>5038.631808453516</v>
      </c>
      <c r="AE243" s="130">
        <f t="shared" si="154"/>
        <v>5476.6775517322822</v>
      </c>
      <c r="AF243" s="130">
        <f t="shared" si="154"/>
        <v>5965.036955043237</v>
      </c>
      <c r="AG243" s="130">
        <f t="shared" si="154"/>
        <v>6422.1369418216636</v>
      </c>
      <c r="AH243" s="190">
        <f t="shared" si="154"/>
        <v>1937.61073212474</v>
      </c>
    </row>
    <row r="244" spans="1:34">
      <c r="A244" t="s">
        <v>445</v>
      </c>
      <c r="C244" s="331"/>
      <c r="D244" s="331">
        <f>D231+D234</f>
        <v>-9.8609161796048284E-5</v>
      </c>
      <c r="E244" s="331">
        <f t="shared" ref="E244:N244" si="155">E231+E234</f>
        <v>-3.6952749724150635E-5</v>
      </c>
      <c r="F244" s="331">
        <f t="shared" si="155"/>
        <v>1.9544290262274444E-4</v>
      </c>
      <c r="G244" s="331">
        <f t="shared" si="155"/>
        <v>-1.1664988051052205E-5</v>
      </c>
      <c r="H244" s="402">
        <f t="shared" si="155"/>
        <v>-2.7000000045518391E-4</v>
      </c>
      <c r="I244" s="14">
        <f t="shared" si="155"/>
        <v>54.657008046453484</v>
      </c>
      <c r="J244" s="14">
        <f t="shared" si="155"/>
        <v>57.104983811535931</v>
      </c>
      <c r="K244" s="14">
        <f t="shared" si="155"/>
        <v>40.633761992823565</v>
      </c>
      <c r="L244" s="14">
        <f t="shared" si="155"/>
        <v>48.272582610654354</v>
      </c>
      <c r="M244" s="14">
        <f t="shared" si="155"/>
        <v>571.15021298397187</v>
      </c>
      <c r="N244" s="187">
        <f t="shared" si="155"/>
        <v>1924.8733130003457</v>
      </c>
      <c r="O244" s="14">
        <f>O231+O234</f>
        <v>2454.4988970455561</v>
      </c>
      <c r="P244" s="14">
        <f t="shared" ref="P244:AH244" si="156">P231+P234</f>
        <v>3057.3645849270251</v>
      </c>
      <c r="Q244" s="14">
        <f t="shared" si="156"/>
        <v>3790.4422919503631</v>
      </c>
      <c r="R244" s="14">
        <f t="shared" si="156"/>
        <v>4466.5429327492275</v>
      </c>
      <c r="S244" s="14">
        <f t="shared" si="156"/>
        <v>5078.5304391500467</v>
      </c>
      <c r="T244" s="14">
        <f t="shared" si="156"/>
        <v>5726.4410724828522</v>
      </c>
      <c r="U244" s="14">
        <f t="shared" si="156"/>
        <v>6387.9534747960497</v>
      </c>
      <c r="V244" s="14">
        <f t="shared" si="156"/>
        <v>7105.4295129668426</v>
      </c>
      <c r="W244" s="14">
        <f t="shared" si="156"/>
        <v>7703.3375221044589</v>
      </c>
      <c r="X244" s="187">
        <f t="shared" si="156"/>
        <v>6819.3899045531398</v>
      </c>
      <c r="Y244" s="158">
        <f t="shared" si="156"/>
        <v>9213.495574951452</v>
      </c>
      <c r="Z244" s="158">
        <f t="shared" si="156"/>
        <v>10081.008186646577</v>
      </c>
      <c r="AA244" s="158">
        <f t="shared" si="156"/>
        <v>10925.625742075783</v>
      </c>
      <c r="AB244" s="158">
        <f t="shared" si="156"/>
        <v>11831.604799475281</v>
      </c>
      <c r="AC244" s="158">
        <f t="shared" si="156"/>
        <v>12894.583921861013</v>
      </c>
      <c r="AD244" s="158">
        <f t="shared" si="156"/>
        <v>13985.12491605297</v>
      </c>
      <c r="AE244" s="158">
        <f t="shared" si="156"/>
        <v>15195.006768537838</v>
      </c>
      <c r="AF244" s="158">
        <f t="shared" si="156"/>
        <v>16535.558426167372</v>
      </c>
      <c r="AG244" s="158">
        <f t="shared" si="156"/>
        <v>17809.53137449337</v>
      </c>
      <c r="AH244" s="187">
        <f t="shared" si="156"/>
        <v>13304.361571487545</v>
      </c>
    </row>
    <row r="245" spans="1:34">
      <c r="A245" t="s">
        <v>446</v>
      </c>
      <c r="D245" s="331">
        <f>D231+D234+D237</f>
        <v>384.15517091377114</v>
      </c>
      <c r="E245" s="331">
        <f t="shared" ref="E245:N245" si="157">E231+E234+E237</f>
        <v>335.03947068091111</v>
      </c>
      <c r="F245" s="331">
        <f t="shared" si="157"/>
        <v>1066.8444521931633</v>
      </c>
      <c r="G245" s="331">
        <f t="shared" si="157"/>
        <v>674.49787507693691</v>
      </c>
      <c r="H245" s="402">
        <f t="shared" si="157"/>
        <v>-2.7000000045518391E-4</v>
      </c>
      <c r="I245" s="14">
        <f t="shared" si="157"/>
        <v>217.75649523337233</v>
      </c>
      <c r="J245" s="14">
        <f t="shared" si="157"/>
        <v>417.28132542346611</v>
      </c>
      <c r="K245" s="14">
        <f t="shared" si="157"/>
        <v>-78.002551170482548</v>
      </c>
      <c r="L245" s="14">
        <f t="shared" si="157"/>
        <v>-342.84244924178893</v>
      </c>
      <c r="M245" s="14">
        <f t="shared" si="157"/>
        <v>322.81571224469189</v>
      </c>
      <c r="N245" s="187">
        <f t="shared" si="157"/>
        <v>1924.8733130003457</v>
      </c>
      <c r="O245" s="14">
        <f>O231+O234+O237</f>
        <v>2453.5636724597789</v>
      </c>
      <c r="P245" s="14">
        <f t="shared" ref="P245:AH245" si="158">P231+P234+P237</f>
        <v>3090.1539609759293</v>
      </c>
      <c r="Q245" s="14">
        <f t="shared" si="158"/>
        <v>3944.2410786401033</v>
      </c>
      <c r="R245" s="14">
        <f t="shared" si="158"/>
        <v>4685.2440663763409</v>
      </c>
      <c r="S245" s="14">
        <f t="shared" si="158"/>
        <v>5282.5682766499522</v>
      </c>
      <c r="T245" s="14">
        <f t="shared" si="158"/>
        <v>5899.2992237616709</v>
      </c>
      <c r="U245" s="14">
        <f t="shared" si="158"/>
        <v>6529.2798356518288</v>
      </c>
      <c r="V245" s="14">
        <f t="shared" si="158"/>
        <v>7227.5505909725434</v>
      </c>
      <c r="W245" s="14">
        <f t="shared" si="158"/>
        <v>7732.9176052139956</v>
      </c>
      <c r="X245" s="187">
        <f t="shared" si="158"/>
        <v>6818.4625575430819</v>
      </c>
      <c r="Y245" s="158">
        <f t="shared" si="158"/>
        <v>9155.5926548140378</v>
      </c>
      <c r="Z245" s="158">
        <f t="shared" si="158"/>
        <v>9993.5581750829242</v>
      </c>
      <c r="AA245" s="158">
        <f t="shared" si="158"/>
        <v>10785.199693887251</v>
      </c>
      <c r="AB245" s="158">
        <f t="shared" si="158"/>
        <v>11662.888861971978</v>
      </c>
      <c r="AC245" s="158">
        <f t="shared" si="158"/>
        <v>12736.612744579603</v>
      </c>
      <c r="AD245" s="158">
        <f t="shared" si="158"/>
        <v>13820.630094525324</v>
      </c>
      <c r="AE245" s="158">
        <f t="shared" si="158"/>
        <v>15088.309947968663</v>
      </c>
      <c r="AF245" s="158">
        <f t="shared" si="158"/>
        <v>16498.368956722872</v>
      </c>
      <c r="AG245" s="158">
        <f t="shared" si="158"/>
        <v>17804.805421308483</v>
      </c>
      <c r="AH245" s="187">
        <f t="shared" si="158"/>
        <v>13302.998689447812</v>
      </c>
    </row>
    <row r="246" spans="1:34" s="1" customFormat="1">
      <c r="A246" s="1" t="s">
        <v>449</v>
      </c>
      <c r="B246" s="13"/>
      <c r="C246" s="328"/>
      <c r="D246" s="341">
        <f>D243</f>
        <v>101.87202605549828</v>
      </c>
      <c r="E246" s="341">
        <f>D246+E243</f>
        <v>174.79396119064768</v>
      </c>
      <c r="F246" s="341">
        <f>E246+F243</f>
        <v>428.4302030060062</v>
      </c>
      <c r="G246" s="341">
        <f>F246+G243</f>
        <v>598.82894236809807</v>
      </c>
      <c r="H246" s="405"/>
      <c r="I246" s="15">
        <f t="shared" ref="I246:X246" si="159">H246+I243</f>
        <v>116.58074270379439</v>
      </c>
      <c r="J246" s="15">
        <f t="shared" si="159"/>
        <v>281.11526008759392</v>
      </c>
      <c r="K246" s="15">
        <f t="shared" si="159"/>
        <v>334.44060935593734</v>
      </c>
      <c r="L246" s="15">
        <f t="shared" si="159"/>
        <v>332.01542804537166</v>
      </c>
      <c r="M246" s="15">
        <f t="shared" si="159"/>
        <v>545.51016340122442</v>
      </c>
      <c r="N246" s="190">
        <f t="shared" si="159"/>
        <v>1375.0033203877538</v>
      </c>
      <c r="O246" s="15">
        <f t="shared" si="159"/>
        <v>2378.6772389722901</v>
      </c>
      <c r="P246" s="15">
        <f t="shared" si="159"/>
        <v>3589.2674608145753</v>
      </c>
      <c r="Q246" s="15">
        <f t="shared" si="159"/>
        <v>5065.5035918775975</v>
      </c>
      <c r="R246" s="15">
        <f t="shared" si="159"/>
        <v>6760.6974873291329</v>
      </c>
      <c r="S246" s="15">
        <f t="shared" si="159"/>
        <v>8650.2651483774971</v>
      </c>
      <c r="T246" s="15">
        <f t="shared" si="159"/>
        <v>10760.380684535179</v>
      </c>
      <c r="U246" s="15">
        <f t="shared" si="159"/>
        <v>13096.264811881148</v>
      </c>
      <c r="V246" s="15">
        <f t="shared" si="159"/>
        <v>15680.054580001204</v>
      </c>
      <c r="W246" s="15">
        <f t="shared" si="159"/>
        <v>18453.638051359056</v>
      </c>
      <c r="X246" s="190">
        <f t="shared" si="159"/>
        <v>20155.632553441552</v>
      </c>
      <c r="Y246" s="130">
        <f t="shared" ref="Y246:AH246" si="160">X246+Y243</f>
        <v>23469.988681166375</v>
      </c>
      <c r="Z246" s="130">
        <f t="shared" si="160"/>
        <v>27093.54960547165</v>
      </c>
      <c r="AA246" s="130">
        <f t="shared" si="160"/>
        <v>31002.564052725633</v>
      </c>
      <c r="AB246" s="130">
        <f t="shared" si="160"/>
        <v>35241.241012725732</v>
      </c>
      <c r="AC246" s="130">
        <f t="shared" si="160"/>
        <v>39885.592426237563</v>
      </c>
      <c r="AD246" s="130">
        <f t="shared" si="160"/>
        <v>44924.224234691079</v>
      </c>
      <c r="AE246" s="130">
        <f t="shared" si="160"/>
        <v>50400.901786423361</v>
      </c>
      <c r="AF246" s="130">
        <f t="shared" si="160"/>
        <v>56365.938741466598</v>
      </c>
      <c r="AG246" s="130">
        <f t="shared" si="160"/>
        <v>62788.075683288262</v>
      </c>
      <c r="AH246" s="190">
        <f t="shared" si="160"/>
        <v>64725.686415413002</v>
      </c>
    </row>
    <row r="247" spans="1:34">
      <c r="A247" t="s">
        <v>458</v>
      </c>
      <c r="D247" s="343" t="b">
        <f t="shared" ref="D247:AH247" si="161">IF(D185-D246&lt;1,TRUE,FALSE)</f>
        <v>1</v>
      </c>
      <c r="E247" s="343" t="b">
        <f t="shared" si="161"/>
        <v>1</v>
      </c>
      <c r="F247" s="343" t="b">
        <f t="shared" si="161"/>
        <v>1</v>
      </c>
      <c r="G247" s="343" t="b">
        <f t="shared" si="161"/>
        <v>1</v>
      </c>
      <c r="H247" s="408"/>
      <c r="I247" s="133" t="b">
        <f t="shared" si="161"/>
        <v>0</v>
      </c>
      <c r="J247" s="133" t="b">
        <f t="shared" si="161"/>
        <v>0</v>
      </c>
      <c r="K247" s="133" t="b">
        <f t="shared" si="161"/>
        <v>0</v>
      </c>
      <c r="L247" s="133" t="b">
        <f t="shared" si="161"/>
        <v>0</v>
      </c>
      <c r="M247" s="133" t="b">
        <f t="shared" si="161"/>
        <v>0</v>
      </c>
      <c r="N247" s="194" t="b">
        <f t="shared" si="161"/>
        <v>0</v>
      </c>
      <c r="O247" s="133" t="b">
        <f t="shared" si="161"/>
        <v>0</v>
      </c>
      <c r="P247" s="133" t="b">
        <f t="shared" si="161"/>
        <v>0</v>
      </c>
      <c r="Q247" s="133" t="b">
        <f t="shared" si="161"/>
        <v>0</v>
      </c>
      <c r="R247" s="133" t="b">
        <f t="shared" si="161"/>
        <v>0</v>
      </c>
      <c r="S247" s="133" t="b">
        <f t="shared" si="161"/>
        <v>0</v>
      </c>
      <c r="T247" s="133" t="b">
        <f t="shared" si="161"/>
        <v>0</v>
      </c>
      <c r="U247" s="133" t="b">
        <f t="shared" si="161"/>
        <v>0</v>
      </c>
      <c r="V247" s="133" t="b">
        <f t="shared" si="161"/>
        <v>0</v>
      </c>
      <c r="W247" s="133" t="b">
        <f t="shared" si="161"/>
        <v>0</v>
      </c>
      <c r="X247" s="194" t="b">
        <f t="shared" si="161"/>
        <v>0</v>
      </c>
      <c r="Y247" s="290" t="b">
        <f t="shared" si="161"/>
        <v>0</v>
      </c>
      <c r="Z247" s="290" t="b">
        <f t="shared" si="161"/>
        <v>0</v>
      </c>
      <c r="AA247" s="290" t="b">
        <f t="shared" si="161"/>
        <v>0</v>
      </c>
      <c r="AB247" s="290" t="b">
        <f t="shared" si="161"/>
        <v>0</v>
      </c>
      <c r="AC247" s="290" t="b">
        <f t="shared" si="161"/>
        <v>0</v>
      </c>
      <c r="AD247" s="290" t="b">
        <f t="shared" si="161"/>
        <v>0</v>
      </c>
      <c r="AE247" s="290" t="b">
        <f t="shared" si="161"/>
        <v>0</v>
      </c>
      <c r="AF247" s="290" t="b">
        <f t="shared" si="161"/>
        <v>0</v>
      </c>
      <c r="AG247" s="290" t="b">
        <f t="shared" si="161"/>
        <v>0</v>
      </c>
      <c r="AH247" s="194" t="b">
        <f t="shared" si="161"/>
        <v>0</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S3"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393518.99999999994</v>
      </c>
      <c r="D4" s="329">
        <f>EIA_electricity_aeo2014!F58 * 1000</f>
        <v>408404</v>
      </c>
      <c r="E4" s="329">
        <f>EIA_electricity_aeo2014!G58 * 1000</f>
        <v>414430.90443315025</v>
      </c>
      <c r="F4" s="329">
        <f>EIA_electricity_aeo2014!H58 * 1000</f>
        <v>434412.84365677222</v>
      </c>
      <c r="G4" s="329">
        <f>EIA_electricity_aeo2014!I58 * 1000</f>
        <v>418550.75385692972</v>
      </c>
      <c r="H4" s="21">
        <f>EIA_electricity_aeo2014!J58 * 1000</f>
        <v>413292.0573437899</v>
      </c>
      <c r="I4" s="21">
        <f>EIA_electricity_aeo2014!K58 * 1000</f>
        <v>432552.50849378924</v>
      </c>
      <c r="J4" s="21">
        <f>EIA_electricity_aeo2014!L58 * 1000</f>
        <v>455173.74826287339</v>
      </c>
      <c r="K4" s="21">
        <f>EIA_electricity_aeo2014!M58 * 1000</f>
        <v>452709.90307321772</v>
      </c>
      <c r="L4" s="21">
        <f>EIA_electricity_aeo2014!N58 * 1000</f>
        <v>453735.74752142973</v>
      </c>
      <c r="M4" s="21">
        <f>EIA_electricity_aeo2014!O58 * 1000</f>
        <v>458919.08528468653</v>
      </c>
      <c r="N4" s="388">
        <f>EIA_electricity_aeo2014!P58 * 1000</f>
        <v>465556.93404878065</v>
      </c>
      <c r="O4" s="21">
        <f>EIA_electricity_aeo2014!Q58 * 1000</f>
        <v>470361.27852979384</v>
      </c>
      <c r="P4" s="21">
        <f>EIA_electricity_aeo2014!R58 * 1000</f>
        <v>476520.54623611778</v>
      </c>
      <c r="Q4" s="21">
        <f>EIA_electricity_aeo2014!S58 * 1000</f>
        <v>486096.64108078991</v>
      </c>
      <c r="R4" s="21">
        <f>EIA_electricity_aeo2014!T58 * 1000</f>
        <v>493709.06604849553</v>
      </c>
      <c r="S4" s="21">
        <f>EIA_electricity_aeo2014!U58 * 1000</f>
        <v>498515.09972101939</v>
      </c>
      <c r="T4" s="21">
        <f>EIA_electricity_aeo2014!V58 * 1000</f>
        <v>502837.84777395951</v>
      </c>
      <c r="U4" s="21">
        <f>EIA_electricity_aeo2014!W58 * 1000</f>
        <v>507228.9489346217</v>
      </c>
      <c r="V4" s="21">
        <f>EIA_electricity_aeo2014!X58 * 1000</f>
        <v>512300.56071691477</v>
      </c>
      <c r="W4" s="21">
        <f>EIA_electricity_aeo2014!Y58 * 1000</f>
        <v>514620.21177333995</v>
      </c>
      <c r="X4" s="388">
        <f>EIA_electricity_aeo2014!Z58 * 1000</f>
        <v>519458.25323807378</v>
      </c>
      <c r="Y4" s="21">
        <f>EIA_electricity_aeo2014!AA58 * 1000</f>
        <v>521743.86636323563</v>
      </c>
      <c r="Z4" s="21">
        <f>EIA_electricity_aeo2014!AB58 * 1000</f>
        <v>525257.33403785992</v>
      </c>
      <c r="AA4" s="21">
        <f>EIA_electricity_aeo2014!AC58 * 1000</f>
        <v>527797.72518713772</v>
      </c>
      <c r="AB4" s="21">
        <f>EIA_electricity_aeo2014!AD58 * 1000</f>
        <v>531394.12216817797</v>
      </c>
      <c r="AC4" s="21">
        <f>EIA_electricity_aeo2014!AE58 * 1000</f>
        <v>536750.52039596776</v>
      </c>
      <c r="AD4" s="21">
        <f>EIA_electricity_aeo2014!AF58 * 1000</f>
        <v>541459.88818756049</v>
      </c>
      <c r="AE4" s="21">
        <f>EIA_electricity_aeo2014!AG58 * 1000</f>
        <v>548903.45268157544</v>
      </c>
      <c r="AF4" s="21">
        <f>EIA_electricity_aeo2014!AH58 * 1000</f>
        <v>557036.62837939162</v>
      </c>
      <c r="AG4" s="21">
        <f>EIA_electricity_aeo2014!AI58 * 1000</f>
        <v>563681.86258556205</v>
      </c>
      <c r="AH4" s="21">
        <f>EIA_electricity_aeo2014!AJ58 * 1000</f>
        <v>569194.74962619529</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1028.99</v>
      </c>
      <c r="D7" s="330">
        <f>EIA_RE_aeo2014!F73*1000-D15</f>
        <v>1261.99</v>
      </c>
      <c r="E7" s="330">
        <f>EIA_RE_aeo2014!G73*1000-E15</f>
        <v>1477.495412171138</v>
      </c>
      <c r="F7" s="330">
        <f>EIA_RE_aeo2014!H73*1000-F15</f>
        <v>1202.1004368451863</v>
      </c>
      <c r="G7" s="330">
        <f>EIA_RE_aeo2014!I73*1000-G15</f>
        <v>1525.9257994387638</v>
      </c>
      <c r="H7" s="174">
        <f>EIA_RE_aeo2014!J73*1000-H15</f>
        <v>1562.618434200728</v>
      </c>
      <c r="I7" s="174">
        <f>EIA_RE_aeo2014!K73*1000-I15</f>
        <v>1595.0045025931101</v>
      </c>
      <c r="J7" s="174">
        <f>EIA_RE_aeo2014!L73*1000-J15</f>
        <v>1622.9873981417729</v>
      </c>
      <c r="K7" s="174">
        <f>EIA_RE_aeo2014!M73*1000-K15</f>
        <v>1641.9742935469492</v>
      </c>
      <c r="L7" s="174">
        <f>EIA_RE_aeo2014!N73*1000-L15</f>
        <v>1641.973469821897</v>
      </c>
      <c r="M7" s="174">
        <f>EIA_RE_aeo2014!O73*1000-M15</f>
        <v>1641.9738981589239</v>
      </c>
      <c r="N7" s="184">
        <f>EIA_RE_aeo2014!P73*1000-N15</f>
        <v>1641.973469821897</v>
      </c>
      <c r="O7" s="174">
        <f>EIA_RE_aeo2014!Q73*1000-O15</f>
        <v>1641.973865209922</v>
      </c>
      <c r="P7" s="174">
        <f>EIA_RE_aeo2014!R73*1000-P15</f>
        <v>1641.9727119948484</v>
      </c>
      <c r="Q7" s="174">
        <f>EIA_RE_aeo2014!S73*1000-Q15</f>
        <v>1651.0378720937288</v>
      </c>
      <c r="R7" s="174">
        <f>EIA_RE_aeo2014!T73*1000-R15</f>
        <v>1651.0372131136869</v>
      </c>
      <c r="S7" s="83">
        <f>EIA_RE_aeo2014!U73*1000-S15</f>
        <v>1651.0379050427307</v>
      </c>
      <c r="T7" s="83">
        <f>EIA_RE_aeo2014!V73*1000-T15</f>
        <v>1654.4829209055815</v>
      </c>
      <c r="U7" s="83">
        <f>EIA_RE_aeo2014!W73*1000-U15</f>
        <v>1656.5513604099826</v>
      </c>
      <c r="V7" s="83">
        <f>EIA_RE_aeo2014!X73*1000-V15</f>
        <v>1668.261402804884</v>
      </c>
      <c r="W7" s="83">
        <f>EIA_RE_aeo2014!Y73*1000-W15</f>
        <v>1679.7000772185459</v>
      </c>
      <c r="X7" s="184">
        <f>EIA_RE_aeo2014!Z73*1000-X15</f>
        <v>1692.4637628023811</v>
      </c>
      <c r="Y7" s="174">
        <f>EIA_RE_aeo2014!AA73*1000-Y15</f>
        <v>1692.4639934453962</v>
      </c>
      <c r="Z7" s="174">
        <f>EIA_RE_aeo2014!AB73*1000-Z15</f>
        <v>1699.8673376747067</v>
      </c>
      <c r="AA7" s="174">
        <f>EIA_RE_aeo2014!AC73*1000-AA15</f>
        <v>1699.8677001137298</v>
      </c>
      <c r="AB7" s="174">
        <f>EIA_RE_aeo2014!AD73*1000-AB15</f>
        <v>1699.8677001137298</v>
      </c>
      <c r="AC7" s="174">
        <f>EIA_RE_aeo2014!AE73*1000-AC15</f>
        <v>1706.8939759630862</v>
      </c>
      <c r="AD7" s="174">
        <f>EIA_RE_aeo2014!AF73*1000-AD15</f>
        <v>1711.76064241925</v>
      </c>
      <c r="AE7" s="174">
        <f>EIA_RE_aeo2014!AG73*1000-AE15</f>
        <v>1711.7613013992918</v>
      </c>
      <c r="AF7" s="174">
        <f>EIA_RE_aeo2014!AH73*1000-AF15</f>
        <v>1716.1767642207915</v>
      </c>
      <c r="AG7" s="174">
        <f>EIA_RE_aeo2014!AI73*1000-AG15</f>
        <v>1716.1767312717895</v>
      </c>
      <c r="AH7" s="174">
        <f>EIA_RE_aeo2014!AJ73*1000-AH15</f>
        <v>1716.1768960168004</v>
      </c>
    </row>
    <row r="8" spans="1:34">
      <c r="A8" s="9" t="s">
        <v>59</v>
      </c>
      <c r="B8" s="34">
        <v>0</v>
      </c>
      <c r="C8" s="330">
        <f>EIA_electricity_aeo2014!E52*1000</f>
        <v>41498</v>
      </c>
      <c r="D8" s="330">
        <f>EIA_electricity_aeo2014!F52*1000</f>
        <v>41335</v>
      </c>
      <c r="E8" s="330">
        <f>EIA_electricity_aeo2014!G52*1000</f>
        <v>41858.270310700362</v>
      </c>
      <c r="F8" s="330">
        <f>EIA_electricity_aeo2014!H52*1000</f>
        <v>41471.785778904115</v>
      </c>
      <c r="G8" s="330">
        <f>EIA_electricity_aeo2014!I52*1000</f>
        <v>40809.502394329771</v>
      </c>
      <c r="H8" s="3">
        <f>EIA_electricity_aeo2014!J52*1000</f>
        <v>40930.61662519395</v>
      </c>
      <c r="I8" s="3">
        <f>EIA_electricity_aeo2014!K52*1000</f>
        <v>42484.481580438893</v>
      </c>
      <c r="J8" s="3">
        <f>EIA_electricity_aeo2014!L52*1000</f>
        <v>44284.397925443976</v>
      </c>
      <c r="K8" s="3">
        <f>EIA_electricity_aeo2014!M52*1000</f>
        <v>46033.953120072561</v>
      </c>
      <c r="L8" s="3">
        <f>EIA_electricity_aeo2014!N52*1000</f>
        <v>47392.415365268127</v>
      </c>
      <c r="M8" s="3">
        <f>EIA_electricity_aeo2014!O52*1000</f>
        <v>47629.749867097562</v>
      </c>
      <c r="N8" s="388">
        <f>EIA_electricity_aeo2014!P52*1000</f>
        <v>47629.75105934083</v>
      </c>
      <c r="O8" s="3">
        <f>EIA_electricity_aeo2014!Q52*1000</f>
        <v>47629.75105934083</v>
      </c>
      <c r="P8" s="3">
        <f>EIA_electricity_aeo2014!R52*1000</f>
        <v>47629.750661926402</v>
      </c>
      <c r="Q8" s="3">
        <f>EIA_electricity_aeo2014!S52*1000</f>
        <v>47629.75105934083</v>
      </c>
      <c r="R8" s="3">
        <f>EIA_electricity_aeo2014!T52*1000</f>
        <v>47629.749867097562</v>
      </c>
      <c r="S8" s="3">
        <f>EIA_electricity_aeo2014!U52*1000</f>
        <v>47629.84624009487</v>
      </c>
      <c r="T8" s="3">
        <f>EIA_electricity_aeo2014!V52*1000</f>
        <v>47629.750661926402</v>
      </c>
      <c r="U8" s="3">
        <f>EIA_electricity_aeo2014!W52*1000</f>
        <v>47629.750264511982</v>
      </c>
      <c r="V8" s="3">
        <f>EIA_electricity_aeo2014!X52*1000</f>
        <v>47629.750264511982</v>
      </c>
      <c r="W8" s="3">
        <f>EIA_electricity_aeo2014!Y52*1000</f>
        <v>47629.75105934083</v>
      </c>
      <c r="X8" s="184">
        <f>EIA_electricity_aeo2014!Z52*1000</f>
        <v>47629.750264511982</v>
      </c>
      <c r="Y8" s="174">
        <f>EIA_electricity_aeo2014!AA52*1000</f>
        <v>47629.750264511982</v>
      </c>
      <c r="Z8" s="174">
        <f>EIA_electricity_aeo2014!AB52*1000</f>
        <v>47629.750661926402</v>
      </c>
      <c r="AA8" s="174">
        <f>EIA_electricity_aeo2014!AC52*1000</f>
        <v>47629.749668390345</v>
      </c>
      <c r="AB8" s="174">
        <f>EIA_electricity_aeo2014!AD52*1000</f>
        <v>47629.750264511982</v>
      </c>
      <c r="AC8" s="174">
        <f>EIA_electricity_aeo2014!AE52*1000</f>
        <v>47629.75105934083</v>
      </c>
      <c r="AD8" s="174">
        <f>EIA_electricity_aeo2014!AF52*1000</f>
        <v>47629.75105934083</v>
      </c>
      <c r="AE8" s="174">
        <f>EIA_electricity_aeo2014!AG52*1000</f>
        <v>47629.75105934083</v>
      </c>
      <c r="AF8" s="174">
        <f>EIA_electricity_aeo2014!AH52*1000</f>
        <v>47629.75105934083</v>
      </c>
      <c r="AG8" s="174">
        <f>EIA_electricity_aeo2014!AI52*1000</f>
        <v>47629.750264511982</v>
      </c>
      <c r="AH8" s="174">
        <f>EIA_electricity_aeo2014!AJ52*1000</f>
        <v>47629.750264511982</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649</v>
      </c>
      <c r="D10" s="330">
        <f>EIA_RE_aeo2014!F76*1000</f>
        <v>900</v>
      </c>
      <c r="E10" s="330">
        <f>EIA_RE_aeo2014!G76*1000</f>
        <v>907.79740746565699</v>
      </c>
      <c r="F10" s="330">
        <f>EIA_RE_aeo2014!H76*1000</f>
        <v>876.62369691839797</v>
      </c>
      <c r="G10" s="330">
        <f>EIA_RE_aeo2014!I76*1000</f>
        <v>971.00244332514092</v>
      </c>
      <c r="H10" s="83">
        <f>EIA_RE_aeo2014!J76*1000</f>
        <v>999.02923796168704</v>
      </c>
      <c r="I10" s="174">
        <f>EIA_RE_aeo2014!K76*1000</f>
        <v>1035.7086542891909</v>
      </c>
      <c r="J10" s="174">
        <f>EIA_RE_aeo2014!L76*1000</f>
        <v>1095.8405148941465</v>
      </c>
      <c r="K10" s="174">
        <f>EIA_RE_aeo2014!M76*1000</f>
        <v>1188.4309592755785</v>
      </c>
      <c r="L10" s="174">
        <f>EIA_RE_aeo2014!N76*1000</f>
        <v>1241.6322308113477</v>
      </c>
      <c r="M10" s="174">
        <f>EIA_RE_aeo2014!O76*1000</f>
        <v>1291.5259848754883</v>
      </c>
      <c r="N10" s="184">
        <f>EIA_RE_aeo2014!P76*1000</f>
        <v>1355.042322928502</v>
      </c>
      <c r="O10" s="174">
        <f>EIA_RE_aeo2014!Q76*1000</f>
        <v>1453.0775489730843</v>
      </c>
      <c r="P10" s="174">
        <f>EIA_RE_aeo2014!R76*1000</f>
        <v>1519.5873081771913</v>
      </c>
      <c r="Q10" s="174">
        <f>EIA_RE_aeo2014!S76*1000</f>
        <v>1710.2963772201263</v>
      </c>
      <c r="R10" s="174">
        <f>EIA_RE_aeo2014!T76*1000</f>
        <v>1784.6238608176163</v>
      </c>
      <c r="S10" s="83">
        <f>EIA_RE_aeo2014!U76*1000</f>
        <v>2015.1533093934088</v>
      </c>
      <c r="T10" s="83">
        <f>EIA_RE_aeo2014!V76*1000</f>
        <v>2082.9644636212001</v>
      </c>
      <c r="U10" s="83">
        <f>EIA_RE_aeo2014!W76*1000</f>
        <v>2129.1326745169558</v>
      </c>
      <c r="V10" s="83">
        <f>EIA_RE_aeo2014!X76*1000</f>
        <v>2172.1913865071142</v>
      </c>
      <c r="W10" s="83">
        <f>EIA_RE_aeo2014!Y76*1000</f>
        <v>2432.83599668838</v>
      </c>
      <c r="X10" s="184">
        <f>EIA_RE_aeo2014!Z76*1000</f>
        <v>2472.3673055599679</v>
      </c>
      <c r="Y10" s="174">
        <f>EIA_RE_aeo2014!AA76*1000</f>
        <v>2505.4826914083746</v>
      </c>
      <c r="Z10" s="174">
        <f>EIA_RE_aeo2014!AB76*1000</f>
        <v>2530.3360259276569</v>
      </c>
      <c r="AA10" s="174">
        <f>EIA_RE_aeo2014!AC76*1000</f>
        <v>2563.6522852109911</v>
      </c>
      <c r="AB10" s="174">
        <f>EIA_RE_aeo2014!AD76*1000</f>
        <v>2601.96881699606</v>
      </c>
      <c r="AC10" s="174">
        <f>EIA_RE_aeo2014!AE76*1000</f>
        <v>2634.6435811641018</v>
      </c>
      <c r="AD10" s="174">
        <f>EIA_RE_aeo2014!AF76*1000</f>
        <v>2680.1391363542675</v>
      </c>
      <c r="AE10" s="174">
        <f>EIA_RE_aeo2014!AG76*1000</f>
        <v>2729.267056651378</v>
      </c>
      <c r="AF10" s="174">
        <f>EIA_RE_aeo2014!AH76*1000</f>
        <v>2785.8393209353098</v>
      </c>
      <c r="AG10" s="174">
        <f>EIA_RE_aeo2014!AI76*1000</f>
        <v>2844.7653335117861</v>
      </c>
      <c r="AH10" s="174">
        <f>EIA_RE_aeo2014!AJ76*1000</f>
        <v>2897.8053353258333</v>
      </c>
    </row>
    <row r="11" spans="1:34" s="20" customFormat="1">
      <c r="A11" s="9" t="s">
        <v>50</v>
      </c>
      <c r="B11" s="35">
        <v>1</v>
      </c>
      <c r="C11" s="330">
        <f>EIA_RE_aeo2014!E74*1000</f>
        <v>0</v>
      </c>
      <c r="D11" s="330">
        <f>EIA_RE_aeo2014!F74*1000</f>
        <v>0</v>
      </c>
      <c r="E11" s="330">
        <f>EIA_RE_aeo2014!G74*1000</f>
        <v>4.0118830000000001E-2</v>
      </c>
      <c r="F11" s="330">
        <f>EIA_RE_aeo2014!H74*1000</f>
        <v>3.7581990000000003E-2</v>
      </c>
      <c r="G11" s="330">
        <f>EIA_RE_aeo2014!I74*1000</f>
        <v>4.1090540000000002E-2</v>
      </c>
      <c r="H11" s="83">
        <f>EIA_RE_aeo2014!J74*1000</f>
        <v>4.1090700000000001E-2</v>
      </c>
      <c r="I11" s="83">
        <f>EIA_RE_aeo2014!K74*1000</f>
        <v>4.107798E-2</v>
      </c>
      <c r="J11" s="83">
        <f>EIA_RE_aeo2014!L74*1000</f>
        <v>4.1001170000000003E-2</v>
      </c>
      <c r="K11" s="83">
        <f>EIA_RE_aeo2014!M74*1000</f>
        <v>4.5077809999999996E-2</v>
      </c>
      <c r="L11" s="83">
        <f>EIA_RE_aeo2014!N74*1000</f>
        <v>4.9009479999999994E-2</v>
      </c>
      <c r="M11" s="83">
        <f>EIA_RE_aeo2014!O74*1000</f>
        <v>4.9156640000000001E-2</v>
      </c>
      <c r="N11" s="388">
        <f>EIA_RE_aeo2014!P74*1000</f>
        <v>4.9143330000000006E-2</v>
      </c>
      <c r="O11" s="83">
        <f>EIA_RE_aeo2014!Q74*1000</f>
        <v>4.9132240000000001E-2</v>
      </c>
      <c r="P11" s="83">
        <f>EIA_RE_aeo2014!R74*1000</f>
        <v>4.9197499999999998E-2</v>
      </c>
      <c r="Q11" s="83">
        <f>EIA_RE_aeo2014!S74*1000</f>
        <v>4.9287999999999998E-2</v>
      </c>
      <c r="R11" s="83">
        <f>EIA_RE_aeo2014!T74*1000</f>
        <v>4.9247539999999999E-2</v>
      </c>
      <c r="S11" s="83">
        <f>EIA_RE_aeo2014!U74*1000</f>
        <v>4.9286719999999999E-2</v>
      </c>
      <c r="T11" s="83">
        <f>EIA_RE_aeo2014!V74*1000</f>
        <v>4.9275430000000002E-2</v>
      </c>
      <c r="U11" s="83">
        <f>EIA_RE_aeo2014!W74*1000</f>
        <v>5.310198E-2</v>
      </c>
      <c r="V11" s="83">
        <f>EIA_RE_aeo2014!X74*1000</f>
        <v>5.550130000000001E-2</v>
      </c>
      <c r="W11" s="83">
        <f>EIA_RE_aeo2014!Y74*1000</f>
        <v>5.5720200000000011E-2</v>
      </c>
      <c r="X11" s="184">
        <f>EIA_RE_aeo2014!Z74*1000</f>
        <v>5.8294080000000005E-2</v>
      </c>
      <c r="Y11" s="174">
        <f>EIA_RE_aeo2014!AA74*1000</f>
        <v>6.0471730000000001E-2</v>
      </c>
      <c r="Z11" s="174">
        <f>EIA_RE_aeo2014!AB74*1000</f>
        <v>6.0445360000000004E-2</v>
      </c>
      <c r="AA11" s="174">
        <f>EIA_RE_aeo2014!AC74*1000</f>
        <v>6.0421290000000002E-2</v>
      </c>
      <c r="AB11" s="174">
        <f>EIA_RE_aeo2014!AD74*1000</f>
        <v>6.0398E-2</v>
      </c>
      <c r="AC11" s="174">
        <f>EIA_RE_aeo2014!AE74*1000</f>
        <v>6.0375640000000001E-2</v>
      </c>
      <c r="AD11" s="174">
        <f>EIA_RE_aeo2014!AF74*1000</f>
        <v>6.0354030000000003E-2</v>
      </c>
      <c r="AE11" s="174">
        <f>EIA_RE_aeo2014!AG74*1000</f>
        <v>6.0333230000000009E-2</v>
      </c>
      <c r="AF11" s="174">
        <f>EIA_RE_aeo2014!AH74*1000</f>
        <v>6.0313510000000008E-2</v>
      </c>
      <c r="AG11" s="174">
        <f>EIA_RE_aeo2014!AI74*1000</f>
        <v>6.0293980000000004E-2</v>
      </c>
      <c r="AH11" s="174">
        <f>EIA_RE_aeo2014!AJ74*1000</f>
        <v>6.0275830000000002E-2</v>
      </c>
    </row>
    <row r="12" spans="1:34" s="20" customFormat="1">
      <c r="A12" s="9" t="s">
        <v>51</v>
      </c>
      <c r="B12" s="35">
        <v>1</v>
      </c>
      <c r="C12" s="330">
        <f>EIA_RE_aeo2014!E75*1000</f>
        <v>398</v>
      </c>
      <c r="D12" s="330">
        <f>EIA_RE_aeo2014!F75*1000</f>
        <v>449</v>
      </c>
      <c r="E12" s="330">
        <f>EIA_RE_aeo2014!G75*1000</f>
        <v>827.19765600641028</v>
      </c>
      <c r="F12" s="330">
        <f>EIA_RE_aeo2014!H75*1000</f>
        <v>856.52609674666041</v>
      </c>
      <c r="G12" s="330">
        <f>EIA_RE_aeo2014!I75*1000</f>
        <v>696.67074710658562</v>
      </c>
      <c r="H12" s="83">
        <f>EIA_RE_aeo2014!J75*1000</f>
        <v>749.63944152077954</v>
      </c>
      <c r="I12" s="174">
        <f>EIA_RE_aeo2014!K75*1000</f>
        <v>686.1763198936992</v>
      </c>
      <c r="J12" s="174">
        <f>EIA_RE_aeo2014!L75*1000</f>
        <v>802.70510068735223</v>
      </c>
      <c r="K12" s="174">
        <f>EIA_RE_aeo2014!M75*1000</f>
        <v>808.21109283676856</v>
      </c>
      <c r="L12" s="174">
        <f>EIA_RE_aeo2014!N75*1000</f>
        <v>808.34758462196442</v>
      </c>
      <c r="M12" s="174">
        <f>EIA_RE_aeo2014!O75*1000</f>
        <v>803.04355090584693</v>
      </c>
      <c r="N12" s="184">
        <f>EIA_RE_aeo2014!P75*1000</f>
        <v>802.80824153860897</v>
      </c>
      <c r="O12" s="174">
        <f>EIA_RE_aeo2014!Q75*1000</f>
        <v>802.66866170397407</v>
      </c>
      <c r="P12" s="174">
        <f>EIA_RE_aeo2014!R75*1000</f>
        <v>807.84670300298785</v>
      </c>
      <c r="Q12" s="174">
        <f>EIA_RE_aeo2014!S75*1000</f>
        <v>802.41605925987858</v>
      </c>
      <c r="R12" s="174">
        <f>EIA_RE_aeo2014!T75*1000</f>
        <v>802.29500772187691</v>
      </c>
      <c r="S12" s="83">
        <f>EIA_RE_aeo2014!U75*1000</f>
        <v>807.48478360875799</v>
      </c>
      <c r="T12" s="83">
        <f>EIA_RE_aeo2014!V75*1000</f>
        <v>793.40451338751382</v>
      </c>
      <c r="U12" s="83">
        <f>EIA_RE_aeo2014!W75*1000</f>
        <v>801.72124813614425</v>
      </c>
      <c r="V12" s="83">
        <f>EIA_RE_aeo2014!X75*1000</f>
        <v>801.47482179092628</v>
      </c>
      <c r="W12" s="83">
        <f>EIA_RE_aeo2014!Y75*1000</f>
        <v>801.19072124255501</v>
      </c>
      <c r="X12" s="184">
        <f>EIA_RE_aeo2014!Z75*1000</f>
        <v>800.88438673822395</v>
      </c>
      <c r="Y12" s="174">
        <f>EIA_RE_aeo2014!AA75*1000</f>
        <v>800.57928745366848</v>
      </c>
      <c r="Z12" s="174">
        <f>EIA_RE_aeo2014!AB75*1000</f>
        <v>805.64677658277242</v>
      </c>
      <c r="AA12" s="174">
        <f>EIA_RE_aeo2014!AC75*1000</f>
        <v>812.8802235882647</v>
      </c>
      <c r="AB12" s="174">
        <f>EIA_RE_aeo2014!AD75*1000</f>
        <v>823.63589978367497</v>
      </c>
      <c r="AC12" s="174">
        <f>EIA_RE_aeo2014!AE75*1000</f>
        <v>823.42405959217206</v>
      </c>
      <c r="AD12" s="174">
        <f>EIA_RE_aeo2014!AF75*1000</f>
        <v>823.21654266988332</v>
      </c>
      <c r="AE12" s="174">
        <f>EIA_RE_aeo2014!AG75*1000</f>
        <v>838.81242755570042</v>
      </c>
      <c r="AF12" s="174">
        <f>EIA_RE_aeo2014!AH75*1000</f>
        <v>838.65246659476952</v>
      </c>
      <c r="AG12" s="174">
        <f>EIA_RE_aeo2014!AI75*1000</f>
        <v>838.48077104597132</v>
      </c>
      <c r="AH12" s="174">
        <f>EIA_RE_aeo2014!AJ75*1000</f>
        <v>838.31092832683601</v>
      </c>
    </row>
    <row r="13" spans="1:34">
      <c r="A13" s="9" t="s">
        <v>347</v>
      </c>
      <c r="B13" s="34">
        <v>1</v>
      </c>
      <c r="C13" s="330">
        <f>(EIA_RE_aeo2014!E34+EIA_RE_aeo2014!E54)*1000</f>
        <v>0</v>
      </c>
      <c r="D13" s="330">
        <f>(EIA_RE_aeo2014!F34+EIA_RE_aeo2014!F54)*1000</f>
        <v>0</v>
      </c>
      <c r="E13" s="330">
        <f>(EIA_RE_aeo2014!G34+EIA_RE_aeo2014!G54)*1000</f>
        <v>63.253</v>
      </c>
      <c r="F13" s="330">
        <f>(EIA_RE_aeo2014!H34+EIA_RE_aeo2014!H54)*1000</f>
        <v>109.19599999999998</v>
      </c>
      <c r="G13" s="330">
        <f>(EIA_RE_aeo2014!I34+EIA_RE_aeo2014!I54)*1000</f>
        <v>203.63300000000001</v>
      </c>
      <c r="H13" s="83">
        <f>(EIA_RE_aeo2014!J34+EIA_RE_aeo2014!J54)*1000</f>
        <v>345.07000000000005</v>
      </c>
      <c r="I13" s="83">
        <f>(EIA_RE_aeo2014!K34+EIA_RE_aeo2014!K54)*1000</f>
        <v>613.06200000000001</v>
      </c>
      <c r="J13" s="83">
        <f>(EIA_RE_aeo2014!L34+EIA_RE_aeo2014!L54)*1000</f>
        <v>940.63400000000001</v>
      </c>
      <c r="K13" s="83">
        <f>(EIA_RE_aeo2014!M34+EIA_RE_aeo2014!M54)*1000</f>
        <v>944.05499999999995</v>
      </c>
      <c r="L13" s="83">
        <f>(EIA_RE_aeo2014!N34+EIA_RE_aeo2014!N54)*1000</f>
        <v>951.399</v>
      </c>
      <c r="M13" s="83">
        <f>(EIA_RE_aeo2014!O34+EIA_RE_aeo2014!O54)*1000</f>
        <v>967.60899999999992</v>
      </c>
      <c r="N13" s="388">
        <f>(EIA_RE_aeo2014!P34+EIA_RE_aeo2014!P54)*1000</f>
        <v>1006.119</v>
      </c>
      <c r="O13" s="83">
        <f>(EIA_RE_aeo2014!Q34+EIA_RE_aeo2014!Q54)*1000</f>
        <v>1055.2159999999999</v>
      </c>
      <c r="P13" s="83">
        <f>(EIA_RE_aeo2014!R34+EIA_RE_aeo2014!R54)*1000</f>
        <v>1111.921</v>
      </c>
      <c r="Q13" s="83">
        <f>(EIA_RE_aeo2014!S34+EIA_RE_aeo2014!S54)*1000</f>
        <v>1180.9460000000001</v>
      </c>
      <c r="R13" s="83">
        <f>(EIA_RE_aeo2014!T34+EIA_RE_aeo2014!T54)*1000</f>
        <v>1271.7540000000001</v>
      </c>
      <c r="S13" s="83">
        <f>(EIA_RE_aeo2014!U34+EIA_RE_aeo2014!U54)*1000</f>
        <v>1399.788</v>
      </c>
      <c r="T13" s="83">
        <f>(EIA_RE_aeo2014!V34+EIA_RE_aeo2014!V54)*1000</f>
        <v>1552.991</v>
      </c>
      <c r="U13" s="83">
        <f>(EIA_RE_aeo2014!W34+EIA_RE_aeo2014!W54)*1000</f>
        <v>1739.915</v>
      </c>
      <c r="V13" s="83">
        <f>(EIA_RE_aeo2014!X34+EIA_RE_aeo2014!X54)*1000</f>
        <v>1977.624</v>
      </c>
      <c r="W13" s="83">
        <f>(EIA_RE_aeo2014!Y34+EIA_RE_aeo2014!Y54)*1000</f>
        <v>2240.9290000000001</v>
      </c>
      <c r="X13" s="184">
        <f>(EIA_RE_aeo2014!Z34+EIA_RE_aeo2014!Z54)*1000</f>
        <v>2529.982</v>
      </c>
      <c r="Y13" s="174">
        <f>(EIA_RE_aeo2014!AA34+EIA_RE_aeo2014!AA54)*1000</f>
        <v>2834.9169999999999</v>
      </c>
      <c r="Z13" s="174">
        <f>(EIA_RE_aeo2014!AB34+EIA_RE_aeo2014!AB54)*1000</f>
        <v>3147.8709999999996</v>
      </c>
      <c r="AA13" s="174">
        <f>(EIA_RE_aeo2014!AC34+EIA_RE_aeo2014!AC54)*1000</f>
        <v>3471.3700000000003</v>
      </c>
      <c r="AB13" s="174">
        <f>(EIA_RE_aeo2014!AD34+EIA_RE_aeo2014!AD54)*1000</f>
        <v>3811.8669999999997</v>
      </c>
      <c r="AC13" s="174">
        <f>(EIA_RE_aeo2014!AE34+EIA_RE_aeo2014!AE54)*1000</f>
        <v>4167.8620000000001</v>
      </c>
      <c r="AD13" s="174">
        <f>(EIA_RE_aeo2014!AF34+EIA_RE_aeo2014!AF54)*1000</f>
        <v>4535.99</v>
      </c>
      <c r="AE13" s="174">
        <f>(EIA_RE_aeo2014!AG34+EIA_RE_aeo2014!AG54)*1000</f>
        <v>4913.6429999999991</v>
      </c>
      <c r="AF13" s="174">
        <f>(EIA_RE_aeo2014!AH34+EIA_RE_aeo2014!AH54)*1000</f>
        <v>5294.335</v>
      </c>
      <c r="AG13" s="174">
        <f>(EIA_RE_aeo2014!AI34+EIA_RE_aeo2014!AI54)*1000</f>
        <v>5680.6349999999993</v>
      </c>
      <c r="AH13" s="174">
        <f>(EIA_RE_aeo2014!AJ34+EIA_RE_aeo2014!AJ54)*1000</f>
        <v>6075.509</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20026</v>
      </c>
      <c r="D16" s="330">
        <f>EIA_RE_aeo2014!F78*1000</f>
        <v>26251</v>
      </c>
      <c r="E16" s="330">
        <f>EIA_RE_aeo2014!G78*1000</f>
        <v>27288.744699999999</v>
      </c>
      <c r="F16" s="330">
        <f>EIA_RE_aeo2014!H78*1000</f>
        <v>30524.146099999998</v>
      </c>
      <c r="G16" s="330">
        <f>EIA_RE_aeo2014!I78*1000</f>
        <v>32746.628599999993</v>
      </c>
      <c r="H16" s="3">
        <f>EIA_RE_aeo2014!J78*1000</f>
        <v>32928.527099999999</v>
      </c>
      <c r="I16" s="3">
        <f>EIA_RE_aeo2014!K78*1000</f>
        <v>41561.067799999997</v>
      </c>
      <c r="J16" s="3">
        <f>EIA_RE_aeo2014!L78*1000</f>
        <v>47166.447999999997</v>
      </c>
      <c r="K16" s="3">
        <f>EIA_RE_aeo2014!M78*1000</f>
        <v>47166.678999999989</v>
      </c>
      <c r="L16" s="3">
        <f>EIA_RE_aeo2014!N78*1000</f>
        <v>47159.807799999988</v>
      </c>
      <c r="M16" s="3">
        <f>EIA_RE_aeo2014!O78*1000</f>
        <v>47168.538899999985</v>
      </c>
      <c r="N16" s="388">
        <f>EIA_RE_aeo2014!P78*1000</f>
        <v>47171.242999999995</v>
      </c>
      <c r="O16" s="3">
        <f>EIA_RE_aeo2014!Q78*1000</f>
        <v>47175.700599999989</v>
      </c>
      <c r="P16" s="3">
        <f>EIA_RE_aeo2014!R78*1000</f>
        <v>47194.779099999992</v>
      </c>
      <c r="Q16" s="3">
        <f>EIA_RE_aeo2014!S78*1000</f>
        <v>47189.603299999995</v>
      </c>
      <c r="R16" s="3">
        <f>EIA_RE_aeo2014!T78*1000</f>
        <v>47186.819399999993</v>
      </c>
      <c r="S16" s="3">
        <f>EIA_RE_aeo2014!U78*1000</f>
        <v>47184.312699999995</v>
      </c>
      <c r="T16" s="3">
        <f>EIA_RE_aeo2014!V78*1000</f>
        <v>47190.532200000001</v>
      </c>
      <c r="U16" s="3">
        <f>EIA_RE_aeo2014!W78*1000</f>
        <v>47201.847699999991</v>
      </c>
      <c r="V16" s="3">
        <f>EIA_RE_aeo2014!X78*1000</f>
        <v>47200.175399999993</v>
      </c>
      <c r="W16" s="3">
        <f>EIA_RE_aeo2014!Y78*1000</f>
        <v>47250.424899999998</v>
      </c>
      <c r="X16" s="184">
        <f>EIA_RE_aeo2014!Z78*1000</f>
        <v>47315.707599999994</v>
      </c>
      <c r="Y16" s="174">
        <f>EIA_RE_aeo2014!AA78*1000</f>
        <v>47385.016699999993</v>
      </c>
      <c r="Z16" s="174">
        <f>EIA_RE_aeo2014!AB78*1000</f>
        <v>47461.874599999996</v>
      </c>
      <c r="AA16" s="174">
        <f>EIA_RE_aeo2014!AC78*1000</f>
        <v>47552.607200000006</v>
      </c>
      <c r="AB16" s="174">
        <f>EIA_RE_aeo2014!AD78*1000</f>
        <v>47709.9931</v>
      </c>
      <c r="AC16" s="174">
        <f>EIA_RE_aeo2014!AE78*1000</f>
        <v>47784.4948</v>
      </c>
      <c r="AD16" s="174">
        <f>EIA_RE_aeo2014!AF78*1000</f>
        <v>47787.924099999997</v>
      </c>
      <c r="AE16" s="174">
        <f>EIA_RE_aeo2014!AG78*1000</f>
        <v>48007.026899999997</v>
      </c>
      <c r="AF16" s="174">
        <f>EIA_RE_aeo2014!AH78*1000</f>
        <v>48169.688699999992</v>
      </c>
      <c r="AG16" s="174">
        <f>EIA_RE_aeo2014!AI78*1000</f>
        <v>48446.227199999994</v>
      </c>
      <c r="AH16" s="174">
        <f>EIA_RE_aeo2014!AJ78*1000</f>
        <v>48902.469699999994</v>
      </c>
    </row>
    <row r="17" spans="1:34">
      <c r="A17" s="11" t="s">
        <v>327</v>
      </c>
      <c r="B17" s="36"/>
      <c r="C17" s="330">
        <f t="shared" ref="C17:AH17" si="0">SUM(C7:C16)</f>
        <v>63600</v>
      </c>
      <c r="D17" s="330">
        <f t="shared" si="0"/>
        <v>70197</v>
      </c>
      <c r="E17" s="330">
        <f t="shared" si="0"/>
        <v>72422.908605173565</v>
      </c>
      <c r="F17" s="330">
        <f t="shared" si="0"/>
        <v>75040.525691404357</v>
      </c>
      <c r="G17" s="330">
        <f t="shared" si="0"/>
        <v>76953.514074740262</v>
      </c>
      <c r="H17" s="3">
        <f t="shared" si="0"/>
        <v>77515.651929577143</v>
      </c>
      <c r="I17" s="3">
        <f t="shared" si="0"/>
        <v>87975.651935194881</v>
      </c>
      <c r="J17" s="3">
        <f t="shared" si="0"/>
        <v>95913.163940337239</v>
      </c>
      <c r="K17" s="3">
        <f t="shared" si="0"/>
        <v>97783.458543541841</v>
      </c>
      <c r="L17" s="3">
        <f t="shared" si="0"/>
        <v>99195.734460003325</v>
      </c>
      <c r="M17" s="3">
        <f t="shared" si="0"/>
        <v>99502.600357677802</v>
      </c>
      <c r="N17" s="388">
        <f t="shared" si="0"/>
        <v>99607.096236959827</v>
      </c>
      <c r="O17" s="3">
        <f t="shared" si="0"/>
        <v>99758.546867467798</v>
      </c>
      <c r="P17" s="3">
        <f t="shared" si="0"/>
        <v>99906.016682601417</v>
      </c>
      <c r="Q17" s="3">
        <f t="shared" si="0"/>
        <v>100164.20995591456</v>
      </c>
      <c r="R17" s="3">
        <f t="shared" si="0"/>
        <v>100326.43859629074</v>
      </c>
      <c r="S17" s="3">
        <f t="shared" si="0"/>
        <v>100687.78222485977</v>
      </c>
      <c r="T17" s="3">
        <f t="shared" si="0"/>
        <v>100904.2850352707</v>
      </c>
      <c r="U17" s="3">
        <f t="shared" si="0"/>
        <v>101159.08134955505</v>
      </c>
      <c r="V17" s="3">
        <f t="shared" si="0"/>
        <v>101449.6427769149</v>
      </c>
      <c r="W17" s="3">
        <f t="shared" si="0"/>
        <v>102034.99747469032</v>
      </c>
      <c r="X17" s="184">
        <f t="shared" si="0"/>
        <v>102441.32361369254</v>
      </c>
      <c r="Y17" s="174">
        <f t="shared" si="0"/>
        <v>102848.38040854942</v>
      </c>
      <c r="Z17" s="174">
        <f t="shared" si="0"/>
        <v>103275.51684747153</v>
      </c>
      <c r="AA17" s="174">
        <f t="shared" si="0"/>
        <v>103730.29749859334</v>
      </c>
      <c r="AB17" s="174">
        <f t="shared" si="0"/>
        <v>104277.25317940544</v>
      </c>
      <c r="AC17" s="174">
        <f t="shared" si="0"/>
        <v>104747.2398517002</v>
      </c>
      <c r="AD17" s="174">
        <f t="shared" si="0"/>
        <v>105168.95183481422</v>
      </c>
      <c r="AE17" s="174">
        <f t="shared" si="0"/>
        <v>105830.4320781772</v>
      </c>
      <c r="AF17" s="174">
        <f t="shared" si="0"/>
        <v>106434.6136246017</v>
      </c>
      <c r="AG17" s="174">
        <f t="shared" si="0"/>
        <v>107156.20559432154</v>
      </c>
      <c r="AH17" s="174">
        <f t="shared" si="0"/>
        <v>108060.19240001144</v>
      </c>
    </row>
    <row r="18" spans="1:34">
      <c r="A18" s="10" t="s">
        <v>126</v>
      </c>
      <c r="B18" s="37"/>
      <c r="C18" s="331">
        <f t="shared" ref="C18:AH18" si="1">SUMPRODUCT($B7:$B16,C7:C16)</f>
        <v>21073.01</v>
      </c>
      <c r="D18" s="331">
        <f t="shared" si="1"/>
        <v>27600.01</v>
      </c>
      <c r="E18" s="331">
        <f t="shared" si="1"/>
        <v>29087.142882302065</v>
      </c>
      <c r="F18" s="331">
        <f t="shared" si="1"/>
        <v>32366.639475655058</v>
      </c>
      <c r="G18" s="331">
        <f t="shared" si="1"/>
        <v>34618.085880971717</v>
      </c>
      <c r="H18" s="14">
        <f t="shared" si="1"/>
        <v>35022.416870182467</v>
      </c>
      <c r="I18" s="14">
        <f t="shared" si="1"/>
        <v>43896.165852162885</v>
      </c>
      <c r="J18" s="14">
        <f t="shared" si="1"/>
        <v>50005.778616751493</v>
      </c>
      <c r="K18" s="14">
        <f t="shared" si="1"/>
        <v>50107.531129922339</v>
      </c>
      <c r="L18" s="14">
        <f t="shared" si="1"/>
        <v>50161.345624913301</v>
      </c>
      <c r="M18" s="14">
        <f t="shared" si="1"/>
        <v>50230.876592421322</v>
      </c>
      <c r="N18" s="190">
        <f t="shared" si="1"/>
        <v>50335.371707797109</v>
      </c>
      <c r="O18" s="14">
        <f t="shared" si="1"/>
        <v>50486.821942917049</v>
      </c>
      <c r="P18" s="14">
        <f t="shared" si="1"/>
        <v>50634.293308680171</v>
      </c>
      <c r="Q18" s="14">
        <f t="shared" si="1"/>
        <v>50883.421024479998</v>
      </c>
      <c r="R18" s="14">
        <f t="shared" si="1"/>
        <v>51045.651516079488</v>
      </c>
      <c r="S18" s="14">
        <f t="shared" si="1"/>
        <v>51406.898079722159</v>
      </c>
      <c r="T18" s="14">
        <f t="shared" si="1"/>
        <v>51620.051452438718</v>
      </c>
      <c r="U18" s="14">
        <f t="shared" si="1"/>
        <v>51872.779724633088</v>
      </c>
      <c r="V18" s="14">
        <f t="shared" si="1"/>
        <v>52151.631109598035</v>
      </c>
      <c r="W18" s="14">
        <f t="shared" si="1"/>
        <v>52725.546338130931</v>
      </c>
      <c r="X18" s="187">
        <f t="shared" si="1"/>
        <v>53119.109586378188</v>
      </c>
      <c r="Y18" s="14">
        <f t="shared" si="1"/>
        <v>53526.166150592035</v>
      </c>
      <c r="Z18" s="14">
        <f t="shared" si="1"/>
        <v>53945.898847870427</v>
      </c>
      <c r="AA18" s="14">
        <f t="shared" si="1"/>
        <v>54400.680130089262</v>
      </c>
      <c r="AB18" s="14">
        <f t="shared" si="1"/>
        <v>54947.635214779737</v>
      </c>
      <c r="AC18" s="14">
        <f t="shared" si="1"/>
        <v>55410.594816396275</v>
      </c>
      <c r="AD18" s="14">
        <f t="shared" si="1"/>
        <v>55827.440133054144</v>
      </c>
      <c r="AE18" s="14">
        <f t="shared" si="1"/>
        <v>56488.919717437078</v>
      </c>
      <c r="AF18" s="14">
        <f t="shared" si="1"/>
        <v>57088.685801040076</v>
      </c>
      <c r="AG18" s="14">
        <f t="shared" si="1"/>
        <v>57810.278598537756</v>
      </c>
      <c r="AH18" s="14">
        <f t="shared" si="1"/>
        <v>58714.265239482665</v>
      </c>
    </row>
    <row r="19" spans="1:34">
      <c r="A19" s="10" t="s">
        <v>112</v>
      </c>
      <c r="B19" s="37"/>
      <c r="C19" s="332">
        <f t="shared" ref="C19:AH19" si="2">C18/C4</f>
        <v>5.3550171656260567E-2</v>
      </c>
      <c r="D19" s="332">
        <f t="shared" si="2"/>
        <v>6.7580165718259366E-2</v>
      </c>
      <c r="E19" s="332">
        <f t="shared" si="2"/>
        <v>7.0185747663019576E-2</v>
      </c>
      <c r="F19" s="332">
        <f t="shared" si="2"/>
        <v>7.4506635676793678E-2</v>
      </c>
      <c r="G19" s="332">
        <f t="shared" si="2"/>
        <v>8.2709409938860071E-2</v>
      </c>
      <c r="H19" s="23">
        <f t="shared" si="2"/>
        <v>8.4740115973362812E-2</v>
      </c>
      <c r="I19" s="23">
        <f t="shared" si="2"/>
        <v>0.10148170451031649</v>
      </c>
      <c r="J19" s="23">
        <f t="shared" si="2"/>
        <v>0.10986085820545169</v>
      </c>
      <c r="K19" s="23">
        <f t="shared" si="2"/>
        <v>0.11068353219085279</v>
      </c>
      <c r="L19" s="23">
        <f t="shared" si="2"/>
        <v>0.11055189259150053</v>
      </c>
      <c r="M19" s="23">
        <f t="shared" si="2"/>
        <v>0.10945475619359135</v>
      </c>
      <c r="N19" s="183">
        <f t="shared" si="2"/>
        <v>0.10811861670719529</v>
      </c>
      <c r="O19" s="23">
        <f t="shared" si="2"/>
        <v>0.10733626309700382</v>
      </c>
      <c r="P19" s="23">
        <f t="shared" si="2"/>
        <v>0.10625836327231666</v>
      </c>
      <c r="Q19" s="23">
        <f t="shared" si="2"/>
        <v>0.10467758203666153</v>
      </c>
      <c r="R19" s="23">
        <f t="shared" si="2"/>
        <v>0.10339216965293772</v>
      </c>
      <c r="S19" s="23">
        <f t="shared" si="2"/>
        <v>0.10312004211806353</v>
      </c>
      <c r="T19" s="23">
        <f t="shared" si="2"/>
        <v>0.10265745047028253</v>
      </c>
      <c r="U19" s="23">
        <f t="shared" si="2"/>
        <v>0.10226699369897188</v>
      </c>
      <c r="V19" s="23">
        <f t="shared" si="2"/>
        <v>0.10179889523567358</v>
      </c>
      <c r="W19" s="23">
        <f t="shared" si="2"/>
        <v>0.10245525755088968</v>
      </c>
      <c r="X19" s="185">
        <f t="shared" si="2"/>
        <v>0.10225866901768732</v>
      </c>
      <c r="Y19" s="172">
        <f t="shared" si="2"/>
        <v>0.10259088721768962</v>
      </c>
      <c r="Z19" s="172">
        <f t="shared" si="2"/>
        <v>0.1027037517651911</v>
      </c>
      <c r="AA19" s="172">
        <f t="shared" si="2"/>
        <v>0.10307107729727477</v>
      </c>
      <c r="AB19" s="172">
        <f t="shared" si="2"/>
        <v>0.10340279073954391</v>
      </c>
      <c r="AC19" s="172">
        <f t="shared" si="2"/>
        <v>0.10323342541991234</v>
      </c>
      <c r="AD19" s="172">
        <f t="shared" si="2"/>
        <v>0.10310540328282941</v>
      </c>
      <c r="AE19" s="172">
        <f t="shared" si="2"/>
        <v>0.1029123053270479</v>
      </c>
      <c r="AF19" s="172">
        <f t="shared" si="2"/>
        <v>0.10248641272860352</v>
      </c>
      <c r="AG19" s="172">
        <f t="shared" si="2"/>
        <v>0.10255834440612795</v>
      </c>
      <c r="AH19" s="172">
        <f t="shared" si="2"/>
        <v>0.10315320947363239</v>
      </c>
    </row>
    <row r="20" spans="1:34">
      <c r="A20" s="10" t="s">
        <v>142</v>
      </c>
      <c r="B20" s="37"/>
      <c r="C20" s="331">
        <f>EIA_electricity_aeo2014!E49*1000</f>
        <v>139107</v>
      </c>
      <c r="D20" s="331">
        <f>EIA_electricity_aeo2014!F49*1000</f>
        <v>150173</v>
      </c>
      <c r="E20" s="331">
        <f>EIA_electricity_aeo2014!G49*1000</f>
        <v>142216.78161800726</v>
      </c>
      <c r="F20" s="331">
        <f>EIA_electricity_aeo2014!H49*1000</f>
        <v>122518.91203825951</v>
      </c>
      <c r="G20" s="331">
        <f>EIA_electricity_aeo2014!I49*1000</f>
        <v>131007.95103187471</v>
      </c>
      <c r="H20" s="14">
        <f>EIA_electricity_aeo2014!J49*1000</f>
        <v>134952.47234498413</v>
      </c>
      <c r="I20" s="14">
        <f>EIA_electricity_aeo2014!K49*1000</f>
        <v>127891.61392132255</v>
      </c>
      <c r="J20" s="14">
        <f>EIA_electricity_aeo2014!L49*1000</f>
        <v>122879.150316418</v>
      </c>
      <c r="K20" s="14">
        <f>EIA_electricity_aeo2014!M49*1000</f>
        <v>129358.53300450546</v>
      </c>
      <c r="L20" s="14">
        <f>EIA_electricity_aeo2014!N49*1000</f>
        <v>131691.36299548243</v>
      </c>
      <c r="M20" s="14">
        <f>EIA_electricity_aeo2014!O49*1000</f>
        <v>132894.66412836037</v>
      </c>
      <c r="N20" s="190">
        <f>EIA_electricity_aeo2014!P49*1000</f>
        <v>132554.83180716154</v>
      </c>
      <c r="O20" s="14">
        <f>EIA_electricity_aeo2014!Q49*1000</f>
        <v>133665.3344902008</v>
      </c>
      <c r="P20" s="14">
        <f>EIA_electricity_aeo2014!R49*1000</f>
        <v>134701.85541789027</v>
      </c>
      <c r="Q20" s="14">
        <f>EIA_electricity_aeo2014!S49*1000</f>
        <v>134759.66989088446</v>
      </c>
      <c r="R20" s="14">
        <f>EIA_electricity_aeo2014!T49*1000</f>
        <v>136503.38375733915</v>
      </c>
      <c r="S20" s="14">
        <f>EIA_electricity_aeo2014!U49*1000</f>
        <v>137844.82061151884</v>
      </c>
      <c r="T20" s="14">
        <f>EIA_electricity_aeo2014!V49*1000</f>
        <v>137747.1516782821</v>
      </c>
      <c r="U20" s="14">
        <f>EIA_electricity_aeo2014!W49*1000</f>
        <v>137776.06625020676</v>
      </c>
      <c r="V20" s="14">
        <f>EIA_electricity_aeo2014!X49*1000</f>
        <v>137756.51865852519</v>
      </c>
      <c r="W20" s="14">
        <f>EIA_electricity_aeo2014!Y49*1000</f>
        <v>137248.07371828132</v>
      </c>
      <c r="X20" s="187">
        <f>EIA_electricity_aeo2014!Z49*1000</f>
        <v>137360.60230372034</v>
      </c>
      <c r="Y20" s="14">
        <f>EIA_electricity_aeo2014!AA49*1000</f>
        <v>137299.61459691284</v>
      </c>
      <c r="Z20" s="14">
        <f>EIA_electricity_aeo2014!AB49*1000</f>
        <v>137253.81868084756</v>
      </c>
      <c r="AA20" s="14">
        <f>EIA_electricity_aeo2014!AC49*1000</f>
        <v>137116.15868006143</v>
      </c>
      <c r="AB20" s="14">
        <f>EIA_electricity_aeo2014!AD49*1000</f>
        <v>137003.28039915746</v>
      </c>
      <c r="AC20" s="14">
        <f>EIA_electricity_aeo2014!AE49*1000</f>
        <v>136880.54546815713</v>
      </c>
      <c r="AD20" s="14">
        <f>EIA_electricity_aeo2014!AF49*1000</f>
        <v>136758.75404149582</v>
      </c>
      <c r="AE20" s="14">
        <f>EIA_electricity_aeo2014!AG49*1000</f>
        <v>136644.63234549295</v>
      </c>
      <c r="AF20" s="14">
        <f>EIA_electricity_aeo2014!AH49*1000</f>
        <v>136529.4644491651</v>
      </c>
      <c r="AG20" s="14">
        <f>EIA_electricity_aeo2014!AI49*1000</f>
        <v>136528.3807299319</v>
      </c>
      <c r="AH20" s="14">
        <f>EIA_electricity_aeo2014!AJ49*1000</f>
        <v>136526.59882229791</v>
      </c>
    </row>
    <row r="21" spans="1:34">
      <c r="A21" s="10" t="s">
        <v>222</v>
      </c>
      <c r="B21" s="37"/>
      <c r="C21" s="331">
        <f>EIA_electricity_aeo2014!E51*1000</f>
        <v>189066</v>
      </c>
      <c r="D21" s="331">
        <f>EIA_electricity_aeo2014!F51*1000</f>
        <v>186882</v>
      </c>
      <c r="E21" s="331">
        <f>EIA_electricity_aeo2014!G51*1000</f>
        <v>198083.84617300137</v>
      </c>
      <c r="F21" s="331">
        <f>EIA_electricity_aeo2014!H51*1000</f>
        <v>235508.4070677961</v>
      </c>
      <c r="G21" s="331">
        <f>EIA_electricity_aeo2014!I51*1000</f>
        <v>210242.31690217374</v>
      </c>
      <c r="H21" s="14">
        <f>EIA_electricity_aeo2014!J51*1000</f>
        <v>200386.44786314061</v>
      </c>
      <c r="I21" s="14">
        <f>EIA_electricity_aeo2014!K51*1000</f>
        <v>216196.08310119496</v>
      </c>
      <c r="J21" s="14">
        <f>EIA_electricity_aeo2014!L51*1000</f>
        <v>235918.97900465</v>
      </c>
      <c r="K21" s="14">
        <f>EIA_electricity_aeo2014!M51*1000</f>
        <v>225343.04769934792</v>
      </c>
      <c r="L21" s="14">
        <f>EIA_electricity_aeo2014!N51*1000</f>
        <v>222617.39930455014</v>
      </c>
      <c r="M21" s="14">
        <f>EIA_electricity_aeo2014!O51*1000</f>
        <v>226287.08519310696</v>
      </c>
      <c r="N21" s="190">
        <f>EIA_electricity_aeo2014!P51*1000</f>
        <v>233159.92211925561</v>
      </c>
      <c r="O21" s="14">
        <f>EIA_electricity_aeo2014!Q51*1000</f>
        <v>236698.33961862561</v>
      </c>
      <c r="P21" s="14">
        <f>EIA_electricity_aeo2014!R51*1000</f>
        <v>241671.21510578305</v>
      </c>
      <c r="Q21" s="14">
        <f>EIA_electricity_aeo2014!S51*1000</f>
        <v>250929.5186927715</v>
      </c>
      <c r="R21" s="14">
        <f>EIA_electricity_aeo2014!T51*1000</f>
        <v>256631.06604955113</v>
      </c>
      <c r="S21" s="14">
        <f>EIA_electricity_aeo2014!U51*1000</f>
        <v>259727.24788555372</v>
      </c>
      <c r="T21" s="14">
        <f>EIA_electricity_aeo2014!V51*1000</f>
        <v>263933.76233424695</v>
      </c>
      <c r="U21" s="14">
        <f>EIA_electricity_aeo2014!W51*1000</f>
        <v>268041.24763641047</v>
      </c>
      <c r="V21" s="14">
        <f>EIA_electricity_aeo2014!X51*1000</f>
        <v>272839.22873989644</v>
      </c>
      <c r="W21" s="14">
        <f>EIA_electricity_aeo2014!Y51*1000</f>
        <v>275081.54892942996</v>
      </c>
      <c r="X21" s="187">
        <f>EIA_electricity_aeo2014!Z51*1000</f>
        <v>279361.30605367624</v>
      </c>
      <c r="Y21" s="14">
        <f>EIA_electricity_aeo2014!AA51*1000</f>
        <v>281198.95913152857</v>
      </c>
      <c r="Z21" s="14">
        <f>EIA_electricity_aeo2014!AB51*1000</f>
        <v>284279.53655376827</v>
      </c>
      <c r="AA21" s="14">
        <f>EIA_electricity_aeo2014!AC51*1000</f>
        <v>286503.21819267567</v>
      </c>
      <c r="AB21" s="14">
        <f>EIA_electricity_aeo2014!AD51*1000</f>
        <v>289583.30280767858</v>
      </c>
      <c r="AC21" s="14">
        <f>EIA_electricity_aeo2014!AE51*1000</f>
        <v>294449.58571416204</v>
      </c>
      <c r="AD21" s="14">
        <f>EIA_electricity_aeo2014!AF51*1000</f>
        <v>298799.46916050615</v>
      </c>
      <c r="AE21" s="14">
        <f>EIA_electricity_aeo2014!AG51*1000</f>
        <v>305695.54236633616</v>
      </c>
      <c r="AF21" s="14">
        <f>EIA_electricity_aeo2014!AH51*1000</f>
        <v>313339.88551419729</v>
      </c>
      <c r="AG21" s="14">
        <f>EIA_electricity_aeo2014!AI51*1000</f>
        <v>319266.86928915506</v>
      </c>
      <c r="AH21" s="14">
        <f>EIA_electricity_aeo2014!AJ51*1000</f>
        <v>323876.36959407135</v>
      </c>
    </row>
    <row r="22" spans="1:34">
      <c r="A22" s="10" t="s">
        <v>351</v>
      </c>
      <c r="B22" s="37"/>
      <c r="C22" s="330">
        <f>SUM(C17,C20:C21)</f>
        <v>391773</v>
      </c>
      <c r="D22" s="330">
        <f t="shared" ref="D22:AH22" si="3">SUM(D17,D20:D21)</f>
        <v>407252</v>
      </c>
      <c r="E22" s="330">
        <f t="shared" si="3"/>
        <v>412723.53639618214</v>
      </c>
      <c r="F22" s="330">
        <f t="shared" si="3"/>
        <v>433067.84479745995</v>
      </c>
      <c r="G22" s="330">
        <f t="shared" si="3"/>
        <v>418203.78200878872</v>
      </c>
      <c r="H22" s="79">
        <f t="shared" si="3"/>
        <v>412854.57213770191</v>
      </c>
      <c r="I22" s="79">
        <f t="shared" si="3"/>
        <v>432063.34895771241</v>
      </c>
      <c r="J22" s="79">
        <f t="shared" si="3"/>
        <v>454711.2932614052</v>
      </c>
      <c r="K22" s="79">
        <f t="shared" si="3"/>
        <v>452485.03924739524</v>
      </c>
      <c r="L22" s="79">
        <f t="shared" si="3"/>
        <v>453504.49676003587</v>
      </c>
      <c r="M22" s="79">
        <f t="shared" si="3"/>
        <v>458684.34967914515</v>
      </c>
      <c r="N22" s="388">
        <f t="shared" si="3"/>
        <v>465321.85016337701</v>
      </c>
      <c r="O22" s="79">
        <f t="shared" si="3"/>
        <v>470122.22097629425</v>
      </c>
      <c r="P22" s="79">
        <f t="shared" si="3"/>
        <v>476279.08720627474</v>
      </c>
      <c r="Q22" s="79">
        <f t="shared" si="3"/>
        <v>485853.39853957051</v>
      </c>
      <c r="R22" s="79">
        <f t="shared" si="3"/>
        <v>493460.88840318099</v>
      </c>
      <c r="S22" s="79">
        <f t="shared" si="3"/>
        <v>498259.85072193237</v>
      </c>
      <c r="T22" s="79">
        <f t="shared" si="3"/>
        <v>502585.19904779975</v>
      </c>
      <c r="U22" s="79">
        <f t="shared" si="3"/>
        <v>506976.39523617225</v>
      </c>
      <c r="V22" s="79">
        <f t="shared" si="3"/>
        <v>512045.39017533651</v>
      </c>
      <c r="W22" s="79">
        <f t="shared" si="3"/>
        <v>514364.62012240163</v>
      </c>
      <c r="X22" s="184">
        <f t="shared" si="3"/>
        <v>519163.23197108915</v>
      </c>
      <c r="Y22" s="174">
        <f t="shared" si="3"/>
        <v>521346.95413699083</v>
      </c>
      <c r="Z22" s="174">
        <f t="shared" si="3"/>
        <v>524808.87208208733</v>
      </c>
      <c r="AA22" s="174">
        <f t="shared" si="3"/>
        <v>527349.67437133042</v>
      </c>
      <c r="AB22" s="174">
        <f t="shared" si="3"/>
        <v>530863.83638624148</v>
      </c>
      <c r="AC22" s="174">
        <f t="shared" si="3"/>
        <v>536077.37103401939</v>
      </c>
      <c r="AD22" s="174">
        <f t="shared" si="3"/>
        <v>540727.17503681616</v>
      </c>
      <c r="AE22" s="174">
        <f t="shared" si="3"/>
        <v>548170.60679000628</v>
      </c>
      <c r="AF22" s="174">
        <f t="shared" si="3"/>
        <v>556303.96358796407</v>
      </c>
      <c r="AG22" s="174">
        <f t="shared" si="3"/>
        <v>562951.45561340847</v>
      </c>
      <c r="AH22" s="174">
        <f t="shared" si="3"/>
        <v>568463.16081638075</v>
      </c>
    </row>
    <row r="23" spans="1:34">
      <c r="A23" s="10" t="s">
        <v>328</v>
      </c>
      <c r="B23" s="37"/>
      <c r="C23" s="330">
        <f>EIA_electricity_aeo2014!E50*1000+EIA_electricity_aeo2014!E55*1000</f>
        <v>1715</v>
      </c>
      <c r="D23" s="330">
        <f>EIA_electricity_aeo2014!F50*1000+EIA_electricity_aeo2014!F55*1000</f>
        <v>1047</v>
      </c>
      <c r="E23" s="330">
        <f>EIA_electricity_aeo2014!G50*1000+EIA_electricity_aeo2014!G55*1000</f>
        <v>1678.7500369680772</v>
      </c>
      <c r="F23" s="330">
        <f>EIA_electricity_aeo2014!H50*1000+EIA_electricity_aeo2014!H55*1000</f>
        <v>1228.2448593122408</v>
      </c>
      <c r="G23" s="330">
        <f>EIA_electricity_aeo2014!I50*1000+EIA_electricity_aeo2014!I55*1000</f>
        <v>202.31784814102167</v>
      </c>
      <c r="H23" s="330">
        <f>EIA_electricity_aeo2014!J50*1000+EIA_electricity_aeo2014!J55*1000</f>
        <v>212.25020608805295</v>
      </c>
      <c r="I23" s="330">
        <f>EIA_electricity_aeo2014!K50*1000+EIA_electricity_aeo2014!K55*1000</f>
        <v>192.56453607677457</v>
      </c>
      <c r="J23" s="330">
        <f>EIA_electricity_aeo2014!L50*1000+EIA_electricity_aeo2014!L55*1000</f>
        <v>165.04700146820744</v>
      </c>
      <c r="K23" s="330">
        <f>EIA_electricity_aeo2014!M50*1000+EIA_electricity_aeo2014!M55*1000</f>
        <v>-72.544174177515458</v>
      </c>
      <c r="L23" s="330">
        <f>EIA_electricity_aeo2014!N50*1000+EIA_electricity_aeo2014!N55*1000</f>
        <v>-66.157238606074429</v>
      </c>
      <c r="M23" s="330">
        <f>EIA_electricity_aeo2014!O50*1000+EIA_electricity_aeo2014!O55*1000</f>
        <v>-62.613394458625862</v>
      </c>
      <c r="N23" s="330">
        <f>EIA_electricity_aeo2014!P50*1000+EIA_electricity_aeo2014!P55*1000</f>
        <v>-62.323114596330015</v>
      </c>
      <c r="O23" s="330">
        <f>EIA_electricity_aeo2014!Q50*1000+EIA_electricity_aeo2014!Q55*1000</f>
        <v>-58.349446500385852</v>
      </c>
      <c r="P23" s="330">
        <f>EIA_electricity_aeo2014!R50*1000+EIA_electricity_aeo2014!R55*1000</f>
        <v>-55.342970156991214</v>
      </c>
      <c r="Q23" s="330">
        <f>EIA_electricity_aeo2014!S50*1000+EIA_electricity_aeo2014!S55*1000</f>
        <v>-53.578458780607207</v>
      </c>
      <c r="R23" s="330">
        <f>EIA_electricity_aeo2014!T50*1000+EIA_electricity_aeo2014!T55*1000</f>
        <v>-48.726354685482534</v>
      </c>
      <c r="S23" s="330">
        <f>EIA_electricity_aeo2014!U50*1000+EIA_electricity_aeo2014!U55*1000</f>
        <v>-41.644000912916226</v>
      </c>
      <c r="T23" s="330">
        <f>EIA_electricity_aeo2014!V50*1000+EIA_electricity_aeo2014!V55*1000</f>
        <v>-44.444273840154324</v>
      </c>
      <c r="U23" s="330">
        <f>EIA_electricity_aeo2014!W50*1000+EIA_electricity_aeo2014!W55*1000</f>
        <v>-44.517301550572142</v>
      </c>
      <c r="V23" s="330">
        <f>EIA_electricity_aeo2014!X50*1000+EIA_electricity_aeo2014!X55*1000</f>
        <v>-42.514458421742063</v>
      </c>
      <c r="W23" s="330">
        <f>EIA_electricity_aeo2014!Y50*1000+EIA_electricity_aeo2014!Y55*1000</f>
        <v>-41.778349061564427</v>
      </c>
      <c r="X23" s="330">
        <f>EIA_electricity_aeo2014!Z50*1000+EIA_electricity_aeo2014!Z55*1000</f>
        <v>-40.898733015288201</v>
      </c>
      <c r="Y23" s="330">
        <f>EIA_electricity_aeo2014!AA50*1000+EIA_electricity_aeo2014!AA55*1000</f>
        <v>-40.572773755163325</v>
      </c>
      <c r="Z23" s="330">
        <f>EIA_electricity_aeo2014!AB50*1000+EIA_electricity_aeo2014!AB55*1000</f>
        <v>-40.418044227416033</v>
      </c>
      <c r="AA23" s="330">
        <f>EIA_electricity_aeo2014!AC50*1000+EIA_electricity_aeo2014!AC55*1000</f>
        <v>-40.602184192641573</v>
      </c>
      <c r="AB23" s="330">
        <f>EIA_electricity_aeo2014!AD50*1000+EIA_electricity_aeo2014!AD55*1000</f>
        <v>-40.61121806359921</v>
      </c>
      <c r="AC23" s="330">
        <f>EIA_electricity_aeo2014!AE50*1000+EIA_electricity_aeo2014!AE55*1000</f>
        <v>-40.736638051646082</v>
      </c>
      <c r="AD23" s="330">
        <f>EIA_electricity_aeo2014!AF50*1000+EIA_electricity_aeo2014!AF55*1000</f>
        <v>-40.838849255663376</v>
      </c>
      <c r="AE23" s="330">
        <f>EIA_electricity_aeo2014!AG50*1000+EIA_electricity_aeo2014!AG55*1000</f>
        <v>-40.707108430769779</v>
      </c>
      <c r="AF23" s="330">
        <f>EIA_electricity_aeo2014!AH50*1000+EIA_electricity_aeo2014!AH55*1000</f>
        <v>-40.82920857249303</v>
      </c>
      <c r="AG23" s="330">
        <f>EIA_electricity_aeo2014!AI50*1000+EIA_electricity_aeo2014!AI55*1000</f>
        <v>-40.657027846505798</v>
      </c>
      <c r="AH23" s="330">
        <f>EIA_electricity_aeo2014!AJ50*1000+EIA_electricity_aeo2014!AJ55*1000</f>
        <v>-40.24919018542505</v>
      </c>
    </row>
    <row r="24" spans="1:34">
      <c r="A24" s="10" t="s">
        <v>345</v>
      </c>
      <c r="B24" s="37"/>
      <c r="C24" s="330">
        <f>SUM(C22:C23)</f>
        <v>393488</v>
      </c>
      <c r="D24" s="330">
        <f t="shared" ref="D24:AH24" si="4">SUM(D22:D23)</f>
        <v>408299</v>
      </c>
      <c r="E24" s="330">
        <f t="shared" si="4"/>
        <v>414402.28643315024</v>
      </c>
      <c r="F24" s="330">
        <f t="shared" si="4"/>
        <v>434296.08965677221</v>
      </c>
      <c r="G24" s="330">
        <f t="shared" si="4"/>
        <v>418406.09985692974</v>
      </c>
      <c r="H24" s="83">
        <f t="shared" si="4"/>
        <v>413066.82234378997</v>
      </c>
      <c r="I24" s="83">
        <f t="shared" si="4"/>
        <v>432255.91349378921</v>
      </c>
      <c r="J24" s="83">
        <f t="shared" si="4"/>
        <v>454876.34026287339</v>
      </c>
      <c r="K24" s="83">
        <f t="shared" si="4"/>
        <v>452412.49507321772</v>
      </c>
      <c r="L24" s="83">
        <f t="shared" si="4"/>
        <v>453438.33952142979</v>
      </c>
      <c r="M24" s="83">
        <f t="shared" si="4"/>
        <v>458621.73628468654</v>
      </c>
      <c r="N24" s="388">
        <f t="shared" si="4"/>
        <v>465259.5270487807</v>
      </c>
      <c r="O24" s="83">
        <f t="shared" si="4"/>
        <v>470063.87152979389</v>
      </c>
      <c r="P24" s="83">
        <f t="shared" si="4"/>
        <v>476223.74423611775</v>
      </c>
      <c r="Q24" s="83">
        <f t="shared" si="4"/>
        <v>485799.82008078991</v>
      </c>
      <c r="R24" s="83">
        <f t="shared" si="4"/>
        <v>493412.16204849549</v>
      </c>
      <c r="S24" s="83">
        <f t="shared" si="4"/>
        <v>498218.20672101947</v>
      </c>
      <c r="T24" s="83">
        <f t="shared" si="4"/>
        <v>502540.75477395958</v>
      </c>
      <c r="U24" s="83">
        <f t="shared" si="4"/>
        <v>506931.87793462165</v>
      </c>
      <c r="V24" s="83">
        <f t="shared" si="4"/>
        <v>512002.87571691477</v>
      </c>
      <c r="W24" s="83">
        <f t="shared" si="4"/>
        <v>514322.84177334007</v>
      </c>
      <c r="X24" s="184">
        <f t="shared" si="4"/>
        <v>519122.33323807386</v>
      </c>
      <c r="Y24" s="174">
        <f t="shared" si="4"/>
        <v>521306.38136323565</v>
      </c>
      <c r="Z24" s="174">
        <f t="shared" si="4"/>
        <v>524768.45403785992</v>
      </c>
      <c r="AA24" s="174">
        <f t="shared" si="4"/>
        <v>527309.07218713779</v>
      </c>
      <c r="AB24" s="174">
        <f t="shared" si="4"/>
        <v>530823.22516817786</v>
      </c>
      <c r="AC24" s="174">
        <f t="shared" si="4"/>
        <v>536036.6343959677</v>
      </c>
      <c r="AD24" s="174">
        <f t="shared" si="4"/>
        <v>540686.33618756046</v>
      </c>
      <c r="AE24" s="174">
        <f t="shared" si="4"/>
        <v>548129.89968157548</v>
      </c>
      <c r="AF24" s="174">
        <f t="shared" si="4"/>
        <v>556263.13437939156</v>
      </c>
      <c r="AG24" s="174">
        <f t="shared" si="4"/>
        <v>562910.79858556192</v>
      </c>
      <c r="AH24" s="174">
        <f t="shared" si="4"/>
        <v>568422.9116261953</v>
      </c>
    </row>
    <row r="25" spans="1:34">
      <c r="A25" s="10" t="s">
        <v>346</v>
      </c>
      <c r="B25" s="37"/>
      <c r="C25" s="332">
        <f t="shared" ref="C25:AH25" si="5">C24/C4-1</f>
        <v>-7.8776374202838007E-5</v>
      </c>
      <c r="D25" s="332">
        <f t="shared" si="5"/>
        <v>-2.5709836338527747E-4</v>
      </c>
      <c r="E25" s="332">
        <f t="shared" si="5"/>
        <v>-6.9053730534784918E-5</v>
      </c>
      <c r="F25" s="332">
        <f t="shared" si="5"/>
        <v>-2.6876277187670716E-4</v>
      </c>
      <c r="G25" s="332">
        <f t="shared" si="5"/>
        <v>-3.456068318286043E-4</v>
      </c>
      <c r="H25" s="82">
        <f t="shared" si="5"/>
        <v>-5.4497780927009742E-4</v>
      </c>
      <c r="I25" s="82">
        <f t="shared" si="5"/>
        <v>-6.8568553915637764E-4</v>
      </c>
      <c r="J25" s="82">
        <f t="shared" si="5"/>
        <v>-6.5339444802126057E-4</v>
      </c>
      <c r="K25" s="82">
        <f t="shared" si="5"/>
        <v>-6.5695050623160167E-4</v>
      </c>
      <c r="L25" s="82">
        <f t="shared" si="5"/>
        <v>-6.5546521653747636E-4</v>
      </c>
      <c r="M25" s="82">
        <f t="shared" si="5"/>
        <v>-6.4793339291069341E-4</v>
      </c>
      <c r="N25" s="199">
        <f t="shared" si="5"/>
        <v>-6.3881982685454197E-4</v>
      </c>
      <c r="O25" s="82">
        <f t="shared" si="5"/>
        <v>-6.3229482012117089E-4</v>
      </c>
      <c r="P25" s="82">
        <f t="shared" si="5"/>
        <v>-6.2285247161819601E-4</v>
      </c>
      <c r="Q25" s="82">
        <f t="shared" si="5"/>
        <v>-6.1062137631739954E-4</v>
      </c>
      <c r="R25" s="82">
        <f t="shared" si="5"/>
        <v>-6.0137441343011133E-4</v>
      </c>
      <c r="S25" s="82">
        <f t="shared" si="5"/>
        <v>-5.9555467861671652E-4</v>
      </c>
      <c r="T25" s="82">
        <f t="shared" si="5"/>
        <v>-5.9083261396319919E-4</v>
      </c>
      <c r="U25" s="82">
        <f t="shared" si="5"/>
        <v>-5.8567437963474855E-4</v>
      </c>
      <c r="V25" s="82">
        <f t="shared" si="5"/>
        <v>-5.8107490568315434E-4</v>
      </c>
      <c r="W25" s="82">
        <f t="shared" si="5"/>
        <v>-5.7784360815360536E-4</v>
      </c>
      <c r="X25" s="185">
        <f t="shared" si="5"/>
        <v>-6.4667371806292895E-4</v>
      </c>
      <c r="Y25" s="172">
        <f t="shared" si="5"/>
        <v>-8.3850530538942536E-4</v>
      </c>
      <c r="Z25" s="172">
        <f t="shared" si="5"/>
        <v>-9.3074378655844114E-4</v>
      </c>
      <c r="AA25" s="172">
        <f t="shared" si="5"/>
        <v>-9.2583385013011998E-4</v>
      </c>
      <c r="AB25" s="172">
        <f t="shared" si="5"/>
        <v>-1.0743381911542116E-3</v>
      </c>
      <c r="AC25" s="172">
        <f t="shared" si="5"/>
        <v>-1.3300145465595659E-3</v>
      </c>
      <c r="AD25" s="172">
        <f t="shared" si="5"/>
        <v>-1.4286413765373096E-3</v>
      </c>
      <c r="AE25" s="172">
        <f t="shared" si="5"/>
        <v>-1.4092696925495085E-3</v>
      </c>
      <c r="AF25" s="172">
        <f t="shared" si="5"/>
        <v>-1.3885873218973943E-3</v>
      </c>
      <c r="AG25" s="172">
        <f t="shared" si="5"/>
        <v>-1.3679063514006051E-3</v>
      </c>
      <c r="AH25" s="172">
        <f t="shared" si="5"/>
        <v>-1.356017427263434E-3</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3.0797688607370283E-2</v>
      </c>
      <c r="D28" s="332">
        <f t="shared" si="6"/>
        <v>3.2608683837433393E-2</v>
      </c>
      <c r="E28" s="332">
        <f t="shared" si="6"/>
        <v>3.1209576380153928E-2</v>
      </c>
      <c r="F28" s="332">
        <f t="shared" si="6"/>
        <v>2.7084174048336424E-2</v>
      </c>
      <c r="G28" s="332">
        <f t="shared" si="6"/>
        <v>2.8048992849106804E-2</v>
      </c>
      <c r="H28" s="164">
        <f t="shared" si="6"/>
        <v>2.8525422493392932E-2</v>
      </c>
      <c r="I28" s="164">
        <f t="shared" si="6"/>
        <v>2.3594512964465634E-2</v>
      </c>
      <c r="J28" s="164">
        <f t="shared" si="6"/>
        <v>2.1914277613648628E-2</v>
      </c>
      <c r="K28" s="164">
        <f t="shared" si="6"/>
        <v>2.3717611554122092E-2</v>
      </c>
      <c r="L28" s="164">
        <f t="shared" ref="L28:L34" si="7">L10/L$18</f>
        <v>2.475276959465526E-2</v>
      </c>
      <c r="M28" s="164">
        <f t="shared" ref="M28:AH28" si="8">M10/M$18</f>
        <v>2.571179466675582E-2</v>
      </c>
      <c r="N28" s="185">
        <f t="shared" si="8"/>
        <v>2.6920280449992222E-2</v>
      </c>
      <c r="O28" s="164">
        <f t="shared" si="8"/>
        <v>2.8781323384070544E-2</v>
      </c>
      <c r="P28" s="164">
        <f t="shared" si="8"/>
        <v>3.0011030250059606E-2</v>
      </c>
      <c r="Q28" s="164">
        <f t="shared" si="8"/>
        <v>3.3612055612324165E-2</v>
      </c>
      <c r="R28" s="164">
        <f t="shared" si="8"/>
        <v>3.4961329864806524E-2</v>
      </c>
      <c r="S28" s="164">
        <f t="shared" si="8"/>
        <v>3.9200056503473441E-2</v>
      </c>
      <c r="T28" s="164">
        <f t="shared" si="8"/>
        <v>4.0351847877183648E-2</v>
      </c>
      <c r="U28" s="164">
        <f t="shared" si="8"/>
        <v>4.1045278194449329E-2</v>
      </c>
      <c r="V28" s="164">
        <f t="shared" si="8"/>
        <v>4.1651456345482202E-2</v>
      </c>
      <c r="W28" s="164">
        <f t="shared" si="8"/>
        <v>4.6141503799439279E-2</v>
      </c>
      <c r="X28" s="185">
        <f t="shared" si="8"/>
        <v>4.6543839398128381E-2</v>
      </c>
      <c r="Y28" s="172">
        <f t="shared" si="8"/>
        <v>4.6808558721717124E-2</v>
      </c>
      <c r="Z28" s="172">
        <f t="shared" si="8"/>
        <v>4.6905067483689625E-2</v>
      </c>
      <c r="AA28" s="172">
        <f t="shared" si="8"/>
        <v>4.7125371945359623E-2</v>
      </c>
      <c r="AB28" s="172">
        <f t="shared" si="8"/>
        <v>4.7353608700819685E-2</v>
      </c>
      <c r="AC28" s="172">
        <f t="shared" si="8"/>
        <v>4.7547650226351608E-2</v>
      </c>
      <c r="AD28" s="172">
        <f t="shared" si="8"/>
        <v>4.8007559185351552E-2</v>
      </c>
      <c r="AE28" s="172">
        <f t="shared" si="8"/>
        <v>4.8315086751586508E-2</v>
      </c>
      <c r="AF28" s="172">
        <f t="shared" si="8"/>
        <v>4.8798448971907424E-2</v>
      </c>
      <c r="AG28" s="172">
        <f t="shared" si="8"/>
        <v>4.9208642519562966E-2</v>
      </c>
      <c r="AH28" s="172">
        <f t="shared" si="8"/>
        <v>4.9354365987657654E-2</v>
      </c>
    </row>
    <row r="29" spans="1:34">
      <c r="A29" s="9" t="s">
        <v>50</v>
      </c>
      <c r="B29" s="37"/>
      <c r="C29" s="332">
        <f t="shared" ref="C29:K29" si="9">C11/C$18</f>
        <v>0</v>
      </c>
      <c r="D29" s="332">
        <f t="shared" si="9"/>
        <v>0</v>
      </c>
      <c r="E29" s="332">
        <f t="shared" si="9"/>
        <v>1.3792633454009714E-6</v>
      </c>
      <c r="F29" s="332">
        <f t="shared" si="9"/>
        <v>1.1611335192295058E-6</v>
      </c>
      <c r="G29" s="332">
        <f t="shared" si="9"/>
        <v>1.1869674175886759E-6</v>
      </c>
      <c r="H29" s="164">
        <f t="shared" si="9"/>
        <v>1.1732685426111746E-6</v>
      </c>
      <c r="I29" s="164">
        <f t="shared" si="9"/>
        <v>9.3579881528482006E-7</v>
      </c>
      <c r="J29" s="164">
        <f t="shared" si="9"/>
        <v>8.1992863893264076E-7</v>
      </c>
      <c r="K29" s="164">
        <f t="shared" si="9"/>
        <v>8.996214537714714E-7</v>
      </c>
      <c r="L29" s="164">
        <f t="shared" si="7"/>
        <v>9.7703678777825245E-7</v>
      </c>
      <c r="M29" s="164">
        <f t="shared" ref="M29:AH29" si="10">M11/M$18</f>
        <v>9.7861401860178966E-7</v>
      </c>
      <c r="N29" s="185">
        <f t="shared" si="10"/>
        <v>9.7631801122445175E-7</v>
      </c>
      <c r="O29" s="164">
        <f t="shared" si="10"/>
        <v>9.7316959375164071E-7</v>
      </c>
      <c r="P29" s="164">
        <f t="shared" si="10"/>
        <v>9.7162410661246722E-7</v>
      </c>
      <c r="Q29" s="164">
        <f t="shared" si="10"/>
        <v>9.686455628894833E-7</v>
      </c>
      <c r="R29" s="164">
        <f t="shared" si="10"/>
        <v>9.6477444282373244E-7</v>
      </c>
      <c r="S29" s="164">
        <f t="shared" si="10"/>
        <v>9.5875693420688069E-7</v>
      </c>
      <c r="T29" s="164">
        <f t="shared" si="10"/>
        <v>9.5457924999166291E-7</v>
      </c>
      <c r="U29" s="164">
        <f t="shared" si="10"/>
        <v>1.0236964412142963E-6</v>
      </c>
      <c r="V29" s="164">
        <f t="shared" si="10"/>
        <v>1.0642294175490419E-6</v>
      </c>
      <c r="W29" s="164">
        <f t="shared" si="10"/>
        <v>1.0567970152962333E-6</v>
      </c>
      <c r="X29" s="185">
        <f t="shared" si="10"/>
        <v>1.0974220097798643E-6</v>
      </c>
      <c r="Y29" s="172">
        <f t="shared" si="10"/>
        <v>1.1297601593558396E-6</v>
      </c>
      <c r="Z29" s="172">
        <f t="shared" si="10"/>
        <v>1.1204810984882895E-6</v>
      </c>
      <c r="AA29" s="172">
        <f t="shared" si="10"/>
        <v>1.1106715918902769E-6</v>
      </c>
      <c r="AB29" s="172">
        <f t="shared" si="10"/>
        <v>1.0991919809454189E-6</v>
      </c>
      <c r="AC29" s="172">
        <f t="shared" si="10"/>
        <v>1.0896046180347903E-6</v>
      </c>
      <c r="AD29" s="172">
        <f t="shared" si="10"/>
        <v>1.0810818095215827E-6</v>
      </c>
      <c r="AE29" s="172">
        <f t="shared" si="10"/>
        <v>1.0680542361544977E-6</v>
      </c>
      <c r="AF29" s="172">
        <f t="shared" si="10"/>
        <v>1.0564879739953864E-6</v>
      </c>
      <c r="AG29" s="172">
        <f t="shared" si="10"/>
        <v>1.0429629723584323E-6</v>
      </c>
      <c r="AH29" s="172">
        <f t="shared" si="10"/>
        <v>1.0265960027626686E-6</v>
      </c>
    </row>
    <row r="30" spans="1:34">
      <c r="A30" s="9" t="s">
        <v>51</v>
      </c>
      <c r="B30" s="37"/>
      <c r="C30" s="332">
        <f t="shared" ref="C30:K30" si="11">C12/C$18</f>
        <v>1.8886718129019063E-2</v>
      </c>
      <c r="D30" s="332">
        <f t="shared" si="11"/>
        <v>1.6268110047786215E-2</v>
      </c>
      <c r="E30" s="332">
        <f t="shared" si="11"/>
        <v>2.843860118381427E-2</v>
      </c>
      <c r="F30" s="332">
        <f t="shared" si="11"/>
        <v>2.6463238402952102E-2</v>
      </c>
      <c r="G30" s="332">
        <f t="shared" si="11"/>
        <v>2.012447336060021E-2</v>
      </c>
      <c r="H30" s="164">
        <f t="shared" si="11"/>
        <v>2.1404560521892785E-2</v>
      </c>
      <c r="I30" s="164">
        <f t="shared" si="11"/>
        <v>1.5631805342741327E-2</v>
      </c>
      <c r="J30" s="164">
        <f t="shared" si="11"/>
        <v>1.6052246818099802E-2</v>
      </c>
      <c r="K30" s="164">
        <f t="shared" si="11"/>
        <v>1.612953331787954E-2</v>
      </c>
      <c r="L30" s="164">
        <f t="shared" si="7"/>
        <v>1.6114950158364328E-2</v>
      </c>
      <c r="M30" s="164">
        <f t="shared" ref="M30:AH30" si="12">M12/M$18</f>
        <v>1.5987050304175014E-2</v>
      </c>
      <c r="N30" s="185">
        <f t="shared" si="12"/>
        <v>1.5949186711066869E-2</v>
      </c>
      <c r="O30" s="164">
        <f t="shared" si="12"/>
        <v>1.5898577704326722E-2</v>
      </c>
      <c r="P30" s="164">
        <f t="shared" si="12"/>
        <v>1.5954536939582403E-2</v>
      </c>
      <c r="Q30" s="164">
        <f t="shared" si="12"/>
        <v>1.5769695572823934E-2</v>
      </c>
      <c r="R30" s="164">
        <f t="shared" si="12"/>
        <v>1.5717205753934833E-2</v>
      </c>
      <c r="S30" s="164">
        <f t="shared" si="12"/>
        <v>1.5707712656704266E-2</v>
      </c>
      <c r="T30" s="164">
        <f t="shared" si="12"/>
        <v>1.5370083738070946E-2</v>
      </c>
      <c r="U30" s="164">
        <f t="shared" si="12"/>
        <v>1.5455528938146086E-2</v>
      </c>
      <c r="V30" s="164">
        <f t="shared" si="12"/>
        <v>1.5368164038946466E-2</v>
      </c>
      <c r="W30" s="164">
        <f t="shared" si="12"/>
        <v>1.5195493966140977E-2</v>
      </c>
      <c r="X30" s="185">
        <f t="shared" si="12"/>
        <v>1.5077142538240173E-2</v>
      </c>
      <c r="Y30" s="172">
        <f t="shared" si="12"/>
        <v>1.495678366355057E-2</v>
      </c>
      <c r="Z30" s="172">
        <f t="shared" si="12"/>
        <v>1.4934347073439786E-2</v>
      </c>
      <c r="AA30" s="172">
        <f t="shared" si="12"/>
        <v>1.4942464352364907E-2</v>
      </c>
      <c r="AB30" s="172">
        <f t="shared" si="12"/>
        <v>1.498946945695189E-2</v>
      </c>
      <c r="AC30" s="172">
        <f t="shared" si="12"/>
        <v>1.4860408236377869E-2</v>
      </c>
      <c r="AD30" s="172">
        <f t="shared" si="12"/>
        <v>1.4745733293661726E-2</v>
      </c>
      <c r="AE30" s="172">
        <f t="shared" si="12"/>
        <v>1.484914974036536E-2</v>
      </c>
      <c r="AF30" s="172">
        <f t="shared" si="12"/>
        <v>1.4690344589776675E-2</v>
      </c>
      <c r="AG30" s="172">
        <f t="shared" si="12"/>
        <v>1.4504008480373934E-2</v>
      </c>
      <c r="AH30" s="172">
        <f t="shared" si="12"/>
        <v>1.4277806677943577E-2</v>
      </c>
    </row>
    <row r="31" spans="1:34">
      <c r="A31" s="9" t="s">
        <v>347</v>
      </c>
      <c r="B31" s="37"/>
      <c r="C31" s="332">
        <f t="shared" ref="C31:K31" si="13">C13/C$18</f>
        <v>0</v>
      </c>
      <c r="D31" s="332">
        <f t="shared" si="13"/>
        <v>0</v>
      </c>
      <c r="E31" s="332">
        <f t="shared" si="13"/>
        <v>2.1746034065960461E-3</v>
      </c>
      <c r="F31" s="332">
        <f t="shared" si="13"/>
        <v>3.3737206509230908E-3</v>
      </c>
      <c r="G31" s="332">
        <f t="shared" si="13"/>
        <v>5.8822720788248304E-3</v>
      </c>
      <c r="H31" s="164">
        <f t="shared" si="13"/>
        <v>9.8528322953572965E-3</v>
      </c>
      <c r="I31" s="164">
        <f t="shared" si="13"/>
        <v>1.3966185613220083E-2</v>
      </c>
      <c r="J31" s="164">
        <f t="shared" si="13"/>
        <v>1.8810506025895495E-2</v>
      </c>
      <c r="K31" s="164">
        <f t="shared" si="13"/>
        <v>1.8840581020689036E-2</v>
      </c>
      <c r="L31" s="164">
        <f t="shared" si="7"/>
        <v>1.8966775873880765E-2</v>
      </c>
      <c r="M31" s="164">
        <f t="shared" ref="M31:AH31" si="14">M13/M$18</f>
        <v>1.9263231415435615E-2</v>
      </c>
      <c r="N31" s="185">
        <f t="shared" si="14"/>
        <v>1.9988309728606792E-2</v>
      </c>
      <c r="O31" s="164">
        <f t="shared" si="14"/>
        <v>2.0900820439699697E-2</v>
      </c>
      <c r="P31" s="164">
        <f t="shared" si="14"/>
        <v>2.1959840403448169E-2</v>
      </c>
      <c r="Q31" s="164">
        <f t="shared" si="14"/>
        <v>2.3208856170103959E-2</v>
      </c>
      <c r="R31" s="164">
        <f t="shared" si="14"/>
        <v>2.4914051681745996E-2</v>
      </c>
      <c r="S31" s="164">
        <f t="shared" si="14"/>
        <v>2.7229575257180456E-2</v>
      </c>
      <c r="T31" s="164">
        <f t="shared" si="14"/>
        <v>3.0085033941333491E-2</v>
      </c>
      <c r="U31" s="164">
        <f t="shared" si="14"/>
        <v>3.3541965733017348E-2</v>
      </c>
      <c r="V31" s="164">
        <f t="shared" si="14"/>
        <v>3.7920654789185229E-2</v>
      </c>
      <c r="W31" s="164">
        <f t="shared" si="14"/>
        <v>4.2501769173311874E-2</v>
      </c>
      <c r="X31" s="185">
        <f t="shared" si="14"/>
        <v>4.7628471555720239E-2</v>
      </c>
      <c r="Y31" s="172">
        <f t="shared" si="14"/>
        <v>5.296319919540219E-2</v>
      </c>
      <c r="Z31" s="172">
        <f t="shared" si="14"/>
        <v>5.835236908142212E-2</v>
      </c>
      <c r="AA31" s="172">
        <f t="shared" si="14"/>
        <v>6.3811150737432973E-2</v>
      </c>
      <c r="AB31" s="172">
        <f t="shared" si="14"/>
        <v>6.9372721593934747E-2</v>
      </c>
      <c r="AC31" s="172">
        <f t="shared" si="14"/>
        <v>7.5217781253030483E-2</v>
      </c>
      <c r="AD31" s="172">
        <f t="shared" si="14"/>
        <v>8.125018788590925E-2</v>
      </c>
      <c r="AE31" s="172">
        <f t="shared" si="14"/>
        <v>8.6984191317138054E-2</v>
      </c>
      <c r="AF31" s="172">
        <f t="shared" si="14"/>
        <v>9.2738778721431783E-2</v>
      </c>
      <c r="AG31" s="172">
        <f t="shared" si="14"/>
        <v>9.8263408129357882E-2</v>
      </c>
      <c r="AH31" s="172">
        <f t="shared" si="14"/>
        <v>0.10347585846845439</v>
      </c>
    </row>
    <row r="32" spans="1:34">
      <c r="A32" s="9" t="s">
        <v>348</v>
      </c>
      <c r="B32" s="37"/>
      <c r="C32" s="332">
        <f t="shared" ref="C32:K32" si="15">C14/C$18</f>
        <v>0</v>
      </c>
      <c r="D32" s="332">
        <f t="shared" si="15"/>
        <v>0</v>
      </c>
      <c r="E32" s="332">
        <f t="shared" si="15"/>
        <v>3.4379450881318608E-6</v>
      </c>
      <c r="F32" s="332">
        <f t="shared" si="15"/>
        <v>3.0896009477664854E-6</v>
      </c>
      <c r="G32" s="332">
        <f t="shared" si="15"/>
        <v>2.8886634675248268E-6</v>
      </c>
      <c r="H32" s="164">
        <f t="shared" si="15"/>
        <v>2.8553140798554774E-6</v>
      </c>
      <c r="I32" s="164">
        <f t="shared" si="15"/>
        <v>2.2781032935037701E-6</v>
      </c>
      <c r="J32" s="164">
        <f t="shared" si="15"/>
        <v>1.9997688820407824E-6</v>
      </c>
      <c r="K32" s="164">
        <f t="shared" si="15"/>
        <v>1.9957079853068985E-6</v>
      </c>
      <c r="L32" s="164">
        <f t="shared" si="7"/>
        <v>1.9935669339447239E-6</v>
      </c>
      <c r="M32" s="164">
        <f t="shared" ref="M32:AH32" si="16">M14/M$18</f>
        <v>1.9908073835025945E-6</v>
      </c>
      <c r="N32" s="185">
        <f t="shared" si="16"/>
        <v>1.9866745115246598E-6</v>
      </c>
      <c r="O32" s="164">
        <f t="shared" si="16"/>
        <v>1.9807148905721389E-6</v>
      </c>
      <c r="P32" s="164">
        <f t="shared" si="16"/>
        <v>1.9749460980994303E-6</v>
      </c>
      <c r="Q32" s="164">
        <f t="shared" si="16"/>
        <v>1.9652766654956244E-6</v>
      </c>
      <c r="R32" s="164">
        <f t="shared" si="16"/>
        <v>1.9590307309232753E-6</v>
      </c>
      <c r="S32" s="164">
        <f t="shared" si="16"/>
        <v>1.945264229810547E-6</v>
      </c>
      <c r="T32" s="164">
        <f t="shared" si="16"/>
        <v>1.9372316994324816E-6</v>
      </c>
      <c r="U32" s="164">
        <f t="shared" si="16"/>
        <v>1.9277933538717319E-6</v>
      </c>
      <c r="V32" s="164">
        <f t="shared" si="16"/>
        <v>1.917485567993978E-6</v>
      </c>
      <c r="W32" s="164">
        <f t="shared" si="16"/>
        <v>1.8966138228079461E-6</v>
      </c>
      <c r="X32" s="185">
        <f t="shared" si="16"/>
        <v>1.8825616765542303E-6</v>
      </c>
      <c r="Y32" s="172">
        <f t="shared" si="16"/>
        <v>1.8682451442282858E-6</v>
      </c>
      <c r="Z32" s="172">
        <f t="shared" si="16"/>
        <v>1.8537090332298284E-6</v>
      </c>
      <c r="AA32" s="172">
        <f t="shared" si="16"/>
        <v>1.8382123120679433E-6</v>
      </c>
      <c r="AB32" s="172">
        <f t="shared" si="16"/>
        <v>1.8199145351591427E-6</v>
      </c>
      <c r="AC32" s="172">
        <f t="shared" si="16"/>
        <v>1.8047090151504655E-6</v>
      </c>
      <c r="AD32" s="172">
        <f t="shared" si="16"/>
        <v>1.7912338405928863E-6</v>
      </c>
      <c r="AE32" s="172">
        <f t="shared" si="16"/>
        <v>1.7702586719698211E-6</v>
      </c>
      <c r="AF32" s="172">
        <f t="shared" si="16"/>
        <v>1.7516605715624679E-6</v>
      </c>
      <c r="AG32" s="172">
        <f t="shared" si="16"/>
        <v>1.7297961958365202E-6</v>
      </c>
      <c r="AH32" s="172">
        <f t="shared" si="16"/>
        <v>1.7031636109576071E-6</v>
      </c>
    </row>
    <row r="33" spans="1:36">
      <c r="A33" s="9" t="s">
        <v>344</v>
      </c>
      <c r="B33" s="37"/>
      <c r="C33" s="332">
        <f t="shared" ref="C33:K33" si="17">C15/C$18</f>
        <v>4.745406565080167E-7</v>
      </c>
      <c r="D33" s="332">
        <f t="shared" si="17"/>
        <v>3.6231870930481551E-7</v>
      </c>
      <c r="E33" s="332">
        <f t="shared" si="17"/>
        <v>3.4379450881318607E-7</v>
      </c>
      <c r="F33" s="332">
        <f t="shared" si="17"/>
        <v>3.0896009477664854E-7</v>
      </c>
      <c r="G33" s="332">
        <f t="shared" si="17"/>
        <v>2.8886634675248268E-7</v>
      </c>
      <c r="H33" s="164">
        <f t="shared" si="17"/>
        <v>2.8553140798554773E-7</v>
      </c>
      <c r="I33" s="164">
        <f t="shared" si="17"/>
        <v>2.2781032935037703E-7</v>
      </c>
      <c r="J33" s="164">
        <f t="shared" si="17"/>
        <v>1.9997688820407825E-7</v>
      </c>
      <c r="K33" s="164">
        <f t="shared" si="17"/>
        <v>1.9957079853068982E-7</v>
      </c>
      <c r="L33" s="164">
        <f t="shared" si="7"/>
        <v>1.993566933944724E-7</v>
      </c>
      <c r="M33" s="164">
        <f t="shared" ref="M33:AH33" si="18">M15/M$18</f>
        <v>1.9908073835025944E-7</v>
      </c>
      <c r="N33" s="185">
        <f t="shared" si="18"/>
        <v>1.9866745115246599E-7</v>
      </c>
      <c r="O33" s="164">
        <f t="shared" si="18"/>
        <v>1.9807148905721387E-7</v>
      </c>
      <c r="P33" s="164">
        <f t="shared" si="18"/>
        <v>1.9749460980994304E-7</v>
      </c>
      <c r="Q33" s="164">
        <f t="shared" si="18"/>
        <v>1.9652766654956244E-7</v>
      </c>
      <c r="R33" s="164">
        <f t="shared" si="18"/>
        <v>1.9590307309232755E-7</v>
      </c>
      <c r="S33" s="164">
        <f t="shared" si="18"/>
        <v>1.9452642298105468E-7</v>
      </c>
      <c r="T33" s="164">
        <f t="shared" si="18"/>
        <v>1.9372316994324816E-7</v>
      </c>
      <c r="U33" s="164">
        <f t="shared" si="18"/>
        <v>1.9277933538717321E-7</v>
      </c>
      <c r="V33" s="164">
        <f t="shared" si="18"/>
        <v>1.9174855679939781E-7</v>
      </c>
      <c r="W33" s="164">
        <f t="shared" si="18"/>
        <v>1.896613822807946E-7</v>
      </c>
      <c r="X33" s="185">
        <f t="shared" si="18"/>
        <v>1.8825616765542302E-7</v>
      </c>
      <c r="Y33" s="172">
        <f t="shared" si="18"/>
        <v>1.8682451442282857E-7</v>
      </c>
      <c r="Z33" s="172">
        <f t="shared" si="18"/>
        <v>1.8537090332298284E-7</v>
      </c>
      <c r="AA33" s="172">
        <f t="shared" si="18"/>
        <v>1.8382123120679431E-7</v>
      </c>
      <c r="AB33" s="172">
        <f t="shared" si="18"/>
        <v>1.8199145351591428E-7</v>
      </c>
      <c r="AC33" s="172">
        <f t="shared" si="18"/>
        <v>1.8047090151504652E-7</v>
      </c>
      <c r="AD33" s="172">
        <f t="shared" si="18"/>
        <v>1.7912338405928863E-7</v>
      </c>
      <c r="AE33" s="172">
        <f t="shared" si="18"/>
        <v>1.770258671969821E-7</v>
      </c>
      <c r="AF33" s="172">
        <f t="shared" si="18"/>
        <v>1.7516605715624678E-7</v>
      </c>
      <c r="AG33" s="172">
        <f t="shared" si="18"/>
        <v>1.7297961958365202E-7</v>
      </c>
      <c r="AH33" s="172">
        <f t="shared" si="18"/>
        <v>1.7031636109576069E-7</v>
      </c>
    </row>
    <row r="34" spans="1:36">
      <c r="A34" s="9" t="s">
        <v>53</v>
      </c>
      <c r="B34" s="37"/>
      <c r="C34" s="332">
        <f t="shared" ref="C34:K34" si="19">C16/C$18</f>
        <v>0.95031511872295427</v>
      </c>
      <c r="D34" s="332">
        <f t="shared" si="19"/>
        <v>0.95112284379607115</v>
      </c>
      <c r="E34" s="332">
        <f t="shared" si="19"/>
        <v>0.9381720580264935</v>
      </c>
      <c r="F34" s="332">
        <f t="shared" si="19"/>
        <v>0.9430743072032266</v>
      </c>
      <c r="G34" s="332">
        <f t="shared" si="19"/>
        <v>0.94593989721423632</v>
      </c>
      <c r="H34" s="164">
        <f t="shared" si="19"/>
        <v>0.94021287057532654</v>
      </c>
      <c r="I34" s="164">
        <f t="shared" si="19"/>
        <v>0.94680405436713488</v>
      </c>
      <c r="J34" s="164">
        <f t="shared" si="19"/>
        <v>0.94321994986794699</v>
      </c>
      <c r="K34" s="164">
        <f t="shared" si="19"/>
        <v>0.94130917920707169</v>
      </c>
      <c r="L34" s="164">
        <f t="shared" si="7"/>
        <v>0.94016233441268449</v>
      </c>
      <c r="M34" s="164">
        <f t="shared" ref="M34:AH34" si="20">M16/M$18</f>
        <v>0.93903475511149304</v>
      </c>
      <c r="N34" s="185">
        <f t="shared" si="20"/>
        <v>0.93713906145036019</v>
      </c>
      <c r="O34" s="164">
        <f t="shared" si="20"/>
        <v>0.93441612651592965</v>
      </c>
      <c r="P34" s="164">
        <f t="shared" si="20"/>
        <v>0.93207144834209532</v>
      </c>
      <c r="Q34" s="164">
        <f t="shared" si="20"/>
        <v>0.927406262194853</v>
      </c>
      <c r="R34" s="164">
        <f t="shared" si="20"/>
        <v>0.92440429299126581</v>
      </c>
      <c r="S34" s="164">
        <f t="shared" si="20"/>
        <v>0.91785955703505484</v>
      </c>
      <c r="T34" s="164">
        <f t="shared" si="20"/>
        <v>0.9141899489092925</v>
      </c>
      <c r="U34" s="164">
        <f t="shared" si="20"/>
        <v>0.90995408286525681</v>
      </c>
      <c r="V34" s="164">
        <f t="shared" si="20"/>
        <v>0.90505655136284369</v>
      </c>
      <c r="W34" s="164">
        <f t="shared" si="20"/>
        <v>0.89615808998888757</v>
      </c>
      <c r="X34" s="185">
        <f t="shared" si="20"/>
        <v>0.89074737826805717</v>
      </c>
      <c r="Y34" s="172">
        <f t="shared" si="20"/>
        <v>0.8852682735895121</v>
      </c>
      <c r="Z34" s="172">
        <f t="shared" si="20"/>
        <v>0.87980505680041343</v>
      </c>
      <c r="AA34" s="172">
        <f t="shared" si="20"/>
        <v>0.87411788025970738</v>
      </c>
      <c r="AB34" s="172">
        <f t="shared" si="20"/>
        <v>0.86828109915032403</v>
      </c>
      <c r="AC34" s="172">
        <f t="shared" si="20"/>
        <v>0.86237108549970531</v>
      </c>
      <c r="AD34" s="172">
        <f t="shared" si="20"/>
        <v>0.85599346819604338</v>
      </c>
      <c r="AE34" s="172">
        <f t="shared" si="20"/>
        <v>0.84984855685213467</v>
      </c>
      <c r="AF34" s="172">
        <f t="shared" si="20"/>
        <v>0.8437694444022813</v>
      </c>
      <c r="AG34" s="172">
        <f t="shared" si="20"/>
        <v>0.8380209951319173</v>
      </c>
      <c r="AH34" s="172">
        <f t="shared" si="20"/>
        <v>0.83288906878996949</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154.3485</v>
      </c>
      <c r="D42" s="331">
        <f>D7*Inputs!$C$48</f>
        <v>189.29849999999999</v>
      </c>
      <c r="E42" s="331">
        <f>E7*Inputs!$C$48</f>
        <v>221.6243118256707</v>
      </c>
      <c r="F42" s="331">
        <f>F7*Inputs!$C$48</f>
        <v>180.31506552677794</v>
      </c>
      <c r="G42" s="331">
        <f>G7*Inputs!$C$48</f>
        <v>228.88886991581455</v>
      </c>
      <c r="H42" s="14">
        <f>H7*Inputs!$C$48</f>
        <v>234.39276513010918</v>
      </c>
      <c r="I42" s="14">
        <f>I7*Inputs!$C$48</f>
        <v>239.2506753889665</v>
      </c>
      <c r="J42" s="14">
        <f>J7*Inputs!$C$48</f>
        <v>243.44810972126592</v>
      </c>
      <c r="K42" s="14">
        <f>K7*Inputs!$C$48</f>
        <v>246.29614403204238</v>
      </c>
      <c r="L42" s="14">
        <f>L7*Inputs!$C$48</f>
        <v>246.29602047328453</v>
      </c>
      <c r="M42" s="14">
        <f>M7*Inputs!$C$48</f>
        <v>246.29608472383859</v>
      </c>
      <c r="N42" s="190">
        <f>N7*Inputs!$C$48</f>
        <v>246.29602047328453</v>
      </c>
      <c r="O42" s="14">
        <f>O7*Inputs!$C$48</f>
        <v>246.29607978148829</v>
      </c>
      <c r="P42" s="14">
        <f>P7*Inputs!$C$48</f>
        <v>246.29590679922725</v>
      </c>
      <c r="Q42" s="14">
        <f>Q7*Inputs!$C$48</f>
        <v>247.65568081405931</v>
      </c>
      <c r="R42" s="14">
        <f>R7*Inputs!$C$48</f>
        <v>247.65558196705302</v>
      </c>
      <c r="S42" s="14">
        <f>S7*Inputs!$C$48</f>
        <v>247.65568575640958</v>
      </c>
      <c r="T42" s="14">
        <f>T7*Inputs!$C$48</f>
        <v>248.17243813583721</v>
      </c>
      <c r="U42" s="14">
        <f>U7*Inputs!$C$48</f>
        <v>248.48270406149737</v>
      </c>
      <c r="V42" s="14">
        <f>V7*Inputs!$C$48</f>
        <v>250.2392104207326</v>
      </c>
      <c r="W42" s="14">
        <f>W7*Inputs!$C$48</f>
        <v>251.95501158278188</v>
      </c>
      <c r="X42" s="187">
        <f>X7*Inputs!$C$48</f>
        <v>253.86956442035716</v>
      </c>
      <c r="Y42" s="14">
        <f>Y7*Inputs!$C$48</f>
        <v>253.86959901680942</v>
      </c>
      <c r="Z42" s="14">
        <f>Z7*Inputs!$C$48</f>
        <v>254.98010065120599</v>
      </c>
      <c r="AA42" s="14">
        <f>AA7*Inputs!$C$48</f>
        <v>254.98015501705947</v>
      </c>
      <c r="AB42" s="14">
        <f>AB7*Inputs!$C$48</f>
        <v>254.98015501705947</v>
      </c>
      <c r="AC42" s="14">
        <f>AC7*Inputs!$C$48</f>
        <v>256.03409639446289</v>
      </c>
      <c r="AD42" s="14">
        <f>AD7*Inputs!$C$48</f>
        <v>256.76409636288747</v>
      </c>
      <c r="AE42" s="14">
        <f>AE7*Inputs!$C$48</f>
        <v>256.76419520989378</v>
      </c>
      <c r="AF42" s="14">
        <f>AF7*Inputs!$C$48</f>
        <v>257.4265146331187</v>
      </c>
      <c r="AG42" s="14">
        <f>AG7*Inputs!$C$48</f>
        <v>257.4265096907684</v>
      </c>
      <c r="AH42" s="14">
        <f>AH7*Inputs!$C$48</f>
        <v>257.42653440252002</v>
      </c>
    </row>
    <row r="43" spans="1:36" ht="15">
      <c r="A43" s="8" t="s">
        <v>59</v>
      </c>
      <c r="B43" s="34">
        <v>0</v>
      </c>
      <c r="C43" s="331">
        <f>C8*Inputs!$C$53</f>
        <v>5809.72</v>
      </c>
      <c r="D43" s="331">
        <f>D8*Inputs!$C$53</f>
        <v>5786.9000000000005</v>
      </c>
      <c r="E43" s="331">
        <f>E8*Inputs!$C$53</f>
        <v>5860.1578434980511</v>
      </c>
      <c r="F43" s="331">
        <f>F8*Inputs!$C$53</f>
        <v>5806.0500090465766</v>
      </c>
      <c r="G43" s="331">
        <f>G8*Inputs!$C$53</f>
        <v>5713.3303352061685</v>
      </c>
      <c r="H43" s="14">
        <f>H8*Inputs!$C$53</f>
        <v>5730.2863275271538</v>
      </c>
      <c r="I43" s="14">
        <f>I8*Inputs!$C$53</f>
        <v>5947.8274212614451</v>
      </c>
      <c r="J43" s="14">
        <f>J8*Inputs!$C$53</f>
        <v>6199.8157095621573</v>
      </c>
      <c r="K43" s="14">
        <f>K8*Inputs!$C$53</f>
        <v>6444.7534368101597</v>
      </c>
      <c r="L43" s="14">
        <f>L8*Inputs!$C$53</f>
        <v>6634.9381511375386</v>
      </c>
      <c r="M43" s="14">
        <f>M8*Inputs!$C$53</f>
        <v>6668.1649813936592</v>
      </c>
      <c r="N43" s="190">
        <f>N8*Inputs!$C$53</f>
        <v>6668.1651483077167</v>
      </c>
      <c r="O43" s="14">
        <f>O8*Inputs!$C$53</f>
        <v>6668.1651483077167</v>
      </c>
      <c r="P43" s="14">
        <f>P8*Inputs!$C$53</f>
        <v>6668.1650926696966</v>
      </c>
      <c r="Q43" s="14">
        <f>Q8*Inputs!$C$53</f>
        <v>6668.1651483077167</v>
      </c>
      <c r="R43" s="14">
        <f>R8*Inputs!$C$53</f>
        <v>6668.1649813936592</v>
      </c>
      <c r="S43" s="14">
        <f>S8*Inputs!$C$53</f>
        <v>6668.1784736132822</v>
      </c>
      <c r="T43" s="14">
        <f>T8*Inputs!$C$53</f>
        <v>6668.1650926696966</v>
      </c>
      <c r="U43" s="14">
        <f>U8*Inputs!$C$53</f>
        <v>6668.1650370316784</v>
      </c>
      <c r="V43" s="14">
        <f>V8*Inputs!$C$53</f>
        <v>6668.1650370316784</v>
      </c>
      <c r="W43" s="14">
        <f>W8*Inputs!$C$53</f>
        <v>6668.1651483077167</v>
      </c>
      <c r="X43" s="187">
        <f>X8*Inputs!$C$53</f>
        <v>6668.1650370316784</v>
      </c>
      <c r="Y43" s="14">
        <f>Y8*Inputs!$C$53</f>
        <v>6668.1650370316784</v>
      </c>
      <c r="Z43" s="14">
        <f>Z8*Inputs!$C$53</f>
        <v>6668.1650926696966</v>
      </c>
      <c r="AA43" s="14">
        <f>AA8*Inputs!$C$53</f>
        <v>6668.1649535746492</v>
      </c>
      <c r="AB43" s="14">
        <f>AB8*Inputs!$C$53</f>
        <v>6668.1650370316784</v>
      </c>
      <c r="AC43" s="14">
        <f>AC8*Inputs!$C$53</f>
        <v>6668.1651483077167</v>
      </c>
      <c r="AD43" s="14">
        <f>AD8*Inputs!$C$53</f>
        <v>6668.1651483077167</v>
      </c>
      <c r="AE43" s="14">
        <f>AE8*Inputs!$C$53</f>
        <v>6668.1651483077167</v>
      </c>
      <c r="AF43" s="14">
        <f>AF8*Inputs!$C$53</f>
        <v>6668.1651483077167</v>
      </c>
      <c r="AG43" s="14">
        <f>AG8*Inputs!$C$53</f>
        <v>6668.1650370316784</v>
      </c>
      <c r="AH43" s="14">
        <f>AH8*Inputs!$C$53</f>
        <v>6668.1650370316784</v>
      </c>
    </row>
    <row r="44" spans="1:36" ht="15">
      <c r="A44" s="8" t="s">
        <v>121</v>
      </c>
      <c r="B44" s="34">
        <v>1</v>
      </c>
      <c r="C44" s="331">
        <f>C10*Inputs!$C$46</f>
        <v>136.29</v>
      </c>
      <c r="D44" s="331">
        <f>D10*Inputs!$C$46</f>
        <v>189</v>
      </c>
      <c r="E44" s="331">
        <f>E10*Inputs!$C$46</f>
        <v>190.63745556778795</v>
      </c>
      <c r="F44" s="331">
        <f>F10*Inputs!$C$46</f>
        <v>184.09097635286358</v>
      </c>
      <c r="G44" s="331">
        <f>G10*Inputs!$C$46</f>
        <v>203.91051309827958</v>
      </c>
      <c r="H44" s="14">
        <f>H10*Inputs!$C$46</f>
        <v>209.79613997195426</v>
      </c>
      <c r="I44" s="14">
        <f>I10*Inputs!$C$46</f>
        <v>217.49881740073008</v>
      </c>
      <c r="J44" s="14">
        <f>J10*Inputs!$C$46</f>
        <v>230.12650812777076</v>
      </c>
      <c r="K44" s="14">
        <f>K10*Inputs!$C$46</f>
        <v>249.57050144787149</v>
      </c>
      <c r="L44" s="14">
        <f>L10*Inputs!$C$46</f>
        <v>260.742768470383</v>
      </c>
      <c r="M44" s="14">
        <f>M10*Inputs!$C$46</f>
        <v>271.22045682385254</v>
      </c>
      <c r="N44" s="190">
        <f>N10*Inputs!$C$46</f>
        <v>284.55888781498544</v>
      </c>
      <c r="O44" s="14">
        <f>O10*Inputs!$C$46</f>
        <v>305.1462852843477</v>
      </c>
      <c r="P44" s="14">
        <f>P10*Inputs!$C$46</f>
        <v>319.11333471721014</v>
      </c>
      <c r="Q44" s="14">
        <f>Q10*Inputs!$C$46</f>
        <v>359.16223921622651</v>
      </c>
      <c r="R44" s="14">
        <f>R10*Inputs!$C$46</f>
        <v>374.77101077169942</v>
      </c>
      <c r="S44" s="14">
        <f>S10*Inputs!$C$46</f>
        <v>423.18219497261583</v>
      </c>
      <c r="T44" s="14">
        <f>T10*Inputs!$C$46</f>
        <v>437.422537360452</v>
      </c>
      <c r="U44" s="14">
        <f>U10*Inputs!$C$46</f>
        <v>447.11786164856073</v>
      </c>
      <c r="V44" s="14">
        <f>V10*Inputs!$C$46</f>
        <v>456.16019116649397</v>
      </c>
      <c r="W44" s="14">
        <f>W10*Inputs!$C$46</f>
        <v>510.89555930455975</v>
      </c>
      <c r="X44" s="187">
        <f>X10*Inputs!$C$46</f>
        <v>519.19713416759328</v>
      </c>
      <c r="Y44" s="14">
        <f>Y10*Inputs!$C$46</f>
        <v>526.15136519575867</v>
      </c>
      <c r="Z44" s="14">
        <f>Z10*Inputs!$C$46</f>
        <v>531.37056544480788</v>
      </c>
      <c r="AA44" s="14">
        <f>AA10*Inputs!$C$46</f>
        <v>538.36697989430809</v>
      </c>
      <c r="AB44" s="14">
        <f>AB10*Inputs!$C$46</f>
        <v>546.41345156917259</v>
      </c>
      <c r="AC44" s="14">
        <f>AC10*Inputs!$C$46</f>
        <v>553.27515204446138</v>
      </c>
      <c r="AD44" s="14">
        <f>AD10*Inputs!$C$46</f>
        <v>562.82921863439617</v>
      </c>
      <c r="AE44" s="14">
        <f>AE10*Inputs!$C$46</f>
        <v>573.14608189678938</v>
      </c>
      <c r="AF44" s="14">
        <f>AF10*Inputs!$C$46</f>
        <v>585.02625739641508</v>
      </c>
      <c r="AG44" s="14">
        <f>AG10*Inputs!$C$46</f>
        <v>597.40072003747503</v>
      </c>
      <c r="AH44" s="14">
        <f>AH10*Inputs!$C$46</f>
        <v>608.539120418425</v>
      </c>
    </row>
    <row r="45" spans="1:36" ht="15">
      <c r="A45" s="8" t="s">
        <v>50</v>
      </c>
      <c r="B45" s="34">
        <v>1</v>
      </c>
      <c r="C45" s="331">
        <f>C11*Inputs!$C$49</f>
        <v>0</v>
      </c>
      <c r="D45" s="331">
        <f>D11*Inputs!$C$49</f>
        <v>0</v>
      </c>
      <c r="E45" s="331">
        <f>E11*Inputs!$C$49</f>
        <v>1.00297075E-2</v>
      </c>
      <c r="F45" s="331">
        <f>F11*Inputs!$C$49</f>
        <v>9.3954975000000007E-3</v>
      </c>
      <c r="G45" s="331">
        <f>G11*Inputs!$C$49</f>
        <v>1.0272635E-2</v>
      </c>
      <c r="H45" s="14">
        <f>H11*Inputs!$C$49</f>
        <v>1.0272675E-2</v>
      </c>
      <c r="I45" s="14">
        <f>I11*Inputs!$C$49</f>
        <v>1.0269495E-2</v>
      </c>
      <c r="J45" s="14">
        <f>J11*Inputs!$C$49</f>
        <v>1.0250292500000001E-2</v>
      </c>
      <c r="K45" s="14">
        <f>K11*Inputs!$C$49</f>
        <v>1.1269452499999999E-2</v>
      </c>
      <c r="L45" s="14">
        <f>L11*Inputs!$C$49</f>
        <v>1.2252369999999999E-2</v>
      </c>
      <c r="M45" s="14">
        <f>M11*Inputs!$C$49</f>
        <v>1.228916E-2</v>
      </c>
      <c r="N45" s="190">
        <f>N11*Inputs!$C$49</f>
        <v>1.2285832500000001E-2</v>
      </c>
      <c r="O45" s="14">
        <f>O11*Inputs!$C$49</f>
        <v>1.228306E-2</v>
      </c>
      <c r="P45" s="14">
        <f>P11*Inputs!$C$49</f>
        <v>1.2299375E-2</v>
      </c>
      <c r="Q45" s="14">
        <f>Q11*Inputs!$C$49</f>
        <v>1.2322E-2</v>
      </c>
      <c r="R45" s="14">
        <f>R11*Inputs!$C$49</f>
        <v>1.2311885E-2</v>
      </c>
      <c r="S45" s="14">
        <f>S11*Inputs!$C$49</f>
        <v>1.232168E-2</v>
      </c>
      <c r="T45" s="14">
        <f>T11*Inputs!$C$49</f>
        <v>1.2318857500000001E-2</v>
      </c>
      <c r="U45" s="14">
        <f>U11*Inputs!$C$49</f>
        <v>1.3275495E-2</v>
      </c>
      <c r="V45" s="14">
        <f>V11*Inputs!$C$49</f>
        <v>1.3875325000000003E-2</v>
      </c>
      <c r="W45" s="14">
        <f>W11*Inputs!$C$49</f>
        <v>1.3930050000000003E-2</v>
      </c>
      <c r="X45" s="187">
        <f>X11*Inputs!$C$49</f>
        <v>1.4573520000000001E-2</v>
      </c>
      <c r="Y45" s="14">
        <f>Y11*Inputs!$C$49</f>
        <v>1.51179325E-2</v>
      </c>
      <c r="Z45" s="14">
        <f>Z11*Inputs!$C$49</f>
        <v>1.5111340000000001E-2</v>
      </c>
      <c r="AA45" s="14">
        <f>AA11*Inputs!$C$49</f>
        <v>1.5105322500000001E-2</v>
      </c>
      <c r="AB45" s="14">
        <f>AB11*Inputs!$C$49</f>
        <v>1.50995E-2</v>
      </c>
      <c r="AC45" s="14">
        <f>AC11*Inputs!$C$49</f>
        <v>1.509391E-2</v>
      </c>
      <c r="AD45" s="14">
        <f>AD11*Inputs!$C$49</f>
        <v>1.5088507500000001E-2</v>
      </c>
      <c r="AE45" s="14">
        <f>AE11*Inputs!$C$49</f>
        <v>1.5083307500000002E-2</v>
      </c>
      <c r="AF45" s="14">
        <f>AF11*Inputs!$C$49</f>
        <v>1.5078377500000002E-2</v>
      </c>
      <c r="AG45" s="14">
        <f>AG11*Inputs!$C$49</f>
        <v>1.5073495000000001E-2</v>
      </c>
      <c r="AH45" s="14">
        <f>AH11*Inputs!$C$49</f>
        <v>1.5068957500000001E-2</v>
      </c>
    </row>
    <row r="46" spans="1:36" ht="15">
      <c r="A46" s="8" t="s">
        <v>51</v>
      </c>
      <c r="B46" s="34">
        <v>1</v>
      </c>
      <c r="C46" s="331">
        <f>C12*Inputs!$C$52</f>
        <v>59.699999999999996</v>
      </c>
      <c r="D46" s="331">
        <f>D12*Inputs!$C$52</f>
        <v>67.349999999999994</v>
      </c>
      <c r="E46" s="331">
        <f>E12*Inputs!$C$52</f>
        <v>124.07964840096153</v>
      </c>
      <c r="F46" s="331">
        <f>F12*Inputs!$C$52</f>
        <v>128.47891451199905</v>
      </c>
      <c r="G46" s="331">
        <f>G12*Inputs!$C$52</f>
        <v>104.50061206598784</v>
      </c>
      <c r="H46" s="14">
        <f>H12*Inputs!$C$52</f>
        <v>112.44591622811693</v>
      </c>
      <c r="I46" s="14">
        <f>I12*Inputs!$C$52</f>
        <v>102.92644798405487</v>
      </c>
      <c r="J46" s="14">
        <f>J12*Inputs!$C$52</f>
        <v>120.40576510310282</v>
      </c>
      <c r="K46" s="14">
        <f>K12*Inputs!$C$52</f>
        <v>121.23166392551528</v>
      </c>
      <c r="L46" s="14">
        <f>L12*Inputs!$C$52</f>
        <v>121.25213769329466</v>
      </c>
      <c r="M46" s="14">
        <f>M12*Inputs!$C$52</f>
        <v>120.45653263587704</v>
      </c>
      <c r="N46" s="190">
        <f>N12*Inputs!$C$52</f>
        <v>120.42123623079134</v>
      </c>
      <c r="O46" s="14">
        <f>O12*Inputs!$C$52</f>
        <v>120.40029925559611</v>
      </c>
      <c r="P46" s="14">
        <f>P12*Inputs!$C$52</f>
        <v>121.17700545044818</v>
      </c>
      <c r="Q46" s="14">
        <f>Q12*Inputs!$C$52</f>
        <v>120.36240888898178</v>
      </c>
      <c r="R46" s="14">
        <f>R12*Inputs!$C$52</f>
        <v>120.34425115828154</v>
      </c>
      <c r="S46" s="14">
        <f>S12*Inputs!$C$52</f>
        <v>121.12271754131369</v>
      </c>
      <c r="T46" s="14">
        <f>T12*Inputs!$C$52</f>
        <v>119.01067700812706</v>
      </c>
      <c r="U46" s="14">
        <f>U12*Inputs!$C$52</f>
        <v>120.25818722042163</v>
      </c>
      <c r="V46" s="14">
        <f>V12*Inputs!$C$52</f>
        <v>120.22122326863894</v>
      </c>
      <c r="W46" s="14">
        <f>W12*Inputs!$C$52</f>
        <v>120.17860818638324</v>
      </c>
      <c r="X46" s="187">
        <f>X12*Inputs!$C$52</f>
        <v>120.13265801073359</v>
      </c>
      <c r="Y46" s="14">
        <f>Y12*Inputs!$C$52</f>
        <v>120.08689311805027</v>
      </c>
      <c r="Z46" s="14">
        <f>Z12*Inputs!$C$52</f>
        <v>120.84701648741586</v>
      </c>
      <c r="AA46" s="14">
        <f>AA12*Inputs!$C$52</f>
        <v>121.93203353823969</v>
      </c>
      <c r="AB46" s="14">
        <f>AB12*Inputs!$C$52</f>
        <v>123.54538496755124</v>
      </c>
      <c r="AC46" s="14">
        <f>AC12*Inputs!$C$52</f>
        <v>123.5136089388258</v>
      </c>
      <c r="AD46" s="14">
        <f>AD12*Inputs!$C$52</f>
        <v>123.4824814004825</v>
      </c>
      <c r="AE46" s="14">
        <f>AE12*Inputs!$C$52</f>
        <v>125.82186413335506</v>
      </c>
      <c r="AF46" s="14">
        <f>AF12*Inputs!$C$52</f>
        <v>125.79786998921543</v>
      </c>
      <c r="AG46" s="14">
        <f>AG12*Inputs!$C$52</f>
        <v>125.77211565689569</v>
      </c>
      <c r="AH46" s="14">
        <f>AH12*Inputs!$C$52</f>
        <v>125.74663924902539</v>
      </c>
    </row>
    <row r="47" spans="1:36" ht="15">
      <c r="A47" s="8" t="s">
        <v>347</v>
      </c>
      <c r="B47" s="34">
        <v>1</v>
      </c>
      <c r="C47" s="331">
        <f>C13*Inputs!$C$54</f>
        <v>0</v>
      </c>
      <c r="D47" s="331">
        <f>D13*Inputs!$C$54</f>
        <v>0</v>
      </c>
      <c r="E47" s="331">
        <f>E13*Inputs!$C$54</f>
        <v>49.96987</v>
      </c>
      <c r="F47" s="331">
        <f>F13*Inputs!$C$54</f>
        <v>86.264839999999992</v>
      </c>
      <c r="G47" s="331">
        <f>G13*Inputs!$C$54</f>
        <v>160.87007000000003</v>
      </c>
      <c r="H47" s="14">
        <f>H13*Inputs!$C$54</f>
        <v>272.60530000000006</v>
      </c>
      <c r="I47" s="14">
        <f>I13*Inputs!$C$54</f>
        <v>484.31898000000001</v>
      </c>
      <c r="J47" s="14">
        <f>J13*Inputs!$C$54</f>
        <v>743.10086000000001</v>
      </c>
      <c r="K47" s="14">
        <f>K13*Inputs!$C$54</f>
        <v>745.80345</v>
      </c>
      <c r="L47" s="14">
        <f>L13*Inputs!$C$54</f>
        <v>751.60521000000006</v>
      </c>
      <c r="M47" s="14">
        <f>M13*Inputs!$C$54</f>
        <v>764.41111000000001</v>
      </c>
      <c r="N47" s="190">
        <f>N13*Inputs!$C$54</f>
        <v>794.83401000000003</v>
      </c>
      <c r="O47" s="14">
        <f>O13*Inputs!$C$54</f>
        <v>833.62063999999998</v>
      </c>
      <c r="P47" s="14">
        <f>P13*Inputs!$C$54</f>
        <v>878.41759000000013</v>
      </c>
      <c r="Q47" s="14">
        <f>Q13*Inputs!$C$54</f>
        <v>932.94734000000017</v>
      </c>
      <c r="R47" s="14">
        <f>R13*Inputs!$C$54</f>
        <v>1004.6856600000001</v>
      </c>
      <c r="S47" s="14">
        <f>S13*Inputs!$C$54</f>
        <v>1105.8325200000002</v>
      </c>
      <c r="T47" s="14">
        <f>T13*Inputs!$C$54</f>
        <v>1226.8628900000001</v>
      </c>
      <c r="U47" s="14">
        <f>U13*Inputs!$C$54</f>
        <v>1374.5328500000001</v>
      </c>
      <c r="V47" s="14">
        <f>V13*Inputs!$C$54</f>
        <v>1562.3229600000002</v>
      </c>
      <c r="W47" s="14">
        <f>W13*Inputs!$C$54</f>
        <v>1770.3339100000001</v>
      </c>
      <c r="X47" s="187">
        <f>X13*Inputs!$C$54</f>
        <v>1998.68578</v>
      </c>
      <c r="Y47" s="14">
        <f>Y13*Inputs!$C$54</f>
        <v>2239.5844299999999</v>
      </c>
      <c r="Z47" s="14">
        <f>Z13*Inputs!$C$54</f>
        <v>2486.8180899999998</v>
      </c>
      <c r="AA47" s="14">
        <f>AA13*Inputs!$C$54</f>
        <v>2742.3823000000002</v>
      </c>
      <c r="AB47" s="14">
        <f>AB13*Inputs!$C$54</f>
        <v>3011.3749299999999</v>
      </c>
      <c r="AC47" s="14">
        <f>AC13*Inputs!$C$54</f>
        <v>3292.6109800000004</v>
      </c>
      <c r="AD47" s="14">
        <f>AD13*Inputs!$C$54</f>
        <v>3583.4321</v>
      </c>
      <c r="AE47" s="14">
        <f>AE13*Inputs!$C$54</f>
        <v>3881.7779699999996</v>
      </c>
      <c r="AF47" s="14">
        <f>AF13*Inputs!$C$54</f>
        <v>4182.5246500000003</v>
      </c>
      <c r="AG47" s="14">
        <f>AG13*Inputs!$C$54</f>
        <v>4487.70165</v>
      </c>
      <c r="AH47" s="14">
        <f>AH13*Inputs!$C$54</f>
        <v>4799.65211</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3404.42</v>
      </c>
      <c r="D50" s="331">
        <f>D16*Inputs!$C$57</f>
        <v>4462.67</v>
      </c>
      <c r="E50" s="331">
        <f>E16*Inputs!$C$57</f>
        <v>4639.0865990000002</v>
      </c>
      <c r="F50" s="331">
        <f>F16*Inputs!$C$57</f>
        <v>5189.1048369999999</v>
      </c>
      <c r="G50" s="331">
        <f>G16*Inputs!$C$57</f>
        <v>5566.9268619999993</v>
      </c>
      <c r="H50" s="14">
        <f>H16*Inputs!$C$57</f>
        <v>5597.8496070000001</v>
      </c>
      <c r="I50" s="14">
        <f>I16*Inputs!$C$57</f>
        <v>7065.3815260000001</v>
      </c>
      <c r="J50" s="14">
        <f>J16*Inputs!$C$57</f>
        <v>8018.2961599999999</v>
      </c>
      <c r="K50" s="14">
        <f>K16*Inputs!$C$57</f>
        <v>8018.3354299999992</v>
      </c>
      <c r="L50" s="14">
        <f>L16*Inputs!$C$57</f>
        <v>8017.1673259999989</v>
      </c>
      <c r="M50" s="14">
        <f>M16*Inputs!$C$57</f>
        <v>8018.6516129999982</v>
      </c>
      <c r="N50" s="190">
        <f>N16*Inputs!$C$57</f>
        <v>8019.1113099999993</v>
      </c>
      <c r="O50" s="14">
        <f>O16*Inputs!$C$57</f>
        <v>8019.8691019999987</v>
      </c>
      <c r="P50" s="14">
        <f>P16*Inputs!$C$57</f>
        <v>8023.1124469999995</v>
      </c>
      <c r="Q50" s="14">
        <f>Q16*Inputs!$C$57</f>
        <v>8022.2325609999998</v>
      </c>
      <c r="R50" s="14">
        <f>R16*Inputs!$C$57</f>
        <v>8021.759297999999</v>
      </c>
      <c r="S50" s="14">
        <f>S16*Inputs!$C$57</f>
        <v>8021.3331589999998</v>
      </c>
      <c r="T50" s="14">
        <f>T16*Inputs!$C$57</f>
        <v>8022.3904740000007</v>
      </c>
      <c r="U50" s="14">
        <f>U16*Inputs!$C$57</f>
        <v>8024.314108999999</v>
      </c>
      <c r="V50" s="14">
        <f>V16*Inputs!$C$57</f>
        <v>8024.0298179999991</v>
      </c>
      <c r="W50" s="14">
        <f>W16*Inputs!$C$57</f>
        <v>8032.5722329999999</v>
      </c>
      <c r="X50" s="187">
        <f>X16*Inputs!$C$57</f>
        <v>8043.6702919999998</v>
      </c>
      <c r="Y50" s="14">
        <f>Y16*Inputs!$C$57</f>
        <v>8055.4528389999996</v>
      </c>
      <c r="Z50" s="14">
        <f>Z16*Inputs!$C$57</f>
        <v>8068.5186819999999</v>
      </c>
      <c r="AA50" s="14">
        <f>AA16*Inputs!$C$57</f>
        <v>8083.9432240000015</v>
      </c>
      <c r="AB50" s="14">
        <f>AB16*Inputs!$C$57</f>
        <v>8110.6988270000002</v>
      </c>
      <c r="AC50" s="14">
        <f>AC16*Inputs!$C$57</f>
        <v>8123.3641160000006</v>
      </c>
      <c r="AD50" s="14">
        <f>AD16*Inputs!$C$57</f>
        <v>8123.9470970000002</v>
      </c>
      <c r="AE50" s="14">
        <f>AE16*Inputs!$C$57</f>
        <v>8161.1945729999998</v>
      </c>
      <c r="AF50" s="14">
        <f>AF16*Inputs!$C$57</f>
        <v>8188.8470789999992</v>
      </c>
      <c r="AG50" s="14">
        <f>AG16*Inputs!$C$57</f>
        <v>8235.8586240000004</v>
      </c>
      <c r="AH50" s="14">
        <f>AH16*Inputs!$C$57</f>
        <v>8313.4198489999999</v>
      </c>
    </row>
    <row r="51" spans="1:34" s="20" customFormat="1" ht="15">
      <c r="A51" s="8" t="s">
        <v>128</v>
      </c>
      <c r="B51" s="38"/>
      <c r="C51" s="334">
        <f t="shared" ref="C51:AH51" si="21">SUMPRODUCT($B42:$B50,C42:C50)</f>
        <v>3600.4126999999999</v>
      </c>
      <c r="D51" s="334">
        <f t="shared" si="21"/>
        <v>4719.0227000000004</v>
      </c>
      <c r="E51" s="334">
        <f t="shared" si="21"/>
        <v>5003.8093026762499</v>
      </c>
      <c r="F51" s="334">
        <f t="shared" si="21"/>
        <v>5587.9746633623627</v>
      </c>
      <c r="G51" s="334">
        <f t="shared" si="21"/>
        <v>6036.2440297992671</v>
      </c>
      <c r="H51" s="19">
        <f t="shared" si="21"/>
        <v>6192.7329358750712</v>
      </c>
      <c r="I51" s="19">
        <f t="shared" si="21"/>
        <v>7870.1617408797847</v>
      </c>
      <c r="J51" s="19">
        <f t="shared" si="21"/>
        <v>9111.9652435233729</v>
      </c>
      <c r="K51" s="19">
        <f t="shared" si="21"/>
        <v>9134.9780148258851</v>
      </c>
      <c r="L51" s="19">
        <f t="shared" si="21"/>
        <v>9150.805394533676</v>
      </c>
      <c r="M51" s="19">
        <f t="shared" si="21"/>
        <v>9174.7777016197269</v>
      </c>
      <c r="N51" s="190">
        <f t="shared" si="21"/>
        <v>9218.9634298782767</v>
      </c>
      <c r="O51" s="19">
        <f t="shared" si="21"/>
        <v>9279.0743095999424</v>
      </c>
      <c r="P51" s="19">
        <f t="shared" si="21"/>
        <v>9341.8583765426574</v>
      </c>
      <c r="Q51" s="19">
        <f t="shared" si="21"/>
        <v>9434.7425711052074</v>
      </c>
      <c r="R51" s="19">
        <f t="shared" si="21"/>
        <v>9521.59823181498</v>
      </c>
      <c r="S51" s="19">
        <f t="shared" si="21"/>
        <v>9671.5086131939297</v>
      </c>
      <c r="T51" s="19">
        <f t="shared" si="21"/>
        <v>9805.7245972260789</v>
      </c>
      <c r="U51" s="19">
        <f t="shared" si="21"/>
        <v>9966.2619833639819</v>
      </c>
      <c r="V51" s="19">
        <f t="shared" si="21"/>
        <v>10162.773767760133</v>
      </c>
      <c r="W51" s="19">
        <f t="shared" si="21"/>
        <v>10434.019940540944</v>
      </c>
      <c r="X51" s="182">
        <f t="shared" si="21"/>
        <v>10681.726137698326</v>
      </c>
      <c r="Y51" s="19">
        <f t="shared" si="21"/>
        <v>10941.316345246309</v>
      </c>
      <c r="Z51" s="19">
        <f t="shared" si="21"/>
        <v>11207.595165272223</v>
      </c>
      <c r="AA51" s="19">
        <f t="shared" si="21"/>
        <v>11486.66534275505</v>
      </c>
      <c r="AB51" s="19">
        <f t="shared" si="21"/>
        <v>11792.073393036724</v>
      </c>
      <c r="AC51" s="19">
        <f t="shared" si="21"/>
        <v>12092.804650893289</v>
      </c>
      <c r="AD51" s="19">
        <f t="shared" si="21"/>
        <v>12393.731685542378</v>
      </c>
      <c r="AE51" s="19">
        <f t="shared" si="21"/>
        <v>12741.981272337645</v>
      </c>
      <c r="AF51" s="19">
        <f t="shared" si="21"/>
        <v>13082.23663476313</v>
      </c>
      <c r="AG51" s="19">
        <f t="shared" si="21"/>
        <v>13446.773883189371</v>
      </c>
      <c r="AH51" s="19">
        <f t="shared" si="21"/>
        <v>13847.398487624951</v>
      </c>
    </row>
    <row r="52" spans="1:34" s="20" customFormat="1" ht="15">
      <c r="A52" s="27" t="s">
        <v>329</v>
      </c>
      <c r="B52" s="39"/>
      <c r="C52" s="334">
        <f>SUM(C40:C50)</f>
        <v>9564.4812000000002</v>
      </c>
      <c r="D52" s="334">
        <f t="shared" ref="D52:I52" si="22">SUM(D42:D50)</f>
        <v>10695.2212</v>
      </c>
      <c r="E52" s="334">
        <f t="shared" si="22"/>
        <v>11085.59145799997</v>
      </c>
      <c r="F52" s="334">
        <f t="shared" si="22"/>
        <v>11574.339737935717</v>
      </c>
      <c r="G52" s="334">
        <f t="shared" si="22"/>
        <v>11978.46323492125</v>
      </c>
      <c r="H52" s="19">
        <f t="shared" si="22"/>
        <v>12157.412028532335</v>
      </c>
      <c r="I52" s="19">
        <f t="shared" si="22"/>
        <v>14057.239837530196</v>
      </c>
      <c r="J52" s="19">
        <f t="shared" ref="J52:AH52" si="23">SUM(J42:J50)</f>
        <v>15555.229062806797</v>
      </c>
      <c r="K52" s="19">
        <f t="shared" si="23"/>
        <v>15826.027595668089</v>
      </c>
      <c r="L52" s="19">
        <f t="shared" si="23"/>
        <v>16032.0395661445</v>
      </c>
      <c r="M52" s="19">
        <f t="shared" si="23"/>
        <v>16089.238767737224</v>
      </c>
      <c r="N52" s="190">
        <f t="shared" si="23"/>
        <v>16133.42459865928</v>
      </c>
      <c r="O52" s="19">
        <f t="shared" si="23"/>
        <v>16193.535537689149</v>
      </c>
      <c r="P52" s="19">
        <f t="shared" si="23"/>
        <v>16256.319376011581</v>
      </c>
      <c r="Q52" s="19">
        <f t="shared" si="23"/>
        <v>16350.563400226984</v>
      </c>
      <c r="R52" s="19">
        <f t="shared" si="23"/>
        <v>16437.41879517569</v>
      </c>
      <c r="S52" s="19">
        <f t="shared" si="23"/>
        <v>16587.342772563621</v>
      </c>
      <c r="T52" s="19">
        <f t="shared" si="23"/>
        <v>16722.062128031612</v>
      </c>
      <c r="U52" s="19">
        <f t="shared" si="23"/>
        <v>16882.909724457153</v>
      </c>
      <c r="V52" s="19">
        <f t="shared" si="23"/>
        <v>17081.178015212543</v>
      </c>
      <c r="W52" s="19">
        <f t="shared" si="23"/>
        <v>17354.140100431439</v>
      </c>
      <c r="X52" s="182">
        <f t="shared" si="23"/>
        <v>17603.760739150362</v>
      </c>
      <c r="Y52" s="19">
        <f t="shared" si="23"/>
        <v>17863.350981294796</v>
      </c>
      <c r="Z52" s="19">
        <f t="shared" si="23"/>
        <v>18130.740358593124</v>
      </c>
      <c r="AA52" s="19">
        <f t="shared" si="23"/>
        <v>18409.810451346759</v>
      </c>
      <c r="AB52" s="19">
        <f t="shared" si="23"/>
        <v>18715.218585085462</v>
      </c>
      <c r="AC52" s="19">
        <f t="shared" si="23"/>
        <v>19017.003895595466</v>
      </c>
      <c r="AD52" s="19">
        <f t="shared" si="23"/>
        <v>19318.66093021298</v>
      </c>
      <c r="AE52" s="19">
        <f t="shared" si="23"/>
        <v>19666.910615855253</v>
      </c>
      <c r="AF52" s="19">
        <f t="shared" si="23"/>
        <v>20007.828297703963</v>
      </c>
      <c r="AG52" s="19">
        <f t="shared" si="23"/>
        <v>20372.365429911817</v>
      </c>
      <c r="AH52" s="19">
        <f t="shared" si="23"/>
        <v>20772.99005905915</v>
      </c>
    </row>
    <row r="53" spans="1:34" s="20" customFormat="1" ht="15">
      <c r="A53" s="27" t="s">
        <v>330</v>
      </c>
      <c r="B53" s="39"/>
      <c r="C53" s="334">
        <f>C20*Inputs!$C$60</f>
        <v>15301.77</v>
      </c>
      <c r="D53" s="334">
        <f>D20*Inputs!$C$60</f>
        <v>16519.03</v>
      </c>
      <c r="E53" s="334">
        <f>E20*Inputs!$C$60</f>
        <v>15643.845977980798</v>
      </c>
      <c r="F53" s="334">
        <f>F20*Inputs!$C$60</f>
        <v>13477.080324208546</v>
      </c>
      <c r="G53" s="334">
        <f>G20*Inputs!$C$60</f>
        <v>14410.874613506217</v>
      </c>
      <c r="H53" s="19">
        <f>H20*Inputs!$C$60</f>
        <v>14844.771957948255</v>
      </c>
      <c r="I53" s="19">
        <f>I20*Inputs!$C$60</f>
        <v>14068.077531345481</v>
      </c>
      <c r="J53" s="19">
        <f>J20*Inputs!$C$60</f>
        <v>13516.70653480598</v>
      </c>
      <c r="K53" s="19">
        <f>K20*Inputs!$C$60</f>
        <v>14229.438630495601</v>
      </c>
      <c r="L53" s="19">
        <f>L20*Inputs!$C$60</f>
        <v>14486.049929503068</v>
      </c>
      <c r="M53" s="19">
        <f>M20*Inputs!$C$60</f>
        <v>14618.413054119641</v>
      </c>
      <c r="N53" s="190">
        <f>N20*Inputs!$C$60</f>
        <v>14581.031498787768</v>
      </c>
      <c r="O53" s="19">
        <f>O20*Inputs!$C$60</f>
        <v>14703.186793922088</v>
      </c>
      <c r="P53" s="19">
        <f>P20*Inputs!$C$60</f>
        <v>14817.204095967931</v>
      </c>
      <c r="Q53" s="19">
        <f>Q20*Inputs!$C$60</f>
        <v>14823.56368799729</v>
      </c>
      <c r="R53" s="19">
        <f>R20*Inputs!$C$60</f>
        <v>15015.372213307306</v>
      </c>
      <c r="S53" s="19">
        <f>S20*Inputs!$C$60</f>
        <v>15162.930267267073</v>
      </c>
      <c r="T53" s="19">
        <f>T20*Inputs!$C$60</f>
        <v>15152.186684611032</v>
      </c>
      <c r="U53" s="19">
        <f>U20*Inputs!$C$60</f>
        <v>15155.367287522744</v>
      </c>
      <c r="V53" s="19">
        <f>V20*Inputs!$C$60</f>
        <v>15153.217052437771</v>
      </c>
      <c r="W53" s="19">
        <f>W20*Inputs!$C$60</f>
        <v>15097.288109010946</v>
      </c>
      <c r="X53" s="182">
        <f>X20*Inputs!$C$60</f>
        <v>15109.666253409237</v>
      </c>
      <c r="Y53" s="19">
        <f>Y20*Inputs!$C$60</f>
        <v>15102.957605660413</v>
      </c>
      <c r="Z53" s="19">
        <f>Z20*Inputs!$C$60</f>
        <v>15097.920054893231</v>
      </c>
      <c r="AA53" s="19">
        <f>AA20*Inputs!$C$60</f>
        <v>15082.777454806757</v>
      </c>
      <c r="AB53" s="19">
        <f>AB20*Inputs!$C$60</f>
        <v>15070.360843907321</v>
      </c>
      <c r="AC53" s="19">
        <f>AC20*Inputs!$C$60</f>
        <v>15056.860001497284</v>
      </c>
      <c r="AD53" s="19">
        <f>AD20*Inputs!$C$60</f>
        <v>15043.462944564541</v>
      </c>
      <c r="AE53" s="19">
        <f>AE20*Inputs!$C$60</f>
        <v>15030.909558004225</v>
      </c>
      <c r="AF53" s="19">
        <f>AF20*Inputs!$C$60</f>
        <v>15018.24108940816</v>
      </c>
      <c r="AG53" s="19">
        <f>AG20*Inputs!$C$60</f>
        <v>15018.121880292509</v>
      </c>
      <c r="AH53" s="19">
        <f>AH20*Inputs!$C$60</f>
        <v>15017.925870452769</v>
      </c>
    </row>
    <row r="54" spans="1:34" s="20" customFormat="1" ht="15">
      <c r="A54" s="27" t="s">
        <v>222</v>
      </c>
      <c r="B54" s="39"/>
      <c r="C54" s="334">
        <f>C21*Inputs!$C$61</f>
        <v>20797.259999999998</v>
      </c>
      <c r="D54" s="334">
        <f>D21*Inputs!$C$61</f>
        <v>20557.02</v>
      </c>
      <c r="E54" s="334">
        <f>E21*Inputs!$C$61</f>
        <v>21789.223079030151</v>
      </c>
      <c r="F54" s="334">
        <f>F21*Inputs!$C$61</f>
        <v>25905.924777457571</v>
      </c>
      <c r="G54" s="334">
        <f>G21*Inputs!$C$61</f>
        <v>23126.654859239112</v>
      </c>
      <c r="H54" s="19">
        <f>H21*Inputs!$C$61</f>
        <v>22042.509264945467</v>
      </c>
      <c r="I54" s="19">
        <f>I21*Inputs!$C$61</f>
        <v>23781.569141131447</v>
      </c>
      <c r="J54" s="19">
        <f>J21*Inputs!$C$61</f>
        <v>25951.0876905115</v>
      </c>
      <c r="K54" s="19">
        <f>K21*Inputs!$C$61</f>
        <v>24787.73524692827</v>
      </c>
      <c r="L54" s="19">
        <f>L21*Inputs!$C$61</f>
        <v>24487.913923500517</v>
      </c>
      <c r="M54" s="19">
        <f>M21*Inputs!$C$61</f>
        <v>24891.579371241765</v>
      </c>
      <c r="N54" s="190">
        <f>N21*Inputs!$C$61</f>
        <v>25647.591433118119</v>
      </c>
      <c r="O54" s="19">
        <f>O21*Inputs!$C$61</f>
        <v>26036.817358048818</v>
      </c>
      <c r="P54" s="19">
        <f>P21*Inputs!$C$61</f>
        <v>26583.833661636134</v>
      </c>
      <c r="Q54" s="19">
        <f>Q21*Inputs!$C$61</f>
        <v>27602.247056204866</v>
      </c>
      <c r="R54" s="19">
        <f>R21*Inputs!$C$61</f>
        <v>28229.417265450626</v>
      </c>
      <c r="S54" s="19">
        <f>S21*Inputs!$C$61</f>
        <v>28569.997267410909</v>
      </c>
      <c r="T54" s="19">
        <f>T21*Inputs!$C$61</f>
        <v>29032.713856767165</v>
      </c>
      <c r="U54" s="19">
        <f>U21*Inputs!$C$61</f>
        <v>29484.537240005153</v>
      </c>
      <c r="V54" s="19">
        <f>V21*Inputs!$C$61</f>
        <v>30012.315161388608</v>
      </c>
      <c r="W54" s="19">
        <f>W21*Inputs!$C$61</f>
        <v>30258.970382237298</v>
      </c>
      <c r="X54" s="182">
        <f>X21*Inputs!$C$61</f>
        <v>30729.743665904385</v>
      </c>
      <c r="Y54" s="19">
        <f>Y21*Inputs!$C$61</f>
        <v>30931.885504468144</v>
      </c>
      <c r="Z54" s="19">
        <f>Z21*Inputs!$C$61</f>
        <v>31270.749020914511</v>
      </c>
      <c r="AA54" s="19">
        <f>AA21*Inputs!$C$61</f>
        <v>31515.354001194326</v>
      </c>
      <c r="AB54" s="19">
        <f>AB21*Inputs!$C$61</f>
        <v>31854.163308844643</v>
      </c>
      <c r="AC54" s="19">
        <f>AC21*Inputs!$C$61</f>
        <v>32389.454428557823</v>
      </c>
      <c r="AD54" s="19">
        <f>AD21*Inputs!$C$61</f>
        <v>32867.941607655674</v>
      </c>
      <c r="AE54" s="19">
        <f>AE21*Inputs!$C$61</f>
        <v>33626.509660296979</v>
      </c>
      <c r="AF54" s="19">
        <f>AF21*Inputs!$C$61</f>
        <v>34467.387406561706</v>
      </c>
      <c r="AG54" s="19">
        <f>AG21*Inputs!$C$61</f>
        <v>35119.355621807059</v>
      </c>
      <c r="AH54" s="19">
        <f>AH21*Inputs!$C$61</f>
        <v>35626.400655347847</v>
      </c>
    </row>
    <row r="55" spans="1:34" s="20" customFormat="1" ht="15">
      <c r="A55" s="27" t="s">
        <v>58</v>
      </c>
      <c r="B55" s="39"/>
      <c r="C55" s="334">
        <f>SUM(C52:C54)</f>
        <v>45663.511199999994</v>
      </c>
      <c r="D55" s="334">
        <f t="shared" ref="D55:AH55" si="24">SUM(D52:D54)</f>
        <v>47771.271200000003</v>
      </c>
      <c r="E55" s="334">
        <f t="shared" si="24"/>
        <v>48518.660515010924</v>
      </c>
      <c r="F55" s="334">
        <f t="shared" si="24"/>
        <v>50957.344839601836</v>
      </c>
      <c r="G55" s="334">
        <f t="shared" si="24"/>
        <v>49515.992707666577</v>
      </c>
      <c r="H55" s="19">
        <f t="shared" si="24"/>
        <v>49044.693251426055</v>
      </c>
      <c r="I55" s="19">
        <f t="shared" si="24"/>
        <v>51906.886510007127</v>
      </c>
      <c r="J55" s="19">
        <f t="shared" si="24"/>
        <v>55023.023288124277</v>
      </c>
      <c r="K55" s="19">
        <f t="shared" si="24"/>
        <v>54843.201473091962</v>
      </c>
      <c r="L55" s="19">
        <f t="shared" si="24"/>
        <v>55006.003419148081</v>
      </c>
      <c r="M55" s="19">
        <f t="shared" si="24"/>
        <v>55599.231193098633</v>
      </c>
      <c r="N55" s="190">
        <f t="shared" si="24"/>
        <v>56362.047530565163</v>
      </c>
      <c r="O55" s="19">
        <f t="shared" si="24"/>
        <v>56933.539689660058</v>
      </c>
      <c r="P55" s="19">
        <f t="shared" si="24"/>
        <v>57657.357133615646</v>
      </c>
      <c r="Q55" s="19">
        <f t="shared" si="24"/>
        <v>58776.374144429137</v>
      </c>
      <c r="R55" s="19">
        <f t="shared" si="24"/>
        <v>59682.208273933618</v>
      </c>
      <c r="S55" s="19">
        <f t="shared" si="24"/>
        <v>60320.270307241604</v>
      </c>
      <c r="T55" s="19">
        <f t="shared" si="24"/>
        <v>60906.962669409811</v>
      </c>
      <c r="U55" s="19">
        <f t="shared" si="24"/>
        <v>61522.814251985052</v>
      </c>
      <c r="V55" s="19">
        <f t="shared" si="24"/>
        <v>62246.710229038923</v>
      </c>
      <c r="W55" s="19">
        <f t="shared" si="24"/>
        <v>62710.398591679681</v>
      </c>
      <c r="X55" s="182">
        <f t="shared" si="24"/>
        <v>63443.170658463991</v>
      </c>
      <c r="Y55" s="19">
        <f t="shared" si="24"/>
        <v>63898.194091423356</v>
      </c>
      <c r="Z55" s="19">
        <f t="shared" si="24"/>
        <v>64499.40943440087</v>
      </c>
      <c r="AA55" s="19">
        <f t="shared" si="24"/>
        <v>65007.941907347842</v>
      </c>
      <c r="AB55" s="19">
        <f t="shared" si="24"/>
        <v>65639.742737837427</v>
      </c>
      <c r="AC55" s="19">
        <f t="shared" si="24"/>
        <v>66463.318325650573</v>
      </c>
      <c r="AD55" s="19">
        <f t="shared" si="24"/>
        <v>67230.065482433187</v>
      </c>
      <c r="AE55" s="19">
        <f t="shared" si="24"/>
        <v>68324.329834156466</v>
      </c>
      <c r="AF55" s="19">
        <f t="shared" si="24"/>
        <v>69493.456793673831</v>
      </c>
      <c r="AG55" s="19">
        <f t="shared" si="24"/>
        <v>70509.842932011379</v>
      </c>
      <c r="AH55" s="19">
        <f t="shared" si="24"/>
        <v>71417.316584859771</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138.91365000000002</v>
      </c>
      <c r="D60" s="331">
        <f>D42*Inputs!$H48</f>
        <v>170.36865</v>
      </c>
      <c r="E60" s="331">
        <f>E42*Inputs!$H48</f>
        <v>199.46188064310363</v>
      </c>
      <c r="F60" s="331">
        <f>F42*Inputs!$H48</f>
        <v>162.28355897410015</v>
      </c>
      <c r="G60" s="331">
        <f>G42*Inputs!$H48</f>
        <v>205.99998292423311</v>
      </c>
      <c r="H60" s="14">
        <f>H42*Inputs!$H48</f>
        <v>210.95348861709826</v>
      </c>
      <c r="I60" s="14">
        <f>I42*Inputs!$H48</f>
        <v>215.32560785006984</v>
      </c>
      <c r="J60" s="14">
        <f>J42*Inputs!$H48</f>
        <v>219.10329874913933</v>
      </c>
      <c r="K60" s="14">
        <f>K42*Inputs!$H48</f>
        <v>221.66652962883813</v>
      </c>
      <c r="L60" s="14">
        <f>L42*Inputs!$H48</f>
        <v>221.66641842595607</v>
      </c>
      <c r="M60" s="14">
        <f>M42*Inputs!$H48</f>
        <v>221.66647625145472</v>
      </c>
      <c r="N60" s="190">
        <f>N42*Inputs!$H48</f>
        <v>221.66641842595607</v>
      </c>
      <c r="O60" s="14">
        <f>O42*Inputs!$H48</f>
        <v>221.66647180333948</v>
      </c>
      <c r="P60" s="14">
        <f>P42*Inputs!$H48</f>
        <v>221.66631611930453</v>
      </c>
      <c r="Q60" s="14">
        <f>Q42*Inputs!$H48</f>
        <v>222.89011273265339</v>
      </c>
      <c r="R60" s="14">
        <f>R42*Inputs!$H48</f>
        <v>222.89002377034774</v>
      </c>
      <c r="S60" s="14">
        <f>S42*Inputs!$H48</f>
        <v>222.89011718076864</v>
      </c>
      <c r="T60" s="14">
        <f>T42*Inputs!$H48</f>
        <v>223.35519432225348</v>
      </c>
      <c r="U60" s="14">
        <f>U42*Inputs!$H48</f>
        <v>223.63443365534764</v>
      </c>
      <c r="V60" s="14">
        <f>V42*Inputs!$H48</f>
        <v>225.21528937865935</v>
      </c>
      <c r="W60" s="14">
        <f>W42*Inputs!$H48</f>
        <v>226.7595104245037</v>
      </c>
      <c r="X60" s="187">
        <f>X42*Inputs!$H48</f>
        <v>228.48260797832145</v>
      </c>
      <c r="Y60" s="14">
        <f>Y42*Inputs!$H48</f>
        <v>228.48263911512848</v>
      </c>
      <c r="Z60" s="14">
        <f>Z42*Inputs!$H48</f>
        <v>229.48209058608541</v>
      </c>
      <c r="AA60" s="14">
        <f>AA42*Inputs!$H48</f>
        <v>229.48213951535354</v>
      </c>
      <c r="AB60" s="14">
        <f>AB42*Inputs!$H48</f>
        <v>229.48213951535354</v>
      </c>
      <c r="AC60" s="14">
        <f>AC42*Inputs!$H48</f>
        <v>230.43068675501661</v>
      </c>
      <c r="AD60" s="14">
        <f>AD42*Inputs!$H48</f>
        <v>231.08768672659872</v>
      </c>
      <c r="AE60" s="14">
        <f>AE42*Inputs!$H48</f>
        <v>231.0877756889044</v>
      </c>
      <c r="AF60" s="14">
        <f>AF42*Inputs!$H48</f>
        <v>231.68386316980684</v>
      </c>
      <c r="AG60" s="14">
        <f>AG42*Inputs!$H48</f>
        <v>231.68385872169156</v>
      </c>
      <c r="AH60" s="14">
        <f>AH42*Inputs!$H48</f>
        <v>231.68388096226803</v>
      </c>
    </row>
    <row r="61" spans="1:34" ht="15">
      <c r="A61" s="8" t="s">
        <v>59</v>
      </c>
      <c r="B61" s="34">
        <v>0</v>
      </c>
      <c r="C61" s="331">
        <f>C43*Inputs!$H53</f>
        <v>5228.7480000000005</v>
      </c>
      <c r="D61" s="331">
        <f>D43*Inputs!$H53</f>
        <v>5208.2100000000009</v>
      </c>
      <c r="E61" s="331">
        <f>E43*Inputs!$H53</f>
        <v>5274.1420591482465</v>
      </c>
      <c r="F61" s="331">
        <f>F43*Inputs!$H53</f>
        <v>5225.4450081419191</v>
      </c>
      <c r="G61" s="331">
        <f>G43*Inputs!$H53</f>
        <v>5141.997301685552</v>
      </c>
      <c r="H61" s="14">
        <f>H43*Inputs!$H53</f>
        <v>5157.2576947744383</v>
      </c>
      <c r="I61" s="14">
        <f>I43*Inputs!$H53</f>
        <v>5353.0446791353006</v>
      </c>
      <c r="J61" s="14">
        <f>J43*Inputs!$H53</f>
        <v>5579.8341386059419</v>
      </c>
      <c r="K61" s="14">
        <f>K43*Inputs!$H53</f>
        <v>5800.2780931291436</v>
      </c>
      <c r="L61" s="14">
        <f>L43*Inputs!$H53</f>
        <v>5971.4443360237847</v>
      </c>
      <c r="M61" s="14">
        <f>M43*Inputs!$H53</f>
        <v>6001.3484832542936</v>
      </c>
      <c r="N61" s="190">
        <f>N43*Inputs!$H53</f>
        <v>6001.348633476945</v>
      </c>
      <c r="O61" s="14">
        <f>O43*Inputs!$H53</f>
        <v>6001.348633476945</v>
      </c>
      <c r="P61" s="14">
        <f>P43*Inputs!$H53</f>
        <v>6001.3485834027269</v>
      </c>
      <c r="Q61" s="14">
        <f>Q43*Inputs!$H53</f>
        <v>6001.348633476945</v>
      </c>
      <c r="R61" s="14">
        <f>R43*Inputs!$H53</f>
        <v>6001.3484832542936</v>
      </c>
      <c r="S61" s="14">
        <f>S43*Inputs!$H53</f>
        <v>6001.3606262519543</v>
      </c>
      <c r="T61" s="14">
        <f>T43*Inputs!$H53</f>
        <v>6001.3485834027269</v>
      </c>
      <c r="U61" s="14">
        <f>U43*Inputs!$H53</f>
        <v>6001.3485333285107</v>
      </c>
      <c r="V61" s="14">
        <f>V43*Inputs!$H53</f>
        <v>6001.3485333285107</v>
      </c>
      <c r="W61" s="14">
        <f>W43*Inputs!$H53</f>
        <v>6001.348633476945</v>
      </c>
      <c r="X61" s="187">
        <f>X43*Inputs!$H53</f>
        <v>6001.3485333285107</v>
      </c>
      <c r="Y61" s="14">
        <f>Y43*Inputs!$H53</f>
        <v>6001.3485333285107</v>
      </c>
      <c r="Z61" s="14">
        <f>Z43*Inputs!$H53</f>
        <v>6001.3485834027269</v>
      </c>
      <c r="AA61" s="14">
        <f>AA43*Inputs!$H53</f>
        <v>6001.3484582171841</v>
      </c>
      <c r="AB61" s="14">
        <f>AB43*Inputs!$H53</f>
        <v>6001.3485333285107</v>
      </c>
      <c r="AC61" s="14">
        <f>AC43*Inputs!$H53</f>
        <v>6001.348633476945</v>
      </c>
      <c r="AD61" s="14">
        <f>AD43*Inputs!$H53</f>
        <v>6001.348633476945</v>
      </c>
      <c r="AE61" s="14">
        <f>AE43*Inputs!$H53</f>
        <v>6001.348633476945</v>
      </c>
      <c r="AF61" s="14">
        <f>AF43*Inputs!$H53</f>
        <v>6001.348633476945</v>
      </c>
      <c r="AG61" s="14">
        <f>AG43*Inputs!$H53</f>
        <v>6001.3485333285107</v>
      </c>
      <c r="AH61" s="14">
        <f>AH43*Inputs!$H53</f>
        <v>6001.3485333285107</v>
      </c>
    </row>
    <row r="62" spans="1:34" ht="15">
      <c r="A62" s="8" t="s">
        <v>121</v>
      </c>
      <c r="B62" s="34">
        <v>1</v>
      </c>
      <c r="C62" s="331">
        <f>C44*Inputs!$H46</f>
        <v>122.661</v>
      </c>
      <c r="D62" s="331">
        <f>D44*Inputs!$H46</f>
        <v>170.1</v>
      </c>
      <c r="E62" s="331">
        <f>E44*Inputs!$H46</f>
        <v>171.57371001100915</v>
      </c>
      <c r="F62" s="331">
        <f>F44*Inputs!$H46</f>
        <v>165.68187871757723</v>
      </c>
      <c r="G62" s="331">
        <f>G44*Inputs!$H46</f>
        <v>183.51946178845162</v>
      </c>
      <c r="H62" s="14">
        <f>H44*Inputs!$H46</f>
        <v>188.81652597475883</v>
      </c>
      <c r="I62" s="14">
        <f>I44*Inputs!$H46</f>
        <v>195.74893566065708</v>
      </c>
      <c r="J62" s="14">
        <f>J44*Inputs!$H46</f>
        <v>207.11385731499368</v>
      </c>
      <c r="K62" s="14">
        <f>K44*Inputs!$H46</f>
        <v>224.61345130308436</v>
      </c>
      <c r="L62" s="14">
        <f>L44*Inputs!$H46</f>
        <v>234.66849162334469</v>
      </c>
      <c r="M62" s="14">
        <f>M44*Inputs!$H46</f>
        <v>244.0984111414673</v>
      </c>
      <c r="N62" s="190">
        <f>N44*Inputs!$H46</f>
        <v>256.10299903348692</v>
      </c>
      <c r="O62" s="14">
        <f>O44*Inputs!$H46</f>
        <v>274.63165675591296</v>
      </c>
      <c r="P62" s="14">
        <f>P44*Inputs!$H46</f>
        <v>287.20200124548916</v>
      </c>
      <c r="Q62" s="14">
        <f>Q44*Inputs!$H46</f>
        <v>323.24601529460386</v>
      </c>
      <c r="R62" s="14">
        <f>R44*Inputs!$H46</f>
        <v>337.29390969452948</v>
      </c>
      <c r="S62" s="14">
        <f>S44*Inputs!$H46</f>
        <v>380.86397547535427</v>
      </c>
      <c r="T62" s="14">
        <f>T44*Inputs!$H46</f>
        <v>393.6802836244068</v>
      </c>
      <c r="U62" s="14">
        <f>U44*Inputs!$H46</f>
        <v>402.40607548370468</v>
      </c>
      <c r="V62" s="14">
        <f>V44*Inputs!$H46</f>
        <v>410.54417204984458</v>
      </c>
      <c r="W62" s="14">
        <f>W44*Inputs!$H46</f>
        <v>459.8060033741038</v>
      </c>
      <c r="X62" s="187">
        <f>X44*Inputs!$H46</f>
        <v>467.27742075083398</v>
      </c>
      <c r="Y62" s="14">
        <f>Y44*Inputs!$H46</f>
        <v>473.53622867618282</v>
      </c>
      <c r="Z62" s="14">
        <f>Z44*Inputs!$H46</f>
        <v>478.23350890032708</v>
      </c>
      <c r="AA62" s="14">
        <f>AA44*Inputs!$H46</f>
        <v>484.53028190487731</v>
      </c>
      <c r="AB62" s="14">
        <f>AB44*Inputs!$H46</f>
        <v>491.77210641225537</v>
      </c>
      <c r="AC62" s="14">
        <f>AC44*Inputs!$H46</f>
        <v>497.94763684001526</v>
      </c>
      <c r="AD62" s="14">
        <f>AD44*Inputs!$H46</f>
        <v>506.54629677095659</v>
      </c>
      <c r="AE62" s="14">
        <f>AE44*Inputs!$H46</f>
        <v>515.83147370711049</v>
      </c>
      <c r="AF62" s="14">
        <f>AF44*Inputs!$H46</f>
        <v>526.52363165677355</v>
      </c>
      <c r="AG62" s="14">
        <f>AG44*Inputs!$H46</f>
        <v>537.66064803372751</v>
      </c>
      <c r="AH62" s="14">
        <f>AH44*Inputs!$H46</f>
        <v>547.68520837658252</v>
      </c>
    </row>
    <row r="63" spans="1:34" ht="15">
      <c r="A63" s="8" t="s">
        <v>50</v>
      </c>
      <c r="B63" s="34">
        <v>1</v>
      </c>
      <c r="C63" s="331">
        <f>C45*Inputs!$H49</f>
        <v>0</v>
      </c>
      <c r="D63" s="331">
        <f>D45*Inputs!$H49</f>
        <v>0</v>
      </c>
      <c r="E63" s="331">
        <f>E45*Inputs!$H49</f>
        <v>9.0267367500000001E-3</v>
      </c>
      <c r="F63" s="331">
        <f>F45*Inputs!$H49</f>
        <v>8.4559477500000015E-3</v>
      </c>
      <c r="G63" s="331">
        <f>G45*Inputs!$H49</f>
        <v>9.2453715000000002E-3</v>
      </c>
      <c r="H63" s="14">
        <f>H45*Inputs!$H49</f>
        <v>9.2454075000000004E-3</v>
      </c>
      <c r="I63" s="14">
        <f>I45*Inputs!$H49</f>
        <v>9.2425455000000011E-3</v>
      </c>
      <c r="J63" s="14">
        <f>J45*Inputs!$H49</f>
        <v>9.2252632500000008E-3</v>
      </c>
      <c r="K63" s="14">
        <f>K45*Inputs!$H49</f>
        <v>1.014250725E-2</v>
      </c>
      <c r="L63" s="14">
        <f>L45*Inputs!$H49</f>
        <v>1.1027133E-2</v>
      </c>
      <c r="M63" s="14">
        <f>M45*Inputs!$H49</f>
        <v>1.1060244E-2</v>
      </c>
      <c r="N63" s="190">
        <f>N45*Inputs!$H49</f>
        <v>1.1057249250000002E-2</v>
      </c>
      <c r="O63" s="14">
        <f>O45*Inputs!$H49</f>
        <v>1.1054754E-2</v>
      </c>
      <c r="P63" s="14">
        <f>P45*Inputs!$H49</f>
        <v>1.1069437499999999E-2</v>
      </c>
      <c r="Q63" s="14">
        <f>Q45*Inputs!$H49</f>
        <v>1.10898E-2</v>
      </c>
      <c r="R63" s="14">
        <f>R45*Inputs!$H49</f>
        <v>1.1080696500000001E-2</v>
      </c>
      <c r="S63" s="14">
        <f>S45*Inputs!$H49</f>
        <v>1.1089511999999999E-2</v>
      </c>
      <c r="T63" s="14">
        <f>T45*Inputs!$H49</f>
        <v>1.1086971750000001E-2</v>
      </c>
      <c r="U63" s="14">
        <f>U45*Inputs!$H49</f>
        <v>1.1947945499999999E-2</v>
      </c>
      <c r="V63" s="14">
        <f>V45*Inputs!$H49</f>
        <v>1.2487792500000003E-2</v>
      </c>
      <c r="W63" s="14">
        <f>W45*Inputs!$H49</f>
        <v>1.2537045000000004E-2</v>
      </c>
      <c r="X63" s="187">
        <f>X45*Inputs!$H49</f>
        <v>1.3116168000000001E-2</v>
      </c>
      <c r="Y63" s="14">
        <f>Y45*Inputs!$H49</f>
        <v>1.3606139250000001E-2</v>
      </c>
      <c r="Z63" s="14">
        <f>Z45*Inputs!$H49</f>
        <v>1.3600206000000002E-2</v>
      </c>
      <c r="AA63" s="14">
        <f>AA45*Inputs!$H49</f>
        <v>1.3594790250000001E-2</v>
      </c>
      <c r="AB63" s="14">
        <f>AB45*Inputs!$H49</f>
        <v>1.3589550000000001E-2</v>
      </c>
      <c r="AC63" s="14">
        <f>AC45*Inputs!$H49</f>
        <v>1.3584519E-2</v>
      </c>
      <c r="AD63" s="14">
        <f>AD45*Inputs!$H49</f>
        <v>1.357965675E-2</v>
      </c>
      <c r="AE63" s="14">
        <f>AE45*Inputs!$H49</f>
        <v>1.3574976750000002E-2</v>
      </c>
      <c r="AF63" s="14">
        <f>AF45*Inputs!$H49</f>
        <v>1.3570539750000003E-2</v>
      </c>
      <c r="AG63" s="14">
        <f>AG45*Inputs!$H49</f>
        <v>1.3566145500000001E-2</v>
      </c>
      <c r="AH63" s="14">
        <f>AH45*Inputs!$H49</f>
        <v>1.3562061750000002E-2</v>
      </c>
    </row>
    <row r="64" spans="1:34" ht="15">
      <c r="A64" s="8" t="s">
        <v>51</v>
      </c>
      <c r="B64" s="34">
        <v>1</v>
      </c>
      <c r="C64" s="331">
        <f>C46*Inputs!$H52</f>
        <v>53.73</v>
      </c>
      <c r="D64" s="331">
        <f>D46*Inputs!$H52</f>
        <v>60.614999999999995</v>
      </c>
      <c r="E64" s="331">
        <f>E46*Inputs!$H52</f>
        <v>111.67168356086538</v>
      </c>
      <c r="F64" s="331">
        <f>F46*Inputs!$H52</f>
        <v>115.63102306079915</v>
      </c>
      <c r="G64" s="331">
        <f>G46*Inputs!$H52</f>
        <v>94.050550859389062</v>
      </c>
      <c r="H64" s="14">
        <f>H46*Inputs!$H52</f>
        <v>101.20132460530523</v>
      </c>
      <c r="I64" s="14">
        <f>I46*Inputs!$H52</f>
        <v>92.633803185649384</v>
      </c>
      <c r="J64" s="14">
        <f>J46*Inputs!$H52</f>
        <v>108.36518859279255</v>
      </c>
      <c r="K64" s="14">
        <f>K46*Inputs!$H52</f>
        <v>109.10849753296375</v>
      </c>
      <c r="L64" s="14">
        <f>L46*Inputs!$H52</f>
        <v>109.12692392396519</v>
      </c>
      <c r="M64" s="14">
        <f>M46*Inputs!$H52</f>
        <v>108.41087937228934</v>
      </c>
      <c r="N64" s="190">
        <f>N46*Inputs!$H52</f>
        <v>108.3791126077122</v>
      </c>
      <c r="O64" s="14">
        <f>O46*Inputs!$H52</f>
        <v>108.3602693300365</v>
      </c>
      <c r="P64" s="14">
        <f>P46*Inputs!$H52</f>
        <v>109.05930490540337</v>
      </c>
      <c r="Q64" s="14">
        <f>Q46*Inputs!$H52</f>
        <v>108.3261680000836</v>
      </c>
      <c r="R64" s="14">
        <f>R46*Inputs!$H52</f>
        <v>108.30982604245338</v>
      </c>
      <c r="S64" s="14">
        <f>S46*Inputs!$H52</f>
        <v>109.01044578718232</v>
      </c>
      <c r="T64" s="14">
        <f>T46*Inputs!$H52</f>
        <v>107.10960930731436</v>
      </c>
      <c r="U64" s="14">
        <f>U46*Inputs!$H52</f>
        <v>108.23236849837947</v>
      </c>
      <c r="V64" s="14">
        <f>V46*Inputs!$H52</f>
        <v>108.19910094177504</v>
      </c>
      <c r="W64" s="14">
        <f>W46*Inputs!$H52</f>
        <v>108.16074736774492</v>
      </c>
      <c r="X64" s="187">
        <f>X46*Inputs!$H52</f>
        <v>108.11939220966023</v>
      </c>
      <c r="Y64" s="14">
        <f>Y46*Inputs!$H52</f>
        <v>108.07820380624524</v>
      </c>
      <c r="Z64" s="14">
        <f>Z46*Inputs!$H52</f>
        <v>108.76231483867427</v>
      </c>
      <c r="AA64" s="14">
        <f>AA46*Inputs!$H52</f>
        <v>109.73883018441573</v>
      </c>
      <c r="AB64" s="14">
        <f>AB46*Inputs!$H52</f>
        <v>111.19084647079612</v>
      </c>
      <c r="AC64" s="14">
        <f>AC46*Inputs!$H52</f>
        <v>111.16224804494323</v>
      </c>
      <c r="AD64" s="14">
        <f>AD46*Inputs!$H52</f>
        <v>111.13423326043426</v>
      </c>
      <c r="AE64" s="14">
        <f>AE46*Inputs!$H52</f>
        <v>113.23967772001956</v>
      </c>
      <c r="AF64" s="14">
        <f>AF46*Inputs!$H52</f>
        <v>113.21808299029389</v>
      </c>
      <c r="AG64" s="14">
        <f>AG46*Inputs!$H52</f>
        <v>113.19490409120613</v>
      </c>
      <c r="AH64" s="14">
        <f>AH46*Inputs!$H52</f>
        <v>113.17197532412285</v>
      </c>
    </row>
    <row r="65" spans="1:34" ht="15">
      <c r="A65" s="8" t="s">
        <v>347</v>
      </c>
      <c r="B65" s="34">
        <v>1</v>
      </c>
      <c r="C65" s="331">
        <f>C47*Inputs!$H54</f>
        <v>0</v>
      </c>
      <c r="D65" s="331">
        <f>D47*Inputs!$H54</f>
        <v>0</v>
      </c>
      <c r="E65" s="331">
        <f>E47*Inputs!$H54</f>
        <v>44.972883000000003</v>
      </c>
      <c r="F65" s="331">
        <f>F47*Inputs!$H54</f>
        <v>77.638356000000002</v>
      </c>
      <c r="G65" s="331">
        <f>G47*Inputs!$H54</f>
        <v>144.78306300000003</v>
      </c>
      <c r="H65" s="14">
        <f>H47*Inputs!$H54</f>
        <v>245.34477000000007</v>
      </c>
      <c r="I65" s="14">
        <f>I47*Inputs!$H54</f>
        <v>435.88708200000002</v>
      </c>
      <c r="J65" s="14">
        <f>J47*Inputs!$H54</f>
        <v>668.79077400000006</v>
      </c>
      <c r="K65" s="14">
        <f>K47*Inputs!$H54</f>
        <v>671.22310500000003</v>
      </c>
      <c r="L65" s="14">
        <f>L47*Inputs!$H54</f>
        <v>676.44468900000004</v>
      </c>
      <c r="M65" s="14">
        <f>M47*Inputs!$H54</f>
        <v>687.96999900000003</v>
      </c>
      <c r="N65" s="190">
        <f>N47*Inputs!$H54</f>
        <v>715.35060900000008</v>
      </c>
      <c r="O65" s="14">
        <f>O47*Inputs!$H54</f>
        <v>750.25857599999995</v>
      </c>
      <c r="P65" s="14">
        <f>P47*Inputs!$H54</f>
        <v>790.57583100000011</v>
      </c>
      <c r="Q65" s="14">
        <f>Q47*Inputs!$H54</f>
        <v>839.65260600000022</v>
      </c>
      <c r="R65" s="14">
        <f>R47*Inputs!$H54</f>
        <v>904.21709400000009</v>
      </c>
      <c r="S65" s="14">
        <f>S47*Inputs!$H54</f>
        <v>995.24926800000014</v>
      </c>
      <c r="T65" s="14">
        <f>T47*Inputs!$H54</f>
        <v>1104.1766010000001</v>
      </c>
      <c r="U65" s="14">
        <f>U47*Inputs!$H54</f>
        <v>1237.079565</v>
      </c>
      <c r="V65" s="14">
        <f>V47*Inputs!$H54</f>
        <v>1406.0906640000003</v>
      </c>
      <c r="W65" s="14">
        <f>W47*Inputs!$H54</f>
        <v>1593.3005190000001</v>
      </c>
      <c r="X65" s="187">
        <f>X47*Inputs!$H54</f>
        <v>1798.817202</v>
      </c>
      <c r="Y65" s="14">
        <f>Y47*Inputs!$H54</f>
        <v>2015.6259869999999</v>
      </c>
      <c r="Z65" s="14">
        <f>Z47*Inputs!$H54</f>
        <v>2238.1362810000001</v>
      </c>
      <c r="AA65" s="14">
        <f>AA47*Inputs!$H54</f>
        <v>2468.1440700000003</v>
      </c>
      <c r="AB65" s="14">
        <f>AB47*Inputs!$H54</f>
        <v>2710.2374370000002</v>
      </c>
      <c r="AC65" s="14">
        <f>AC47*Inputs!$H54</f>
        <v>2963.3498820000004</v>
      </c>
      <c r="AD65" s="14">
        <f>AD47*Inputs!$H54</f>
        <v>3225.08889</v>
      </c>
      <c r="AE65" s="14">
        <f>AE47*Inputs!$H54</f>
        <v>3493.6001729999998</v>
      </c>
      <c r="AF65" s="14">
        <f>AF47*Inputs!$H54</f>
        <v>3764.2721850000003</v>
      </c>
      <c r="AG65" s="14">
        <f>AG47*Inputs!$H54</f>
        <v>4038.9314850000001</v>
      </c>
      <c r="AH65" s="14">
        <f>AH47*Inputs!$H54</f>
        <v>4319.6868990000003</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3063.9780000000001</v>
      </c>
      <c r="D68" s="331">
        <f>D50*Inputs!$H57</f>
        <v>4016.4030000000002</v>
      </c>
      <c r="E68" s="331">
        <f>E50*Inputs!$H57</f>
        <v>4175.1779391</v>
      </c>
      <c r="F68" s="331">
        <f>F50*Inputs!$H57</f>
        <v>4670.1943533000003</v>
      </c>
      <c r="G68" s="331">
        <f>G50*Inputs!$H57</f>
        <v>5010.2341757999993</v>
      </c>
      <c r="H68" s="14">
        <f>H50*Inputs!$H57</f>
        <v>5038.0646463000003</v>
      </c>
      <c r="I68" s="14">
        <f>I50*Inputs!$H57</f>
        <v>6358.8433734</v>
      </c>
      <c r="J68" s="14">
        <f>J50*Inputs!$H57</f>
        <v>7216.4665439999999</v>
      </c>
      <c r="K68" s="14">
        <f>K50*Inputs!$H57</f>
        <v>7216.5018869999994</v>
      </c>
      <c r="L68" s="14">
        <f>L50*Inputs!$H57</f>
        <v>7215.450593399999</v>
      </c>
      <c r="M68" s="14">
        <f>M50*Inputs!$H57</f>
        <v>7216.7864516999989</v>
      </c>
      <c r="N68" s="190">
        <f>N50*Inputs!$H57</f>
        <v>7217.2001789999995</v>
      </c>
      <c r="O68" s="14">
        <f>O50*Inputs!$H57</f>
        <v>7217.8821917999994</v>
      </c>
      <c r="P68" s="14">
        <f>P50*Inputs!$H57</f>
        <v>7220.8012023000001</v>
      </c>
      <c r="Q68" s="14">
        <f>Q50*Inputs!$H57</f>
        <v>7220.0093048999997</v>
      </c>
      <c r="R68" s="14">
        <f>R50*Inputs!$H57</f>
        <v>7219.5833681999993</v>
      </c>
      <c r="S68" s="14">
        <f>S50*Inputs!$H57</f>
        <v>7219.1998431000002</v>
      </c>
      <c r="T68" s="14">
        <f>T50*Inputs!$H57</f>
        <v>7220.1514266000004</v>
      </c>
      <c r="U68" s="14">
        <f>U50*Inputs!$H57</f>
        <v>7221.8826980999993</v>
      </c>
      <c r="V68" s="14">
        <f>V50*Inputs!$H57</f>
        <v>7221.6268361999992</v>
      </c>
      <c r="W68" s="14">
        <f>W50*Inputs!$H57</f>
        <v>7229.3150096999998</v>
      </c>
      <c r="X68" s="187">
        <f>X50*Inputs!$H57</f>
        <v>7239.3032628000001</v>
      </c>
      <c r="Y68" s="14">
        <f>Y50*Inputs!$H57</f>
        <v>7249.9075550999996</v>
      </c>
      <c r="Z68" s="14">
        <f>Z50*Inputs!$H57</f>
        <v>7261.6668138000005</v>
      </c>
      <c r="AA68" s="14">
        <f>AA50*Inputs!$H57</f>
        <v>7275.548901600001</v>
      </c>
      <c r="AB68" s="14">
        <f>AB50*Inputs!$H57</f>
        <v>7299.6289443000005</v>
      </c>
      <c r="AC68" s="14">
        <f>AC50*Inputs!$H57</f>
        <v>7311.0277044000004</v>
      </c>
      <c r="AD68" s="14">
        <f>AD50*Inputs!$H57</f>
        <v>7311.5523873000002</v>
      </c>
      <c r="AE68" s="14">
        <f>AE50*Inputs!$H57</f>
        <v>7345.0751156999995</v>
      </c>
      <c r="AF68" s="14">
        <f>AF50*Inputs!$H57</f>
        <v>7369.9623710999995</v>
      </c>
      <c r="AG68" s="14">
        <f>AG50*Inputs!$H57</f>
        <v>7412.2727616000002</v>
      </c>
      <c r="AH68" s="14">
        <f>AH50*Inputs!$H57</f>
        <v>7482.0778640999997</v>
      </c>
    </row>
    <row r="69" spans="1:34" s="20" customFormat="1" ht="15">
      <c r="A69" s="8" t="s">
        <v>128</v>
      </c>
      <c r="B69" s="38"/>
      <c r="C69" s="334">
        <f t="shared" ref="C69:AH69" si="25">SUMPRODUCT($B60:$B68,C60:C68)</f>
        <v>3240.3714300000001</v>
      </c>
      <c r="D69" s="334">
        <f t="shared" si="25"/>
        <v>4247.1204299999999</v>
      </c>
      <c r="E69" s="334">
        <f t="shared" si="25"/>
        <v>4503.4283724086245</v>
      </c>
      <c r="F69" s="334">
        <f t="shared" si="25"/>
        <v>5029.177197026127</v>
      </c>
      <c r="G69" s="334">
        <f t="shared" si="25"/>
        <v>5432.6196268193398</v>
      </c>
      <c r="H69" s="19">
        <f t="shared" si="25"/>
        <v>5573.4596422875647</v>
      </c>
      <c r="I69" s="19">
        <f t="shared" si="25"/>
        <v>7083.1455667918062</v>
      </c>
      <c r="J69" s="19">
        <f t="shared" si="25"/>
        <v>8200.7687191710356</v>
      </c>
      <c r="K69" s="19">
        <f t="shared" si="25"/>
        <v>8221.4802133432968</v>
      </c>
      <c r="L69" s="19">
        <f t="shared" si="25"/>
        <v>8235.7248550803088</v>
      </c>
      <c r="M69" s="19">
        <f t="shared" si="25"/>
        <v>8257.2999314577555</v>
      </c>
      <c r="N69" s="190">
        <f t="shared" si="25"/>
        <v>8297.067086890449</v>
      </c>
      <c r="O69" s="19">
        <f t="shared" si="25"/>
        <v>8351.1668786399496</v>
      </c>
      <c r="P69" s="19">
        <f t="shared" si="25"/>
        <v>8407.6725388883933</v>
      </c>
      <c r="Q69" s="19">
        <f t="shared" si="25"/>
        <v>8491.2683139946876</v>
      </c>
      <c r="R69" s="19">
        <f t="shared" si="25"/>
        <v>8569.438408633483</v>
      </c>
      <c r="S69" s="19">
        <f t="shared" si="25"/>
        <v>8704.3577518745369</v>
      </c>
      <c r="T69" s="19">
        <f t="shared" si="25"/>
        <v>8825.1521375034717</v>
      </c>
      <c r="U69" s="19">
        <f t="shared" si="25"/>
        <v>8969.6357850275836</v>
      </c>
      <c r="V69" s="19">
        <f t="shared" si="25"/>
        <v>9146.496390984119</v>
      </c>
      <c r="W69" s="19">
        <f t="shared" si="25"/>
        <v>9390.6179464868492</v>
      </c>
      <c r="X69" s="182">
        <f t="shared" si="25"/>
        <v>9613.5535239284945</v>
      </c>
      <c r="Y69" s="19">
        <f t="shared" si="25"/>
        <v>9847.1847107216781</v>
      </c>
      <c r="Z69" s="19">
        <f t="shared" si="25"/>
        <v>10086.835648745002</v>
      </c>
      <c r="AA69" s="19">
        <f t="shared" si="25"/>
        <v>10337.998808479544</v>
      </c>
      <c r="AB69" s="19">
        <f t="shared" si="25"/>
        <v>10612.866053733052</v>
      </c>
      <c r="AC69" s="19">
        <f t="shared" si="25"/>
        <v>10883.524185803959</v>
      </c>
      <c r="AD69" s="19">
        <f t="shared" si="25"/>
        <v>11154.358516988141</v>
      </c>
      <c r="AE69" s="19">
        <f t="shared" si="25"/>
        <v>11467.78314510388</v>
      </c>
      <c r="AF69" s="19">
        <f t="shared" si="25"/>
        <v>11774.012971286817</v>
      </c>
      <c r="AG69" s="19">
        <f t="shared" si="25"/>
        <v>12102.096494870433</v>
      </c>
      <c r="AH69" s="19">
        <f t="shared" si="25"/>
        <v>12462.658638862455</v>
      </c>
    </row>
    <row r="70" spans="1:34" s="20" customFormat="1" ht="15">
      <c r="A70" s="27" t="s">
        <v>329</v>
      </c>
      <c r="B70" s="39"/>
      <c r="C70" s="334">
        <f>SUM(C58:C68)</f>
        <v>8608.0330800000011</v>
      </c>
      <c r="D70" s="334">
        <f t="shared" ref="D70:AH70" si="26">SUM(D58:D68)</f>
        <v>9625.6990800000021</v>
      </c>
      <c r="E70" s="334">
        <f t="shared" si="26"/>
        <v>9977.0323121999736</v>
      </c>
      <c r="F70" s="334">
        <f t="shared" si="26"/>
        <v>10416.905764142146</v>
      </c>
      <c r="G70" s="334">
        <f t="shared" si="26"/>
        <v>10780.616911429124</v>
      </c>
      <c r="H70" s="19">
        <f t="shared" si="26"/>
        <v>10941.670825679101</v>
      </c>
      <c r="I70" s="19">
        <f t="shared" si="26"/>
        <v>12651.515853777177</v>
      </c>
      <c r="J70" s="19">
        <f t="shared" si="26"/>
        <v>13999.706156526117</v>
      </c>
      <c r="K70" s="19">
        <f t="shared" si="26"/>
        <v>14243.42483610128</v>
      </c>
      <c r="L70" s="19">
        <f t="shared" si="26"/>
        <v>14428.83560953005</v>
      </c>
      <c r="M70" s="19">
        <f t="shared" si="26"/>
        <v>14480.314890963502</v>
      </c>
      <c r="N70" s="182">
        <f t="shared" si="26"/>
        <v>14520.08213879335</v>
      </c>
      <c r="O70" s="19">
        <f t="shared" si="26"/>
        <v>14574.181983920233</v>
      </c>
      <c r="P70" s="19">
        <f t="shared" si="26"/>
        <v>14630.687438410423</v>
      </c>
      <c r="Q70" s="19">
        <f t="shared" si="26"/>
        <v>14715.507060204287</v>
      </c>
      <c r="R70" s="19">
        <f t="shared" si="26"/>
        <v>14793.676915658123</v>
      </c>
      <c r="S70" s="19">
        <f t="shared" si="26"/>
        <v>14928.608495307259</v>
      </c>
      <c r="T70" s="19">
        <f t="shared" si="26"/>
        <v>15049.855915228452</v>
      </c>
      <c r="U70" s="19">
        <f t="shared" si="26"/>
        <v>15194.61875201144</v>
      </c>
      <c r="V70" s="19">
        <f t="shared" si="26"/>
        <v>15373.060213691289</v>
      </c>
      <c r="W70" s="19">
        <f t="shared" si="26"/>
        <v>15618.726090388296</v>
      </c>
      <c r="X70" s="182">
        <f t="shared" si="26"/>
        <v>15843.384665235326</v>
      </c>
      <c r="Y70" s="19">
        <f t="shared" si="26"/>
        <v>16077.015883165317</v>
      </c>
      <c r="Z70" s="19">
        <f t="shared" si="26"/>
        <v>16317.666322733814</v>
      </c>
      <c r="AA70" s="19">
        <f t="shared" si="26"/>
        <v>16568.829406212084</v>
      </c>
      <c r="AB70" s="19">
        <f t="shared" si="26"/>
        <v>16843.696726576913</v>
      </c>
      <c r="AC70" s="19">
        <f t="shared" si="26"/>
        <v>17115.303506035922</v>
      </c>
      <c r="AD70" s="19">
        <f t="shared" si="26"/>
        <v>17386.794837191686</v>
      </c>
      <c r="AE70" s="19">
        <f t="shared" si="26"/>
        <v>17700.219554269726</v>
      </c>
      <c r="AF70" s="19">
        <f t="shared" si="26"/>
        <v>18007.045467933567</v>
      </c>
      <c r="AG70" s="19">
        <f t="shared" si="26"/>
        <v>18335.128886920636</v>
      </c>
      <c r="AH70" s="19">
        <f t="shared" si="26"/>
        <v>18695.691053153234</v>
      </c>
    </row>
    <row r="71" spans="1:34" s="20" customFormat="1" ht="15">
      <c r="A71" s="27" t="s">
        <v>142</v>
      </c>
      <c r="B71" s="39"/>
      <c r="C71" s="334">
        <f>C53*Inputs!$H$60</f>
        <v>13771.593000000001</v>
      </c>
      <c r="D71" s="334">
        <f>D53*Inputs!$H$60</f>
        <v>14867.126999999999</v>
      </c>
      <c r="E71" s="334">
        <f>E53*Inputs!$H$60</f>
        <v>14079.461380182718</v>
      </c>
      <c r="F71" s="334">
        <f>F53*Inputs!$H$60</f>
        <v>12129.372291787691</v>
      </c>
      <c r="G71" s="334">
        <f>G53*Inputs!$H$60</f>
        <v>12969.787152155595</v>
      </c>
      <c r="H71" s="19">
        <f>H53*Inputs!$H$60</f>
        <v>13360.294762153429</v>
      </c>
      <c r="I71" s="19">
        <f>I53*Inputs!$H$60</f>
        <v>12661.269778210934</v>
      </c>
      <c r="J71" s="19">
        <f>J53*Inputs!$H$60</f>
        <v>12165.035881325382</v>
      </c>
      <c r="K71" s="19">
        <f>K53*Inputs!$H$60</f>
        <v>12806.49476744604</v>
      </c>
      <c r="L71" s="19">
        <f>L53*Inputs!$H$60</f>
        <v>13037.444936552762</v>
      </c>
      <c r="M71" s="19">
        <f>M53*Inputs!$H$60</f>
        <v>13156.571748707676</v>
      </c>
      <c r="N71" s="190">
        <f>N53*Inputs!$H$60</f>
        <v>13122.928348908992</v>
      </c>
      <c r="O71" s="19">
        <f>O53*Inputs!$H$60</f>
        <v>13232.86811452988</v>
      </c>
      <c r="P71" s="19">
        <f>P53*Inputs!$H$60</f>
        <v>13335.483686371137</v>
      </c>
      <c r="Q71" s="19">
        <f>Q53*Inputs!$H$60</f>
        <v>13341.207319197561</v>
      </c>
      <c r="R71" s="19">
        <f>R53*Inputs!$H$60</f>
        <v>13513.834991976575</v>
      </c>
      <c r="S71" s="19">
        <f>S53*Inputs!$H$60</f>
        <v>13646.637240540365</v>
      </c>
      <c r="T71" s="19">
        <f>T53*Inputs!$H$60</f>
        <v>13636.968016149929</v>
      </c>
      <c r="U71" s="19">
        <f>U53*Inputs!$H$60</f>
        <v>13639.830558770469</v>
      </c>
      <c r="V71" s="19">
        <f>V53*Inputs!$H$60</f>
        <v>13637.895347193993</v>
      </c>
      <c r="W71" s="19">
        <f>W53*Inputs!$H$60</f>
        <v>13587.559298109851</v>
      </c>
      <c r="X71" s="182">
        <f>X53*Inputs!$H$60</f>
        <v>13598.699628068314</v>
      </c>
      <c r="Y71" s="19">
        <f>Y53*Inputs!$H$60</f>
        <v>13592.661845094372</v>
      </c>
      <c r="Z71" s="19">
        <f>Z53*Inputs!$H$60</f>
        <v>13588.128049403909</v>
      </c>
      <c r="AA71" s="19">
        <f>AA53*Inputs!$H$60</f>
        <v>13574.499709326083</v>
      </c>
      <c r="AB71" s="19">
        <f>AB53*Inputs!$H$60</f>
        <v>13563.32475951659</v>
      </c>
      <c r="AC71" s="19">
        <f>AC53*Inputs!$H$60</f>
        <v>13551.174001347556</v>
      </c>
      <c r="AD71" s="19">
        <f>AD53*Inputs!$H$60</f>
        <v>13539.116650108086</v>
      </c>
      <c r="AE71" s="19">
        <f>AE53*Inputs!$H$60</f>
        <v>13527.818602203803</v>
      </c>
      <c r="AF71" s="19">
        <f>AF53*Inputs!$H$60</f>
        <v>13516.416980467344</v>
      </c>
      <c r="AG71" s="19">
        <f>AG53*Inputs!$H$60</f>
        <v>13516.309692263258</v>
      </c>
      <c r="AH71" s="19">
        <f>AH53*Inputs!$H$60</f>
        <v>13516.133283407493</v>
      </c>
    </row>
    <row r="72" spans="1:34" s="20" customFormat="1" ht="15">
      <c r="A72" s="27" t="s">
        <v>222</v>
      </c>
      <c r="B72" s="39"/>
      <c r="C72" s="334">
        <f>C54*Inputs!$H$61</f>
        <v>18717.534</v>
      </c>
      <c r="D72" s="334">
        <f>D54*Inputs!$H$61</f>
        <v>18501.317999999999</v>
      </c>
      <c r="E72" s="334">
        <f>E54*Inputs!$H$61</f>
        <v>19610.300771127135</v>
      </c>
      <c r="F72" s="334">
        <f>F54*Inputs!$H$61</f>
        <v>23315.332299711816</v>
      </c>
      <c r="G72" s="334">
        <f>G54*Inputs!$H$61</f>
        <v>20813.989373315202</v>
      </c>
      <c r="H72" s="19">
        <f>H54*Inputs!$H$61</f>
        <v>19838.25833845092</v>
      </c>
      <c r="I72" s="19">
        <f>I54*Inputs!$H$61</f>
        <v>21403.412227018303</v>
      </c>
      <c r="J72" s="19">
        <f>J54*Inputs!$H$61</f>
        <v>23355.978921460352</v>
      </c>
      <c r="K72" s="19">
        <f>K54*Inputs!$H$61</f>
        <v>22308.961722235443</v>
      </c>
      <c r="L72" s="19">
        <f>L54*Inputs!$H$61</f>
        <v>22039.122531150464</v>
      </c>
      <c r="M72" s="19">
        <f>M54*Inputs!$H$61</f>
        <v>22402.42143411759</v>
      </c>
      <c r="N72" s="190">
        <f>N54*Inputs!$H$61</f>
        <v>23082.832289806309</v>
      </c>
      <c r="O72" s="19">
        <f>O54*Inputs!$H$61</f>
        <v>23433.135622243935</v>
      </c>
      <c r="P72" s="19">
        <f>P54*Inputs!$H$61</f>
        <v>23925.450295472521</v>
      </c>
      <c r="Q72" s="19">
        <f>Q54*Inputs!$H$61</f>
        <v>24842.022350584379</v>
      </c>
      <c r="R72" s="19">
        <f>R54*Inputs!$H$61</f>
        <v>25406.475538905564</v>
      </c>
      <c r="S72" s="19">
        <f>S54*Inputs!$H$61</f>
        <v>25712.997540669818</v>
      </c>
      <c r="T72" s="19">
        <f>T54*Inputs!$H$61</f>
        <v>26129.44247109045</v>
      </c>
      <c r="U72" s="19">
        <f>U54*Inputs!$H$61</f>
        <v>26536.083516004637</v>
      </c>
      <c r="V72" s="19">
        <f>V54*Inputs!$H$61</f>
        <v>27011.083645249746</v>
      </c>
      <c r="W72" s="19">
        <f>W54*Inputs!$H$61</f>
        <v>27233.07334401357</v>
      </c>
      <c r="X72" s="182">
        <f>X54*Inputs!$H$61</f>
        <v>27656.769299313946</v>
      </c>
      <c r="Y72" s="19">
        <f>Y54*Inputs!$H$61</f>
        <v>27838.696954021329</v>
      </c>
      <c r="Z72" s="19">
        <f>Z54*Inputs!$H$61</f>
        <v>28143.674118823059</v>
      </c>
      <c r="AA72" s="19">
        <f>AA54*Inputs!$H$61</f>
        <v>28363.818601074894</v>
      </c>
      <c r="AB72" s="19">
        <f>AB54*Inputs!$H$61</f>
        <v>28668.746977960178</v>
      </c>
      <c r="AC72" s="19">
        <f>AC54*Inputs!$H$61</f>
        <v>29150.508985702043</v>
      </c>
      <c r="AD72" s="19">
        <f>AD54*Inputs!$H$61</f>
        <v>29581.147446890107</v>
      </c>
      <c r="AE72" s="19">
        <f>AE54*Inputs!$H$61</f>
        <v>30263.858694267281</v>
      </c>
      <c r="AF72" s="19">
        <f>AF54*Inputs!$H$61</f>
        <v>31020.648665905537</v>
      </c>
      <c r="AG72" s="19">
        <f>AG54*Inputs!$H$61</f>
        <v>31607.420059626354</v>
      </c>
      <c r="AH72" s="19">
        <f>AH54*Inputs!$H$61</f>
        <v>32063.760589813064</v>
      </c>
    </row>
    <row r="73" spans="1:34" ht="15">
      <c r="A73" s="27" t="s">
        <v>58</v>
      </c>
      <c r="C73" s="331">
        <f>SUM(C70:C72)</f>
        <v>41097.160080000001</v>
      </c>
      <c r="D73" s="331">
        <f t="shared" ref="D73:AH73" si="27">SUM(D70:D72)</f>
        <v>42994.144079999998</v>
      </c>
      <c r="E73" s="331">
        <f t="shared" si="27"/>
        <v>43666.794463509825</v>
      </c>
      <c r="F73" s="331">
        <f t="shared" si="27"/>
        <v>45861.610355641649</v>
      </c>
      <c r="G73" s="331">
        <f t="shared" si="27"/>
        <v>44564.393436899918</v>
      </c>
      <c r="H73" s="14">
        <f t="shared" si="27"/>
        <v>44140.223926283448</v>
      </c>
      <c r="I73" s="14">
        <f t="shared" si="27"/>
        <v>46716.19785900641</v>
      </c>
      <c r="J73" s="14">
        <f t="shared" si="27"/>
        <v>49520.720959311853</v>
      </c>
      <c r="K73" s="14">
        <f t="shared" si="27"/>
        <v>49358.881325782764</v>
      </c>
      <c r="L73" s="14">
        <f t="shared" si="27"/>
        <v>49505.403077233277</v>
      </c>
      <c r="M73" s="14">
        <f t="shared" si="27"/>
        <v>50039.308073788765</v>
      </c>
      <c r="N73" s="190">
        <f t="shared" si="27"/>
        <v>50725.842777508646</v>
      </c>
      <c r="O73" s="14">
        <f t="shared" si="27"/>
        <v>51240.185720694048</v>
      </c>
      <c r="P73" s="14">
        <f t="shared" si="27"/>
        <v>51891.621420254087</v>
      </c>
      <c r="Q73" s="14">
        <f t="shared" si="27"/>
        <v>52898.736729986224</v>
      </c>
      <c r="R73" s="14">
        <f t="shared" si="27"/>
        <v>53713.987446540261</v>
      </c>
      <c r="S73" s="14">
        <f t="shared" si="27"/>
        <v>54288.243276517445</v>
      </c>
      <c r="T73" s="14">
        <f t="shared" si="27"/>
        <v>54816.266402468827</v>
      </c>
      <c r="U73" s="14">
        <f t="shared" si="27"/>
        <v>55370.532826786541</v>
      </c>
      <c r="V73" s="14">
        <f t="shared" si="27"/>
        <v>56022.039206135029</v>
      </c>
      <c r="W73" s="14">
        <f t="shared" si="27"/>
        <v>56439.358732511711</v>
      </c>
      <c r="X73" s="187">
        <f t="shared" si="27"/>
        <v>57098.853592617583</v>
      </c>
      <c r="Y73" s="14">
        <f t="shared" si="27"/>
        <v>57508.374682281021</v>
      </c>
      <c r="Z73" s="14">
        <f t="shared" si="27"/>
        <v>58049.468490960782</v>
      </c>
      <c r="AA73" s="14">
        <f t="shared" si="27"/>
        <v>58507.147716613064</v>
      </c>
      <c r="AB73" s="14">
        <f t="shared" si="27"/>
        <v>59075.768464053675</v>
      </c>
      <c r="AC73" s="14">
        <f t="shared" si="27"/>
        <v>59816.986493085518</v>
      </c>
      <c r="AD73" s="14">
        <f t="shared" si="27"/>
        <v>60507.058934189881</v>
      </c>
      <c r="AE73" s="14">
        <f t="shared" si="27"/>
        <v>61491.896850740814</v>
      </c>
      <c r="AF73" s="14">
        <f t="shared" si="27"/>
        <v>62544.111114306448</v>
      </c>
      <c r="AG73" s="14">
        <f t="shared" si="27"/>
        <v>63458.858638810249</v>
      </c>
      <c r="AH73" s="14">
        <f t="shared" si="27"/>
        <v>64275.584926373791</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46"/>
      <c r="B1" s="546"/>
      <c r="C1" s="546"/>
      <c r="D1" s="546"/>
      <c r="E1" s="546"/>
      <c r="F1" s="546"/>
      <c r="G1" s="546"/>
      <c r="H1" s="546"/>
      <c r="I1" s="546"/>
      <c r="J1" s="546"/>
      <c r="K1" s="546"/>
      <c r="L1" s="546"/>
      <c r="M1" s="546"/>
      <c r="N1" s="546"/>
      <c r="O1" s="546"/>
      <c r="P1" s="546"/>
    </row>
    <row r="2" spans="1:16">
      <c r="A2" s="546"/>
      <c r="B2" s="546"/>
      <c r="C2" s="546"/>
      <c r="D2" s="546"/>
      <c r="E2" s="546"/>
      <c r="F2" s="546"/>
      <c r="G2" s="546"/>
      <c r="H2" s="546"/>
      <c r="I2" s="546"/>
      <c r="J2" s="546"/>
      <c r="K2" s="546"/>
      <c r="L2" s="546"/>
      <c r="M2" s="546"/>
      <c r="N2" s="546"/>
      <c r="O2" s="546"/>
      <c r="P2" s="546"/>
    </row>
    <row r="3" spans="1:16">
      <c r="A3" s="546"/>
      <c r="B3" s="546"/>
      <c r="C3" s="546"/>
      <c r="D3" s="546"/>
      <c r="E3" s="546"/>
      <c r="F3" s="546"/>
      <c r="G3" s="546"/>
      <c r="H3" s="546"/>
      <c r="I3" s="546"/>
      <c r="J3" s="546"/>
      <c r="K3" s="546"/>
      <c r="L3" s="546"/>
      <c r="M3" s="546"/>
      <c r="N3" s="546"/>
      <c r="O3" s="546"/>
      <c r="P3" s="546"/>
    </row>
    <row r="4" spans="1:16">
      <c r="A4" s="546"/>
      <c r="B4" s="546"/>
      <c r="C4" s="546"/>
      <c r="D4" s="546"/>
      <c r="E4" s="546"/>
      <c r="F4" s="546"/>
      <c r="G4" s="546"/>
      <c r="H4" s="546"/>
      <c r="I4" s="546"/>
      <c r="J4" s="546"/>
      <c r="K4" s="546"/>
      <c r="L4" s="546"/>
      <c r="M4" s="546"/>
      <c r="N4" s="546"/>
      <c r="O4" s="546"/>
      <c r="P4" s="546"/>
    </row>
    <row r="5" spans="1:16">
      <c r="A5" s="546"/>
      <c r="B5" s="546"/>
      <c r="C5" s="546"/>
      <c r="D5" s="546"/>
      <c r="E5" s="546"/>
      <c r="F5" s="546"/>
      <c r="G5" s="546"/>
      <c r="H5" s="546"/>
      <c r="I5" s="546"/>
      <c r="J5" s="546"/>
      <c r="K5" s="546"/>
      <c r="L5" s="546"/>
      <c r="M5" s="546"/>
      <c r="N5" s="546"/>
      <c r="O5" s="546"/>
      <c r="P5" s="546"/>
    </row>
    <row r="6" spans="1:16">
      <c r="A6" s="546"/>
      <c r="B6" s="546"/>
      <c r="C6" s="546"/>
      <c r="D6" s="546"/>
      <c r="E6" s="546"/>
      <c r="F6" s="546"/>
      <c r="G6" s="546"/>
      <c r="H6" s="546"/>
      <c r="I6" s="546"/>
      <c r="J6" s="546"/>
      <c r="K6" s="546"/>
      <c r="L6" s="546"/>
      <c r="M6" s="546"/>
      <c r="N6" s="546"/>
      <c r="O6" s="546"/>
      <c r="P6" s="546"/>
    </row>
    <row r="7" spans="1:16">
      <c r="A7" s="546"/>
      <c r="B7" s="546"/>
      <c r="C7" s="546"/>
      <c r="D7" s="546"/>
      <c r="E7" s="546"/>
      <c r="F7" s="546"/>
      <c r="G7" s="546"/>
      <c r="H7" s="546"/>
      <c r="I7" s="546"/>
      <c r="J7" s="546"/>
      <c r="K7" s="546"/>
      <c r="L7" s="546"/>
      <c r="M7" s="546"/>
      <c r="N7" s="546"/>
      <c r="O7" s="546"/>
      <c r="P7" s="546"/>
    </row>
    <row r="8" spans="1:16">
      <c r="A8" s="546"/>
      <c r="B8" s="546"/>
      <c r="C8" s="546"/>
      <c r="D8" s="546"/>
      <c r="E8" s="546"/>
      <c r="F8" s="546"/>
      <c r="G8" s="546"/>
      <c r="H8" s="546"/>
      <c r="I8" s="546"/>
      <c r="J8" s="546"/>
      <c r="K8" s="546"/>
      <c r="L8" s="546"/>
      <c r="M8" s="546"/>
      <c r="N8" s="546"/>
      <c r="O8" s="546"/>
      <c r="P8" s="546"/>
    </row>
    <row r="9" spans="1:16" ht="2.25" customHeight="1">
      <c r="A9" s="546"/>
      <c r="B9" s="546"/>
      <c r="C9" s="546"/>
      <c r="D9" s="546"/>
      <c r="E9" s="546"/>
      <c r="F9" s="546"/>
      <c r="G9" s="546"/>
      <c r="H9" s="546"/>
      <c r="I9" s="546"/>
      <c r="J9" s="546"/>
      <c r="K9" s="546"/>
      <c r="L9" s="546"/>
      <c r="M9" s="546"/>
      <c r="N9" s="546"/>
      <c r="O9" s="546"/>
      <c r="P9" s="546"/>
    </row>
    <row r="10" spans="1:16" hidden="1">
      <c r="A10" s="546"/>
      <c r="B10" s="546"/>
      <c r="C10" s="546"/>
      <c r="D10" s="546"/>
      <c r="E10" s="546"/>
      <c r="F10" s="546"/>
      <c r="G10" s="546"/>
      <c r="H10" s="546"/>
      <c r="I10" s="546"/>
      <c r="J10" s="546"/>
      <c r="K10" s="546"/>
      <c r="L10" s="546"/>
      <c r="M10" s="546"/>
      <c r="N10" s="546"/>
      <c r="O10" s="546"/>
      <c r="P10" s="546"/>
    </row>
    <row r="11" spans="1:16">
      <c r="A11" s="547" t="s">
        <v>212</v>
      </c>
      <c r="B11" s="549">
        <v>2000</v>
      </c>
      <c r="C11" s="551" t="s">
        <v>219</v>
      </c>
      <c r="D11" s="551" t="s">
        <v>556</v>
      </c>
      <c r="E11" s="554" t="s">
        <v>213</v>
      </c>
      <c r="F11" s="555"/>
      <c r="G11" s="549"/>
      <c r="H11" s="558" t="s">
        <v>557</v>
      </c>
      <c r="I11" s="559"/>
      <c r="J11" s="559"/>
      <c r="K11" s="559"/>
      <c r="L11" s="559"/>
      <c r="M11" s="559"/>
      <c r="N11" s="559"/>
      <c r="O11" s="560"/>
    </row>
    <row r="12" spans="1:16">
      <c r="A12" s="548"/>
      <c r="B12" s="550"/>
      <c r="C12" s="552"/>
      <c r="D12" s="552"/>
      <c r="E12" s="556"/>
      <c r="F12" s="557"/>
      <c r="G12" s="550"/>
      <c r="H12" s="557" t="s">
        <v>214</v>
      </c>
      <c r="I12" s="550"/>
      <c r="J12" s="556" t="s">
        <v>215</v>
      </c>
      <c r="K12" s="550"/>
      <c r="L12" s="556" t="s">
        <v>216</v>
      </c>
      <c r="M12" s="557"/>
      <c r="N12" s="557"/>
      <c r="O12" s="550"/>
    </row>
    <row r="13" spans="1:16" ht="67" thickBot="1">
      <c r="A13" s="211" t="s">
        <v>217</v>
      </c>
      <c r="B13" s="211" t="s">
        <v>218</v>
      </c>
      <c r="C13" s="553"/>
      <c r="D13" s="553"/>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42">
        <f>AVERAGE(N14:N15)</f>
        <v>0.20532702121944668</v>
      </c>
    </row>
    <row r="15" spans="1:16" ht="13" thickBot="1">
      <c r="A15" s="223" t="s">
        <v>564</v>
      </c>
      <c r="B15" s="223" t="s">
        <v>565</v>
      </c>
      <c r="C15" s="224">
        <v>0.85</v>
      </c>
      <c r="D15" s="225">
        <v>40</v>
      </c>
      <c r="E15" s="226">
        <v>8.5</v>
      </c>
      <c r="F15" s="432">
        <v>0.24</v>
      </c>
      <c r="G15" s="529">
        <v>0.13</v>
      </c>
      <c r="H15" s="414">
        <f t="shared" si="0"/>
        <v>0.21249999999999999</v>
      </c>
      <c r="I15" s="529">
        <f t="shared" si="1"/>
        <v>1.2079800000000001</v>
      </c>
      <c r="J15" s="427">
        <f t="shared" si="2"/>
        <v>0.25</v>
      </c>
      <c r="K15" s="529">
        <f t="shared" si="3"/>
        <v>1.4211529411764707</v>
      </c>
      <c r="L15" s="427">
        <f t="shared" si="4"/>
        <v>2.8538812785388126E-2</v>
      </c>
      <c r="M15" s="529">
        <f t="shared" si="4"/>
        <v>0.16223207091055603</v>
      </c>
      <c r="N15" s="419">
        <f t="shared" si="5"/>
        <v>0.19077088369594414</v>
      </c>
      <c r="O15" s="543"/>
    </row>
    <row r="16" spans="1:16">
      <c r="A16" s="227" t="s">
        <v>566</v>
      </c>
      <c r="B16" s="227" t="s">
        <v>567</v>
      </c>
      <c r="C16" s="228">
        <v>0.9</v>
      </c>
      <c r="D16" s="229">
        <v>40</v>
      </c>
      <c r="E16" s="230">
        <f>36000/5600</f>
        <v>6.4285714285714288</v>
      </c>
      <c r="F16" s="464">
        <f>10000/5600</f>
        <v>1.7857142857142858</v>
      </c>
      <c r="G16" s="230">
        <v>0</v>
      </c>
      <c r="H16" s="412">
        <f t="shared" si="0"/>
        <v>0.16071428571428573</v>
      </c>
      <c r="I16" s="530">
        <f t="shared" si="1"/>
        <v>1.7857142857142858</v>
      </c>
      <c r="J16" s="428">
        <f t="shared" si="2"/>
        <v>0.17857142857142858</v>
      </c>
      <c r="K16" s="530">
        <f t="shared" si="3"/>
        <v>1.9841269841269842</v>
      </c>
      <c r="L16" s="428">
        <f t="shared" si="4"/>
        <v>2.0384866275277233E-2</v>
      </c>
      <c r="M16" s="530">
        <f t="shared" si="4"/>
        <v>0.22649851416974706</v>
      </c>
      <c r="N16" s="421">
        <f t="shared" si="5"/>
        <v>0.24688338044502428</v>
      </c>
      <c r="O16" s="544">
        <f>AVERAGE(N16:N18)</f>
        <v>0.24750247638375492</v>
      </c>
    </row>
    <row r="17" spans="1:15">
      <c r="A17" s="217" t="s">
        <v>568</v>
      </c>
      <c r="B17" s="217" t="s">
        <v>312</v>
      </c>
      <c r="C17" s="218">
        <v>0.9</v>
      </c>
      <c r="D17" s="219">
        <v>40</v>
      </c>
      <c r="E17" s="216">
        <v>17.5</v>
      </c>
      <c r="F17" s="528">
        <v>1.7</v>
      </c>
      <c r="G17" s="216">
        <v>0</v>
      </c>
      <c r="H17" s="527">
        <f>E17/D17</f>
        <v>0.4375</v>
      </c>
      <c r="I17" s="531">
        <f>F17+G17*8760/1000*C17</f>
        <v>1.7</v>
      </c>
      <c r="J17" s="429">
        <f>H17/C17</f>
        <v>0.4861111111111111</v>
      </c>
      <c r="K17" s="531">
        <f>I17/C17</f>
        <v>1.8888888888888888</v>
      </c>
      <c r="L17" s="429">
        <f t="shared" si="4"/>
        <v>5.5492135971588023E-2</v>
      </c>
      <c r="M17" s="531">
        <f t="shared" si="4"/>
        <v>0.21562658548959918</v>
      </c>
      <c r="N17" s="420">
        <f>SUM(L17:M17)</f>
        <v>0.27111872146118721</v>
      </c>
      <c r="O17" s="545"/>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43"/>
    </row>
    <row r="19" spans="1:15">
      <c r="A19" s="227" t="s">
        <v>570</v>
      </c>
      <c r="B19" s="227" t="s">
        <v>312</v>
      </c>
      <c r="C19" s="228">
        <v>0.85</v>
      </c>
      <c r="D19" s="229">
        <v>40</v>
      </c>
      <c r="E19" s="230">
        <v>21.3</v>
      </c>
      <c r="F19" s="464">
        <v>7.8</v>
      </c>
      <c r="G19" s="230">
        <v>0</v>
      </c>
      <c r="H19" s="412">
        <f>E19/D19</f>
        <v>0.53249999999999997</v>
      </c>
      <c r="I19" s="530">
        <f>F19+G19*8760/1000*C19</f>
        <v>7.8</v>
      </c>
      <c r="J19" s="428">
        <f>H19/C19</f>
        <v>0.62647058823529411</v>
      </c>
      <c r="K19" s="530">
        <f>I19/C19</f>
        <v>9.1764705882352935</v>
      </c>
      <c r="L19" s="428">
        <f t="shared" si="4"/>
        <v>7.1514907332796127E-2</v>
      </c>
      <c r="M19" s="530">
        <f t="shared" si="4"/>
        <v>1.0475423045930701</v>
      </c>
      <c r="N19" s="421">
        <f>SUM(L19:M19)</f>
        <v>1.1190572119258662</v>
      </c>
      <c r="O19" s="544">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43"/>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32">
        <f>F22+G22*8760/1000*C22</f>
        <v>1</v>
      </c>
      <c r="J22" s="431">
        <f>H22/C22</f>
        <v>7.3999999999999995</v>
      </c>
      <c r="K22" s="532">
        <f>I22/C22</f>
        <v>5</v>
      </c>
      <c r="L22" s="431">
        <f>J22/8760*1000</f>
        <v>0.84474885844748848</v>
      </c>
      <c r="M22" s="532">
        <f>K22/8760*1000</f>
        <v>0.57077625570776247</v>
      </c>
      <c r="N22" s="426">
        <f>SUM(L22:M22)</f>
        <v>1.415525114155251</v>
      </c>
      <c r="O22" s="564">
        <f>N39</f>
        <v>0.79313246811604099</v>
      </c>
    </row>
    <row r="23" spans="1:15">
      <c r="A23" s="455" t="s">
        <v>310</v>
      </c>
      <c r="B23" s="455" t="s">
        <v>221</v>
      </c>
      <c r="C23" s="456">
        <v>0.2</v>
      </c>
      <c r="D23" s="457">
        <v>25</v>
      </c>
      <c r="E23" s="458">
        <v>32.340000000000003</v>
      </c>
      <c r="F23" s="467">
        <v>0.37</v>
      </c>
      <c r="G23" s="458">
        <v>0</v>
      </c>
      <c r="H23" s="459">
        <f t="shared" si="0"/>
        <v>1.2936000000000001</v>
      </c>
      <c r="I23" s="526">
        <f t="shared" si="1"/>
        <v>0.37</v>
      </c>
      <c r="J23" s="460">
        <f t="shared" si="2"/>
        <v>6.468</v>
      </c>
      <c r="K23" s="526">
        <f t="shared" si="3"/>
        <v>1.8499999999999999</v>
      </c>
      <c r="L23" s="460">
        <f t="shared" si="4"/>
        <v>0.73835616438356166</v>
      </c>
      <c r="M23" s="526">
        <f t="shared" si="4"/>
        <v>0.21118721461187212</v>
      </c>
      <c r="N23" s="461">
        <f t="shared" si="5"/>
        <v>0.94954337899543373</v>
      </c>
      <c r="O23" s="565"/>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6"/>
    </row>
    <row r="25" spans="1:15">
      <c r="A25" s="227" t="s">
        <v>434</v>
      </c>
      <c r="B25" s="227" t="s">
        <v>438</v>
      </c>
      <c r="C25" s="240">
        <v>0.4</v>
      </c>
      <c r="D25" s="229">
        <v>25</v>
      </c>
      <c r="E25" s="230">
        <f>10310/1000</f>
        <v>10.31</v>
      </c>
      <c r="F25" s="464">
        <v>1</v>
      </c>
      <c r="G25" s="230">
        <v>0</v>
      </c>
      <c r="H25" s="424">
        <f t="shared" si="0"/>
        <v>0.41240000000000004</v>
      </c>
      <c r="I25" s="532">
        <f t="shared" si="1"/>
        <v>1</v>
      </c>
      <c r="J25" s="431">
        <f t="shared" si="2"/>
        <v>1.0310000000000001</v>
      </c>
      <c r="K25" s="532">
        <f t="shared" si="3"/>
        <v>2.5</v>
      </c>
      <c r="L25" s="431">
        <f t="shared" si="4"/>
        <v>0.11769406392694066</v>
      </c>
      <c r="M25" s="532">
        <f t="shared" si="4"/>
        <v>0.28538812785388123</v>
      </c>
      <c r="N25" s="426">
        <f t="shared" si="5"/>
        <v>0.40308219178082189</v>
      </c>
      <c r="O25" s="544">
        <f>AVERAGE(N25:N26,N27)</f>
        <v>0.23028919330289191</v>
      </c>
    </row>
    <row r="26" spans="1:15">
      <c r="A26" s="214" t="s">
        <v>435</v>
      </c>
      <c r="B26" s="214" t="s">
        <v>437</v>
      </c>
      <c r="C26" s="220">
        <v>0.4</v>
      </c>
      <c r="D26" s="215">
        <v>25</v>
      </c>
      <c r="E26" s="216">
        <v>4.5</v>
      </c>
      <c r="F26" s="528">
        <v>0.38</v>
      </c>
      <c r="G26" s="531">
        <v>0</v>
      </c>
      <c r="H26" s="415">
        <f t="shared" si="0"/>
        <v>0.18</v>
      </c>
      <c r="I26" s="531">
        <f t="shared" si="1"/>
        <v>0.38</v>
      </c>
      <c r="J26" s="429">
        <f t="shared" si="2"/>
        <v>0.44999999999999996</v>
      </c>
      <c r="K26" s="531">
        <f t="shared" si="3"/>
        <v>0.95</v>
      </c>
      <c r="L26" s="429">
        <f t="shared" si="4"/>
        <v>5.1369863013698627E-2</v>
      </c>
      <c r="M26" s="531">
        <f t="shared" si="4"/>
        <v>0.10844748858447488</v>
      </c>
      <c r="N26" s="420">
        <f t="shared" si="5"/>
        <v>0.15981735159817351</v>
      </c>
      <c r="O26" s="545"/>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43"/>
    </row>
    <row r="28" spans="1:15">
      <c r="A28" s="241" t="s">
        <v>574</v>
      </c>
      <c r="B28" s="241" t="s">
        <v>362</v>
      </c>
      <c r="C28" s="240">
        <v>0.35</v>
      </c>
      <c r="D28" s="229">
        <v>25</v>
      </c>
      <c r="E28" s="230">
        <v>10.1</v>
      </c>
      <c r="F28" s="464">
        <v>0.4</v>
      </c>
      <c r="G28" s="530">
        <v>0</v>
      </c>
      <c r="H28" s="425">
        <f t="shared" si="0"/>
        <v>0.40399999999999997</v>
      </c>
      <c r="I28" s="530">
        <f t="shared" si="1"/>
        <v>0.4</v>
      </c>
      <c r="J28" s="428">
        <f t="shared" si="2"/>
        <v>1.1542857142857144</v>
      </c>
      <c r="K28" s="530">
        <f t="shared" si="3"/>
        <v>1.142857142857143</v>
      </c>
      <c r="L28" s="428">
        <f t="shared" si="4"/>
        <v>0.13176777560339206</v>
      </c>
      <c r="M28" s="530">
        <f t="shared" si="4"/>
        <v>0.13046314416177432</v>
      </c>
      <c r="N28" s="421">
        <f t="shared" si="5"/>
        <v>0.26223091976516638</v>
      </c>
      <c r="O28" s="544">
        <f>AVERAGE(N28,N29,N30:N32)</f>
        <v>0.16974559686888452</v>
      </c>
    </row>
    <row r="29" spans="1:15">
      <c r="A29" s="214" t="s">
        <v>220</v>
      </c>
      <c r="B29" s="214" t="s">
        <v>221</v>
      </c>
      <c r="C29" s="220">
        <v>0.35</v>
      </c>
      <c r="D29" s="219">
        <v>25</v>
      </c>
      <c r="E29" s="216">
        <v>3.8</v>
      </c>
      <c r="F29" s="528">
        <v>0.14399999999999999</v>
      </c>
      <c r="G29" s="531">
        <v>0</v>
      </c>
      <c r="H29" s="415">
        <f t="shared" si="0"/>
        <v>0.152</v>
      </c>
      <c r="I29" s="531">
        <f t="shared" si="1"/>
        <v>0.14399999999999999</v>
      </c>
      <c r="J29" s="429">
        <f t="shared" si="2"/>
        <v>0.43428571428571427</v>
      </c>
      <c r="K29" s="531">
        <f t="shared" si="3"/>
        <v>0.41142857142857142</v>
      </c>
      <c r="L29" s="429">
        <f t="shared" si="4"/>
        <v>4.9575994781474238E-2</v>
      </c>
      <c r="M29" s="531">
        <f t="shared" si="4"/>
        <v>4.6966731898238752E-2</v>
      </c>
      <c r="N29" s="420">
        <f t="shared" si="5"/>
        <v>9.654272667971299E-2</v>
      </c>
      <c r="O29" s="545"/>
    </row>
    <row r="30" spans="1:15">
      <c r="A30" s="214" t="s">
        <v>361</v>
      </c>
      <c r="B30" s="214" t="s">
        <v>575</v>
      </c>
      <c r="C30" s="220">
        <v>0.35</v>
      </c>
      <c r="D30" s="215">
        <v>25</v>
      </c>
      <c r="E30" s="531">
        <v>10.96</v>
      </c>
      <c r="F30" s="429">
        <v>0.17499999999999999</v>
      </c>
      <c r="G30" s="531">
        <v>0</v>
      </c>
      <c r="H30" s="415">
        <f t="shared" si="0"/>
        <v>0.43840000000000001</v>
      </c>
      <c r="I30" s="531">
        <f t="shared" si="1"/>
        <v>0.17499999999999999</v>
      </c>
      <c r="J30" s="429">
        <f t="shared" si="2"/>
        <v>1.2525714285714287</v>
      </c>
      <c r="K30" s="531">
        <f t="shared" si="3"/>
        <v>0.5</v>
      </c>
      <c r="L30" s="429">
        <f t="shared" si="4"/>
        <v>0.14298760600130464</v>
      </c>
      <c r="M30" s="531">
        <f t="shared" si="4"/>
        <v>5.7077625570776253E-2</v>
      </c>
      <c r="N30" s="420">
        <f t="shared" si="5"/>
        <v>0.20006523157208089</v>
      </c>
      <c r="O30" s="545"/>
    </row>
    <row r="31" spans="1:15">
      <c r="A31" s="214" t="s">
        <v>576</v>
      </c>
      <c r="B31" s="214" t="s">
        <v>312</v>
      </c>
      <c r="C31" s="220">
        <v>0.35</v>
      </c>
      <c r="D31" s="215">
        <v>25</v>
      </c>
      <c r="E31" s="531">
        <v>7.4</v>
      </c>
      <c r="F31" s="429">
        <v>0.2</v>
      </c>
      <c r="G31" s="531">
        <v>0</v>
      </c>
      <c r="H31" s="415">
        <f t="shared" si="0"/>
        <v>0.29600000000000004</v>
      </c>
      <c r="I31" s="531">
        <f t="shared" si="1"/>
        <v>0.2</v>
      </c>
      <c r="J31" s="429">
        <f t="shared" si="2"/>
        <v>0.84571428571428586</v>
      </c>
      <c r="K31" s="531">
        <f t="shared" si="3"/>
        <v>0.57142857142857151</v>
      </c>
      <c r="L31" s="429">
        <f t="shared" si="4"/>
        <v>9.6542726679713003E-2</v>
      </c>
      <c r="M31" s="531">
        <f t="shared" si="4"/>
        <v>6.523157208088716E-2</v>
      </c>
      <c r="N31" s="420">
        <f t="shared" si="5"/>
        <v>0.16177429876060018</v>
      </c>
      <c r="O31" s="545"/>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43"/>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34" t="s">
        <v>0</v>
      </c>
      <c r="F37" s="535"/>
      <c r="G37" s="535"/>
      <c r="H37" s="535"/>
      <c r="I37" s="535"/>
      <c r="J37" s="535"/>
      <c r="K37" s="535"/>
      <c r="L37" s="535"/>
      <c r="M37" s="536"/>
      <c r="N37" s="418">
        <v>0.17</v>
      </c>
      <c r="O37" s="537">
        <f>AVERAGE(N37,N38)</f>
        <v>0.38</v>
      </c>
    </row>
    <row r="38" spans="1:15">
      <c r="A38" s="214" t="s">
        <v>428</v>
      </c>
      <c r="B38" s="214" t="s">
        <v>430</v>
      </c>
      <c r="C38" s="221">
        <v>1</v>
      </c>
      <c r="D38" s="215">
        <v>20</v>
      </c>
      <c r="E38" s="539" t="s">
        <v>0</v>
      </c>
      <c r="F38" s="540"/>
      <c r="G38" s="540"/>
      <c r="H38" s="540"/>
      <c r="I38" s="540"/>
      <c r="J38" s="540"/>
      <c r="K38" s="540"/>
      <c r="L38" s="540"/>
      <c r="M38" s="541"/>
      <c r="N38" s="420">
        <v>0.59</v>
      </c>
      <c r="O38" s="538"/>
    </row>
    <row r="39" spans="1:15">
      <c r="A39" s="81" t="s">
        <v>758</v>
      </c>
      <c r="B39" s="81" t="s">
        <v>759</v>
      </c>
      <c r="C39" s="567">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68"/>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1"/>
      <c r="C1" s="561"/>
      <c r="D1" s="561"/>
      <c r="E1" s="561"/>
      <c r="F1" s="561"/>
      <c r="G1" s="561"/>
      <c r="H1" s="561"/>
      <c r="I1" s="561"/>
      <c r="J1" s="561"/>
      <c r="K1" s="561"/>
      <c r="L1" s="561"/>
    </row>
    <row r="2" spans="1:12">
      <c r="B2" s="561"/>
      <c r="C2" s="561"/>
      <c r="D2" s="561"/>
      <c r="E2" s="561"/>
      <c r="F2" s="561"/>
      <c r="G2" s="561"/>
      <c r="H2" s="561"/>
      <c r="I2" s="561"/>
      <c r="J2" s="561"/>
      <c r="K2" s="561"/>
      <c r="L2" s="561"/>
    </row>
    <row r="3" spans="1:12">
      <c r="B3" s="561"/>
      <c r="C3" s="561"/>
      <c r="D3" s="561"/>
      <c r="E3" s="561"/>
      <c r="F3" s="561"/>
      <c r="G3" s="561"/>
      <c r="H3" s="561"/>
      <c r="I3" s="561"/>
      <c r="J3" s="561"/>
      <c r="K3" s="561"/>
      <c r="L3" s="561"/>
    </row>
    <row r="4" spans="1:12">
      <c r="B4" s="561"/>
      <c r="C4" s="561"/>
      <c r="D4" s="561"/>
      <c r="E4" s="561"/>
      <c r="F4" s="561"/>
      <c r="G4" s="561"/>
      <c r="H4" s="561"/>
      <c r="I4" s="561"/>
      <c r="J4" s="561"/>
      <c r="K4" s="561"/>
      <c r="L4" s="561"/>
    </row>
    <row r="5" spans="1:12">
      <c r="B5" s="561"/>
      <c r="C5" s="561"/>
      <c r="D5" s="561"/>
      <c r="E5" s="561"/>
      <c r="F5" s="561"/>
      <c r="G5" s="561"/>
      <c r="H5" s="561"/>
      <c r="I5" s="561"/>
      <c r="J5" s="561"/>
      <c r="K5" s="561"/>
      <c r="L5" s="561"/>
    </row>
    <row r="6" spans="1:12">
      <c r="B6" s="561"/>
      <c r="C6" s="561"/>
      <c r="D6" s="561"/>
      <c r="E6" s="561"/>
      <c r="F6" s="561"/>
      <c r="G6" s="561"/>
      <c r="H6" s="561"/>
      <c r="I6" s="561"/>
      <c r="J6" s="561"/>
      <c r="K6" s="561"/>
      <c r="L6" s="561"/>
    </row>
    <row r="7" spans="1:12">
      <c r="B7" s="561"/>
      <c r="C7" s="561"/>
      <c r="D7" s="561"/>
      <c r="E7" s="561"/>
      <c r="F7" s="561"/>
      <c r="G7" s="561"/>
      <c r="H7" s="561"/>
      <c r="I7" s="561"/>
      <c r="J7" s="561"/>
      <c r="K7" s="561"/>
      <c r="L7" s="561"/>
    </row>
    <row r="8" spans="1:12">
      <c r="B8" s="561"/>
      <c r="C8" s="561"/>
      <c r="D8" s="561"/>
      <c r="E8" s="561"/>
      <c r="F8" s="561"/>
      <c r="G8" s="561"/>
      <c r="H8" s="561"/>
      <c r="I8" s="561"/>
      <c r="J8" s="561"/>
      <c r="K8" s="561"/>
      <c r="L8" s="561"/>
    </row>
    <row r="9" spans="1:12" ht="48" customHeight="1">
      <c r="B9" s="561"/>
      <c r="C9" s="561"/>
      <c r="D9" s="561"/>
      <c r="E9" s="561"/>
      <c r="F9" s="561"/>
      <c r="G9" s="561"/>
      <c r="H9" s="561"/>
      <c r="I9" s="561"/>
      <c r="J9" s="561"/>
      <c r="K9" s="561"/>
      <c r="L9" s="561"/>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8" zoomScale="125" zoomScaleNormal="125" zoomScalePageLayoutView="125" workbookViewId="0">
      <pane xSplit="1" topLeftCell="B1" activePane="topRight" state="frozen"/>
      <selection activeCell="A33" sqref="A33"/>
      <selection pane="topRight" activeCell="G56" sqref="G56:AJ56"/>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756</v>
      </c>
    </row>
    <row r="35" spans="1:44" s="251" customFormat="1">
      <c r="A35" s="250"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591.32365499999992</v>
      </c>
      <c r="H36" s="499">
        <v>509.42181400000004</v>
      </c>
      <c r="I36" s="499">
        <v>544.71841900000004</v>
      </c>
      <c r="J36" s="499">
        <v>561.11935800000003</v>
      </c>
      <c r="K36" s="499">
        <v>531.76098999999999</v>
      </c>
      <c r="L36" s="499">
        <v>510.91964999999999</v>
      </c>
      <c r="M36" s="499">
        <v>537.86029799999994</v>
      </c>
      <c r="N36" s="499">
        <v>547.55998</v>
      </c>
      <c r="O36" s="499">
        <v>552.56318999999996</v>
      </c>
      <c r="P36" s="499">
        <v>551.15020000000004</v>
      </c>
      <c r="Q36" s="499">
        <v>555.767563</v>
      </c>
      <c r="R36" s="499">
        <v>560.07731699999999</v>
      </c>
      <c r="S36" s="499">
        <v>560.31770400000005</v>
      </c>
      <c r="T36" s="499">
        <v>567.56789800000001</v>
      </c>
      <c r="U36" s="499">
        <v>573.14546299999995</v>
      </c>
      <c r="V36" s="499">
        <v>572.73936500000002</v>
      </c>
      <c r="W36" s="499">
        <v>572.85958900000003</v>
      </c>
      <c r="X36" s="499">
        <v>572.77831199999991</v>
      </c>
      <c r="Y36" s="499">
        <v>570.66424699999993</v>
      </c>
      <c r="Z36" s="499">
        <v>571.13212999999996</v>
      </c>
      <c r="AA36" s="499">
        <v>570.87854900000002</v>
      </c>
      <c r="AB36" s="499">
        <v>570.68813399999999</v>
      </c>
      <c r="AC36" s="499">
        <v>570.11575700000003</v>
      </c>
      <c r="AD36" s="499">
        <v>569.64642000000003</v>
      </c>
      <c r="AE36" s="499">
        <v>569.13610000000006</v>
      </c>
      <c r="AF36" s="499">
        <v>568.62970300000006</v>
      </c>
      <c r="AG36" s="499">
        <v>568.15519599999993</v>
      </c>
      <c r="AH36" s="499">
        <v>567.67633899999998</v>
      </c>
      <c r="AI36" s="499">
        <v>567.67183300000011</v>
      </c>
      <c r="AJ36" s="499">
        <v>567.66442400000005</v>
      </c>
      <c r="AK36" s="503">
        <v>0.03</v>
      </c>
      <c r="AL36" s="515" t="s">
        <v>68</v>
      </c>
      <c r="AM36" s="518">
        <v>0.24050582183797004</v>
      </c>
    </row>
    <row r="37" spans="1:44" s="251" customFormat="1">
      <c r="A37" s="501" t="s">
        <v>721</v>
      </c>
      <c r="G37" s="499">
        <v>7.5450270000000002</v>
      </c>
      <c r="H37" s="499">
        <v>4.7830259999999996</v>
      </c>
      <c r="I37" s="499">
        <v>3.9312390000000001</v>
      </c>
      <c r="J37" s="499">
        <v>3.9871850000000002</v>
      </c>
      <c r="K37" s="499">
        <v>3.864411</v>
      </c>
      <c r="L37" s="499">
        <v>3.6898569999999995</v>
      </c>
      <c r="M37" s="499">
        <v>2.2080980000000001</v>
      </c>
      <c r="N37" s="499">
        <v>2.2466269999999997</v>
      </c>
      <c r="O37" s="499">
        <v>2.2673010000000002</v>
      </c>
      <c r="P37" s="499">
        <v>2.263798</v>
      </c>
      <c r="Q37" s="499">
        <v>2.2854749999999999</v>
      </c>
      <c r="R37" s="499">
        <v>2.3014510000000001</v>
      </c>
      <c r="S37" s="499">
        <v>2.312357</v>
      </c>
      <c r="T37" s="499">
        <v>2.342514</v>
      </c>
      <c r="U37" s="499">
        <v>2.3751979999999997</v>
      </c>
      <c r="V37" s="499">
        <v>2.3506619999999998</v>
      </c>
      <c r="W37" s="499">
        <v>2.3439230000000002</v>
      </c>
      <c r="X37" s="499">
        <v>2.3437229999999998</v>
      </c>
      <c r="Y37" s="499">
        <v>2.3410069999999998</v>
      </c>
      <c r="Z37" s="499">
        <v>2.34361</v>
      </c>
      <c r="AA37" s="499">
        <v>2.3431340000000001</v>
      </c>
      <c r="AB37" s="499">
        <v>2.3426260000000001</v>
      </c>
      <c r="AC37" s="499">
        <v>2.3402319999999999</v>
      </c>
      <c r="AD37" s="499">
        <v>2.3382579999999997</v>
      </c>
      <c r="AE37" s="499">
        <v>2.3362100000000003</v>
      </c>
      <c r="AF37" s="499">
        <v>2.3342360000000002</v>
      </c>
      <c r="AG37" s="499">
        <v>2.3325259999999997</v>
      </c>
      <c r="AH37" s="499">
        <v>2.3302890000000001</v>
      </c>
      <c r="AI37" s="499">
        <v>2.3299530000000002</v>
      </c>
      <c r="AJ37" s="499">
        <v>2.329879</v>
      </c>
      <c r="AK37" s="503">
        <v>-3.7999999999999999E-2</v>
      </c>
      <c r="AL37" s="516" t="s">
        <v>69</v>
      </c>
      <c r="AM37" s="518">
        <v>0.16034400711972932</v>
      </c>
    </row>
    <row r="38" spans="1:44" s="251" customFormat="1">
      <c r="A38" s="501" t="s">
        <v>722</v>
      </c>
      <c r="G38" s="499">
        <v>402.35190399999999</v>
      </c>
      <c r="H38" s="499">
        <v>478.36942699999997</v>
      </c>
      <c r="I38" s="499">
        <v>427.04843500000004</v>
      </c>
      <c r="J38" s="499">
        <v>407.02899500000001</v>
      </c>
      <c r="K38" s="499">
        <v>439.14184499999999</v>
      </c>
      <c r="L38" s="499">
        <v>479.20338900000002</v>
      </c>
      <c r="M38" s="499">
        <v>457.72134399999999</v>
      </c>
      <c r="N38" s="499">
        <v>452.18495200000001</v>
      </c>
      <c r="O38" s="499">
        <v>459.638892</v>
      </c>
      <c r="P38" s="499">
        <v>473.59913699999998</v>
      </c>
      <c r="Q38" s="499">
        <v>480.78644199999997</v>
      </c>
      <c r="R38" s="499">
        <v>490.88744700000001</v>
      </c>
      <c r="S38" s="499">
        <v>509.69309999999996</v>
      </c>
      <c r="T38" s="499">
        <v>521.27419799999996</v>
      </c>
      <c r="U38" s="499">
        <v>527.56322499999999</v>
      </c>
      <c r="V38" s="499">
        <v>536.10758199999998</v>
      </c>
      <c r="W38" s="499">
        <v>544.45078899999999</v>
      </c>
      <c r="X38" s="499">
        <v>554.19654500000001</v>
      </c>
      <c r="Y38" s="499">
        <v>558.75119099999995</v>
      </c>
      <c r="Z38" s="499">
        <v>567.44431999999995</v>
      </c>
      <c r="AA38" s="499">
        <v>571.17699799999991</v>
      </c>
      <c r="AB38" s="499">
        <v>577.43432899999993</v>
      </c>
      <c r="AC38" s="499">
        <v>581.95111599999996</v>
      </c>
      <c r="AD38" s="499">
        <v>588.207446</v>
      </c>
      <c r="AE38" s="499">
        <v>598.09193800000003</v>
      </c>
      <c r="AF38" s="499">
        <v>606.92750899999999</v>
      </c>
      <c r="AG38" s="499">
        <v>620.93495200000007</v>
      </c>
      <c r="AH38" s="499">
        <v>636.46229600000015</v>
      </c>
      <c r="AI38" s="499">
        <v>648.501305</v>
      </c>
      <c r="AJ38" s="499">
        <v>657.86421500000006</v>
      </c>
      <c r="AK38" s="503">
        <v>-4.0000000000000001E-3</v>
      </c>
      <c r="AL38" s="516" t="s">
        <v>76</v>
      </c>
      <c r="AM38" s="518">
        <v>0.49231492184762071</v>
      </c>
    </row>
    <row r="39" spans="1:44" s="251" customFormat="1">
      <c r="A39" s="501" t="s">
        <v>723</v>
      </c>
      <c r="G39" s="499">
        <v>210.65300099999999</v>
      </c>
      <c r="H39" s="499">
        <v>208.70800600000001</v>
      </c>
      <c r="I39" s="499">
        <v>205.375045</v>
      </c>
      <c r="J39" s="499">
        <v>205.984556</v>
      </c>
      <c r="K39" s="499">
        <v>213.80442800000003</v>
      </c>
      <c r="L39" s="499">
        <v>222.86256099999997</v>
      </c>
      <c r="M39" s="499">
        <v>231.66724999999997</v>
      </c>
      <c r="N39" s="499">
        <v>238.50375199999999</v>
      </c>
      <c r="O39" s="499">
        <v>239.69814500000001</v>
      </c>
      <c r="P39" s="499">
        <v>239.698151</v>
      </c>
      <c r="Q39" s="499">
        <v>239.698151</v>
      </c>
      <c r="R39" s="499">
        <v>239.698149</v>
      </c>
      <c r="S39" s="499">
        <v>239.698151</v>
      </c>
      <c r="T39" s="499">
        <v>239.69814500000001</v>
      </c>
      <c r="U39" s="499">
        <v>239.69862999999998</v>
      </c>
      <c r="V39" s="499">
        <v>239.698149</v>
      </c>
      <c r="W39" s="499">
        <v>239.69814700000001</v>
      </c>
      <c r="X39" s="499">
        <v>239.69814700000001</v>
      </c>
      <c r="Y39" s="499">
        <v>239.698151</v>
      </c>
      <c r="Z39" s="499">
        <v>239.69814700000001</v>
      </c>
      <c r="AA39" s="499">
        <v>239.69814700000001</v>
      </c>
      <c r="AB39" s="499">
        <v>239.698149</v>
      </c>
      <c r="AC39" s="499">
        <v>239.69814400000001</v>
      </c>
      <c r="AD39" s="499">
        <v>239.69814700000001</v>
      </c>
      <c r="AE39" s="499">
        <v>239.698151</v>
      </c>
      <c r="AF39" s="499">
        <v>239.698151</v>
      </c>
      <c r="AG39" s="499">
        <v>239.698151</v>
      </c>
      <c r="AH39" s="499">
        <v>239.698151</v>
      </c>
      <c r="AI39" s="499">
        <v>239.69814700000001</v>
      </c>
      <c r="AJ39" s="499">
        <v>239.69814700000001</v>
      </c>
      <c r="AK39" s="503">
        <v>-5.0000000000000001E-3</v>
      </c>
      <c r="AL39" s="516" t="s">
        <v>742</v>
      </c>
      <c r="AM39" s="518">
        <v>0.67744681745183499</v>
      </c>
    </row>
    <row r="40" spans="1:44" s="251" customFormat="1">
      <c r="A40" s="501" t="s">
        <v>724</v>
      </c>
      <c r="G40" s="499">
        <v>1.157562</v>
      </c>
      <c r="H40" s="499">
        <v>1.1387160000000001</v>
      </c>
      <c r="I40" s="499">
        <v>-1.0565609999999999</v>
      </c>
      <c r="J40" s="499">
        <v>-1.054187</v>
      </c>
      <c r="K40" s="499">
        <v>-1.0541860000000001</v>
      </c>
      <c r="L40" s="499">
        <v>-1.053023</v>
      </c>
      <c r="M40" s="499">
        <v>-1.053023</v>
      </c>
      <c r="N40" s="499">
        <v>-1.0525070000000001</v>
      </c>
      <c r="O40" s="499">
        <v>-1.0519419999999999</v>
      </c>
      <c r="P40" s="499">
        <v>-1.049839</v>
      </c>
      <c r="Q40" s="499">
        <v>-1.04861</v>
      </c>
      <c r="R40" s="499">
        <v>-1.047512</v>
      </c>
      <c r="S40" s="499">
        <v>-1.0474729999999999</v>
      </c>
      <c r="T40" s="499">
        <v>-1.0474319999999999</v>
      </c>
      <c r="U40" s="499">
        <v>-1.042886</v>
      </c>
      <c r="V40" s="499">
        <v>-1.040087</v>
      </c>
      <c r="W40" s="499">
        <v>-1.0376000000000001</v>
      </c>
      <c r="X40" s="499">
        <v>-1.0325770000000001</v>
      </c>
      <c r="Y40" s="499">
        <v>-1.029685</v>
      </c>
      <c r="Z40" s="499">
        <v>-1.0285440000000001</v>
      </c>
      <c r="AA40" s="499">
        <v>-1.0275510000000001</v>
      </c>
      <c r="AB40" s="499">
        <v>-1.0269680000000001</v>
      </c>
      <c r="AC40" s="499">
        <v>-1.026475</v>
      </c>
      <c r="AD40" s="499">
        <v>-1.0257160000000001</v>
      </c>
      <c r="AE40" s="499">
        <v>-1.025215</v>
      </c>
      <c r="AF40" s="499">
        <v>-1.024686</v>
      </c>
      <c r="AG40" s="499">
        <v>-1.0236839999999998</v>
      </c>
      <c r="AH40" s="499">
        <v>-1.0230999999999999</v>
      </c>
      <c r="AI40" s="499">
        <v>-1.0225420000000001</v>
      </c>
      <c r="AJ40" s="499">
        <v>-1.021506</v>
      </c>
      <c r="AK40" s="503">
        <v>1E-3</v>
      </c>
      <c r="AL40" s="517" t="s">
        <v>225</v>
      </c>
      <c r="AM40" s="518">
        <v>0.19870721096776764</v>
      </c>
    </row>
    <row r="41" spans="1:44" s="251" customFormat="1">
      <c r="A41" s="501" t="s">
        <v>725</v>
      </c>
      <c r="G41" s="499">
        <v>90.044575999999992</v>
      </c>
      <c r="H41" s="499">
        <v>87.587425999999994</v>
      </c>
      <c r="I41" s="499">
        <v>103.043627</v>
      </c>
      <c r="J41" s="499">
        <v>106.50949800000001</v>
      </c>
      <c r="K41" s="499">
        <v>120.12401500000001</v>
      </c>
      <c r="L41" s="499">
        <v>129.478813</v>
      </c>
      <c r="M41" s="499">
        <v>131.505672</v>
      </c>
      <c r="N41" s="499">
        <v>132.48445699999999</v>
      </c>
      <c r="O41" s="499">
        <v>132.887441</v>
      </c>
      <c r="P41" s="499">
        <v>133.36361600000001</v>
      </c>
      <c r="Q41" s="499">
        <v>134.32344000000001</v>
      </c>
      <c r="R41" s="499">
        <v>134.88210699999999</v>
      </c>
      <c r="S41" s="499">
        <v>137.740183</v>
      </c>
      <c r="T41" s="499">
        <v>138.51680100000002</v>
      </c>
      <c r="U41" s="499">
        <v>141.88022899999999</v>
      </c>
      <c r="V41" s="499">
        <v>142.50879100000003</v>
      </c>
      <c r="W41" s="499">
        <v>143.27350600000003</v>
      </c>
      <c r="X41" s="499">
        <v>144.13138799999999</v>
      </c>
      <c r="Y41" s="499">
        <v>148.44254699999999</v>
      </c>
      <c r="Z41" s="499">
        <v>149.46138299999998</v>
      </c>
      <c r="AA41" s="499">
        <v>150.02957600000002</v>
      </c>
      <c r="AB41" s="499">
        <v>150.56626400000002</v>
      </c>
      <c r="AC41" s="499">
        <v>150.808009</v>
      </c>
      <c r="AD41" s="499">
        <v>151.33506200000002</v>
      </c>
      <c r="AE41" s="499">
        <v>152.14981700000001</v>
      </c>
      <c r="AF41" s="499">
        <v>152.74097999999998</v>
      </c>
      <c r="AG41" s="499">
        <v>153.329735</v>
      </c>
      <c r="AH41" s="499">
        <v>154.036767</v>
      </c>
      <c r="AI41" s="499">
        <v>154.81488899999999</v>
      </c>
      <c r="AJ41" s="499">
        <v>155.80237199999999</v>
      </c>
      <c r="AK41" s="503">
        <v>2.1000000000000001E-2</v>
      </c>
      <c r="AL41" s="517" t="s">
        <v>379</v>
      </c>
      <c r="AM41" s="518">
        <v>0.24620983972719315</v>
      </c>
    </row>
    <row r="42" spans="1:44" s="251" customFormat="1">
      <c r="A42" s="501" t="s">
        <v>726</v>
      </c>
      <c r="G42" s="499">
        <v>0</v>
      </c>
      <c r="H42" s="499">
        <v>0</v>
      </c>
      <c r="I42" s="499">
        <v>0</v>
      </c>
      <c r="J42" s="499">
        <v>0</v>
      </c>
      <c r="K42" s="499">
        <v>0.138347</v>
      </c>
      <c r="L42" s="499">
        <v>0.17615500000000001</v>
      </c>
      <c r="M42" s="499">
        <v>0.22020400000000001</v>
      </c>
      <c r="N42" s="499">
        <v>0.26187199999999999</v>
      </c>
      <c r="O42" s="499">
        <v>0.30839099999999997</v>
      </c>
      <c r="P42" s="499">
        <v>0.41514600000000002</v>
      </c>
      <c r="Q42" s="499">
        <v>0.53129399999999993</v>
      </c>
      <c r="R42" s="499">
        <v>0.65826099999999999</v>
      </c>
      <c r="S42" s="499">
        <v>0.79062100000000002</v>
      </c>
      <c r="T42" s="499">
        <v>0.84659699999999993</v>
      </c>
      <c r="U42" s="499">
        <v>0.89368700000000001</v>
      </c>
      <c r="V42" s="499">
        <v>0.94406099999999993</v>
      </c>
      <c r="W42" s="499">
        <v>0.99521099999999996</v>
      </c>
      <c r="X42" s="499">
        <v>1.0492859999999999</v>
      </c>
      <c r="Y42" s="499">
        <v>1.104536</v>
      </c>
      <c r="Z42" s="499">
        <v>1.1563030000000001</v>
      </c>
      <c r="AA42" s="499">
        <v>1.2066940000000002</v>
      </c>
      <c r="AB42" s="499">
        <v>1.2582610000000001</v>
      </c>
      <c r="AC42" s="499">
        <v>1.3122440000000002</v>
      </c>
      <c r="AD42" s="499">
        <v>1.4250240000000001</v>
      </c>
      <c r="AE42" s="499">
        <v>1.534551</v>
      </c>
      <c r="AF42" s="499">
        <v>1.6419260000000002</v>
      </c>
      <c r="AG42" s="499">
        <v>1.7553640000000001</v>
      </c>
      <c r="AH42" s="499">
        <v>1.8796810000000002</v>
      </c>
      <c r="AI42" s="499">
        <v>2.012562</v>
      </c>
      <c r="AJ42" s="499">
        <v>2.1356309999999996</v>
      </c>
      <c r="AK42" s="499" t="s">
        <v>41</v>
      </c>
      <c r="AL42" s="517" t="s">
        <v>743</v>
      </c>
      <c r="AM42" s="518">
        <v>0</v>
      </c>
    </row>
    <row r="43" spans="1:44" s="251" customFormat="1">
      <c r="A43" s="502" t="s">
        <v>727</v>
      </c>
      <c r="G43" s="500">
        <v>1303.0757450000001</v>
      </c>
      <c r="H43" s="500">
        <v>1290.008423</v>
      </c>
      <c r="I43" s="500">
        <v>1283.0601799999999</v>
      </c>
      <c r="J43" s="500">
        <v>1283.5754239999999</v>
      </c>
      <c r="K43" s="500">
        <v>1307.7798919999998</v>
      </c>
      <c r="L43" s="500">
        <v>1345.2773740000002</v>
      </c>
      <c r="M43" s="500">
        <v>1360.129852</v>
      </c>
      <c r="N43" s="500">
        <v>1372.1891479999999</v>
      </c>
      <c r="O43" s="500">
        <v>1386.3114629999998</v>
      </c>
      <c r="P43" s="500">
        <v>1399.4402150000001</v>
      </c>
      <c r="Q43" s="500">
        <v>1412.343764</v>
      </c>
      <c r="R43" s="500">
        <v>1427.4572440000002</v>
      </c>
      <c r="S43" s="500">
        <v>1449.5046699999998</v>
      </c>
      <c r="T43" s="500">
        <v>1469.198746</v>
      </c>
      <c r="U43" s="500">
        <v>1484.5135330000001</v>
      </c>
      <c r="V43" s="500">
        <v>1493.308548</v>
      </c>
      <c r="W43" s="500">
        <v>1502.5835729999999</v>
      </c>
      <c r="X43" s="500">
        <v>1513.1648399999999</v>
      </c>
      <c r="Y43" s="500">
        <v>1519.9720609999999</v>
      </c>
      <c r="Z43" s="500">
        <v>1530.2073520000001</v>
      </c>
      <c r="AA43" s="500">
        <v>1534.3055880000002</v>
      </c>
      <c r="AB43" s="500">
        <v>1540.9608000000001</v>
      </c>
      <c r="AC43" s="500">
        <v>1545.1990959999998</v>
      </c>
      <c r="AD43" s="500">
        <v>1551.624648</v>
      </c>
      <c r="AE43" s="500">
        <v>1561.9216140000001</v>
      </c>
      <c r="AF43" s="500">
        <v>1570.9478590000001</v>
      </c>
      <c r="AG43" s="500">
        <v>1585.1822809999999</v>
      </c>
      <c r="AH43" s="500">
        <v>1601.06041</v>
      </c>
      <c r="AI43" s="500">
        <v>1614.0061479999999</v>
      </c>
      <c r="AJ43" s="500">
        <v>1624.4732049999998</v>
      </c>
      <c r="AK43" s="504">
        <v>1E-3</v>
      </c>
      <c r="AL43" s="517" t="s">
        <v>744</v>
      </c>
      <c r="AM43" s="518">
        <v>0.40511883938961973</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0.31230057625443453</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749</v>
      </c>
      <c r="AN48" s="255">
        <v>2006</v>
      </c>
      <c r="AO48" s="255">
        <v>2007</v>
      </c>
      <c r="AP48" s="255">
        <v>2008</v>
      </c>
      <c r="AQ48" s="255">
        <v>2009</v>
      </c>
      <c r="AR48" s="255">
        <v>2010</v>
      </c>
    </row>
    <row r="49" spans="1:44" s="255" customFormat="1">
      <c r="A49" s="254" t="s">
        <v>68</v>
      </c>
      <c r="B49" s="505">
        <f>AN51</f>
        <v>146.39099999999999</v>
      </c>
      <c r="C49" s="505">
        <f t="shared" ref="C49:F49" si="0">AO51</f>
        <v>147.279</v>
      </c>
      <c r="D49" s="505">
        <f t="shared" si="0"/>
        <v>147.13200000000001</v>
      </c>
      <c r="E49" s="505">
        <f t="shared" si="0"/>
        <v>139.107</v>
      </c>
      <c r="F49" s="505">
        <f t="shared" si="0"/>
        <v>150.173</v>
      </c>
      <c r="G49" s="484">
        <f t="shared" ref="G49:AJ49" si="1">G36*$AM36</f>
        <v>142.21678161800725</v>
      </c>
      <c r="H49" s="484">
        <f t="shared" si="1"/>
        <v>122.51891203825951</v>
      </c>
      <c r="I49" s="484">
        <f t="shared" si="1"/>
        <v>131.00795103187471</v>
      </c>
      <c r="J49" s="484">
        <f t="shared" si="1"/>
        <v>134.95247234498413</v>
      </c>
      <c r="K49" s="484">
        <f t="shared" si="1"/>
        <v>127.89161392132256</v>
      </c>
      <c r="L49" s="484">
        <f t="shared" si="1"/>
        <v>122.87915031641801</v>
      </c>
      <c r="M49" s="484">
        <f t="shared" si="1"/>
        <v>129.35853300450546</v>
      </c>
      <c r="N49" s="484">
        <f t="shared" si="1"/>
        <v>131.69136299548242</v>
      </c>
      <c r="O49" s="484">
        <f t="shared" si="1"/>
        <v>132.89466412836038</v>
      </c>
      <c r="P49" s="484">
        <f t="shared" si="1"/>
        <v>132.55483180716155</v>
      </c>
      <c r="Q49" s="484">
        <f t="shared" si="1"/>
        <v>133.66533449020079</v>
      </c>
      <c r="R49" s="484">
        <f t="shared" si="1"/>
        <v>134.70185541789027</v>
      </c>
      <c r="S49" s="484">
        <f t="shared" si="1"/>
        <v>134.75966989088445</v>
      </c>
      <c r="T49" s="484">
        <f t="shared" si="1"/>
        <v>136.50338375733915</v>
      </c>
      <c r="U49" s="484">
        <f t="shared" si="1"/>
        <v>137.84482061151883</v>
      </c>
      <c r="V49" s="484">
        <f t="shared" si="1"/>
        <v>137.74715167828211</v>
      </c>
      <c r="W49" s="484">
        <f t="shared" si="1"/>
        <v>137.77606625020675</v>
      </c>
      <c r="X49" s="484">
        <f t="shared" si="1"/>
        <v>137.75651865852518</v>
      </c>
      <c r="Y49" s="484">
        <f t="shared" si="1"/>
        <v>137.24807371828132</v>
      </c>
      <c r="Z49" s="484">
        <f t="shared" si="1"/>
        <v>137.36060230372033</v>
      </c>
      <c r="AA49" s="484">
        <f t="shared" si="1"/>
        <v>137.29961459691285</v>
      </c>
      <c r="AB49" s="484">
        <f t="shared" si="1"/>
        <v>137.25381868084756</v>
      </c>
      <c r="AC49" s="484">
        <f t="shared" si="1"/>
        <v>137.11615868006143</v>
      </c>
      <c r="AD49" s="484">
        <f t="shared" si="1"/>
        <v>137.00328039915746</v>
      </c>
      <c r="AE49" s="484">
        <f t="shared" si="1"/>
        <v>136.88054546815712</v>
      </c>
      <c r="AF49" s="484">
        <f t="shared" si="1"/>
        <v>136.75875404149582</v>
      </c>
      <c r="AG49" s="484">
        <f t="shared" si="1"/>
        <v>136.64463234549294</v>
      </c>
      <c r="AH49" s="484">
        <f t="shared" si="1"/>
        <v>136.52946444916509</v>
      </c>
      <c r="AI49" s="484">
        <f t="shared" si="1"/>
        <v>136.52838072993191</v>
      </c>
      <c r="AJ49" s="484">
        <f t="shared" si="1"/>
        <v>136.5265988222979</v>
      </c>
      <c r="AK49"/>
    </row>
    <row r="50" spans="1:44" s="255" customFormat="1">
      <c r="A50" s="254" t="s">
        <v>69</v>
      </c>
      <c r="B50" s="505">
        <f t="shared" ref="B50:B51" si="2">AN52</f>
        <v>1.7889999999999999</v>
      </c>
      <c r="C50" s="505">
        <f t="shared" ref="C50:C51" si="3">AO52</f>
        <v>1.3089999999999999</v>
      </c>
      <c r="D50" s="505">
        <f t="shared" ref="D50:D51" si="4">AP52</f>
        <v>1.034</v>
      </c>
      <c r="E50" s="505">
        <f t="shared" ref="E50:E51" si="5">AQ52</f>
        <v>1.405</v>
      </c>
      <c r="F50" s="505">
        <f t="shared" ref="F50:F51" si="6">AR52</f>
        <v>0.70799999999999996</v>
      </c>
      <c r="G50" s="484">
        <f t="shared" ref="G50:AJ50" si="7">G37*$AM37</f>
        <v>1.2097998630065501</v>
      </c>
      <c r="H50" s="484">
        <f t="shared" si="7"/>
        <v>0.76692955499785043</v>
      </c>
      <c r="I50" s="484">
        <f t="shared" si="7"/>
        <v>0.63035061420535765</v>
      </c>
      <c r="J50" s="484">
        <f t="shared" si="7"/>
        <v>0.63932122002767799</v>
      </c>
      <c r="K50" s="484">
        <f t="shared" si="7"/>
        <v>0.61963514489756033</v>
      </c>
      <c r="L50" s="484">
        <f t="shared" si="7"/>
        <v>0.59164645707878294</v>
      </c>
      <c r="M50" s="484">
        <f t="shared" si="7"/>
        <v>0.35405528143306009</v>
      </c>
      <c r="N50" s="484">
        <f t="shared" si="7"/>
        <v>0.36023317568337609</v>
      </c>
      <c r="O50" s="484">
        <f t="shared" si="7"/>
        <v>0.36354812768656947</v>
      </c>
      <c r="P50" s="484">
        <f t="shared" si="7"/>
        <v>0.36298644262962898</v>
      </c>
      <c r="Q50" s="484">
        <f t="shared" si="7"/>
        <v>0.36646221967196335</v>
      </c>
      <c r="R50" s="484">
        <f t="shared" si="7"/>
        <v>0.36902387552970817</v>
      </c>
      <c r="S50" s="484">
        <f t="shared" si="7"/>
        <v>0.37077258727135592</v>
      </c>
      <c r="T50" s="484">
        <f t="shared" si="7"/>
        <v>0.3756080814940656</v>
      </c>
      <c r="U50" s="484">
        <f t="shared" si="7"/>
        <v>0.38084876502276677</v>
      </c>
      <c r="V50" s="484">
        <f t="shared" si="7"/>
        <v>0.37691456446407712</v>
      </c>
      <c r="W50" s="484">
        <f t="shared" si="7"/>
        <v>0.37583400620009733</v>
      </c>
      <c r="X50" s="484">
        <f t="shared" si="7"/>
        <v>0.37580193739867335</v>
      </c>
      <c r="Y50" s="484">
        <f t="shared" si="7"/>
        <v>0.37536644307533618</v>
      </c>
      <c r="Z50" s="484">
        <f t="shared" si="7"/>
        <v>0.37578381852586884</v>
      </c>
      <c r="AA50" s="484">
        <f t="shared" si="7"/>
        <v>0.37570749477847987</v>
      </c>
      <c r="AB50" s="484">
        <f t="shared" si="7"/>
        <v>0.37562604002286304</v>
      </c>
      <c r="AC50" s="484">
        <f t="shared" si="7"/>
        <v>0.37524217646981839</v>
      </c>
      <c r="AD50" s="484">
        <f t="shared" si="7"/>
        <v>0.37492565739976402</v>
      </c>
      <c r="AE50" s="484">
        <f t="shared" si="7"/>
        <v>0.3745972728731829</v>
      </c>
      <c r="AF50" s="484">
        <f t="shared" si="7"/>
        <v>0.37428075380312853</v>
      </c>
      <c r="AG50" s="484">
        <f t="shared" si="7"/>
        <v>0.37400656555095368</v>
      </c>
      <c r="AH50" s="484">
        <f t="shared" si="7"/>
        <v>0.37364787600702692</v>
      </c>
      <c r="AI50" s="484">
        <f t="shared" si="7"/>
        <v>0.37359400042063473</v>
      </c>
      <c r="AJ50" s="484">
        <f t="shared" si="7"/>
        <v>0.37358213496410786</v>
      </c>
      <c r="AK50"/>
      <c r="AM50" s="255" t="s">
        <v>752</v>
      </c>
      <c r="AN50" s="255">
        <v>349.84899999999999</v>
      </c>
      <c r="AO50" s="255">
        <v>351.72</v>
      </c>
      <c r="AP50" s="255">
        <v>344.81299999999999</v>
      </c>
      <c r="AQ50" s="255">
        <v>333.22699999999998</v>
      </c>
      <c r="AR50" s="255">
        <v>341.05399999999997</v>
      </c>
    </row>
    <row r="51" spans="1:44" s="255" customFormat="1">
      <c r="A51" s="254" t="s">
        <v>76</v>
      </c>
      <c r="B51" s="505">
        <f t="shared" si="2"/>
        <v>197.87</v>
      </c>
      <c r="C51" s="505">
        <f t="shared" si="3"/>
        <v>199.53100000000001</v>
      </c>
      <c r="D51" s="505">
        <f t="shared" si="4"/>
        <v>193.24700000000001</v>
      </c>
      <c r="E51" s="505">
        <f t="shared" si="5"/>
        <v>189.066</v>
      </c>
      <c r="F51" s="505">
        <f t="shared" si="6"/>
        <v>186.88200000000001</v>
      </c>
      <c r="G51" s="484">
        <f t="shared" ref="G51:AJ51" si="8">G38*$AM38</f>
        <v>198.08384617300138</v>
      </c>
      <c r="H51" s="484">
        <f t="shared" si="8"/>
        <v>235.5084070677961</v>
      </c>
      <c r="I51" s="484">
        <f t="shared" si="8"/>
        <v>210.24231690217374</v>
      </c>
      <c r="J51" s="484">
        <f t="shared" si="8"/>
        <v>200.3864478631406</v>
      </c>
      <c r="K51" s="484">
        <f t="shared" si="8"/>
        <v>216.19608310119497</v>
      </c>
      <c r="L51" s="484">
        <f t="shared" si="8"/>
        <v>235.91897900465</v>
      </c>
      <c r="M51" s="484">
        <f t="shared" si="8"/>
        <v>225.34304769934792</v>
      </c>
      <c r="N51" s="484">
        <f t="shared" si="8"/>
        <v>222.61739930455013</v>
      </c>
      <c r="O51" s="484">
        <f t="shared" si="8"/>
        <v>226.28708519310698</v>
      </c>
      <c r="P51" s="484">
        <f t="shared" si="8"/>
        <v>233.15992211925561</v>
      </c>
      <c r="Q51" s="484">
        <f t="shared" si="8"/>
        <v>236.69833961862562</v>
      </c>
      <c r="R51" s="484">
        <f t="shared" si="8"/>
        <v>241.67121510578306</v>
      </c>
      <c r="S51" s="484">
        <f t="shared" si="8"/>
        <v>250.9295186927715</v>
      </c>
      <c r="T51" s="484">
        <f t="shared" si="8"/>
        <v>256.63106604955112</v>
      </c>
      <c r="U51" s="484">
        <f t="shared" si="8"/>
        <v>259.72724788555371</v>
      </c>
      <c r="V51" s="484">
        <f t="shared" si="8"/>
        <v>263.93376233424692</v>
      </c>
      <c r="W51" s="484">
        <f t="shared" si="8"/>
        <v>268.04124763641045</v>
      </c>
      <c r="X51" s="484">
        <f t="shared" si="8"/>
        <v>272.83922873989644</v>
      </c>
      <c r="Y51" s="484">
        <f t="shared" si="8"/>
        <v>275.08154892942997</v>
      </c>
      <c r="Z51" s="484">
        <f t="shared" si="8"/>
        <v>279.36130605367623</v>
      </c>
      <c r="AA51" s="484">
        <f t="shared" si="8"/>
        <v>281.19895913152857</v>
      </c>
      <c r="AB51" s="484">
        <f t="shared" si="8"/>
        <v>284.27953655376825</v>
      </c>
      <c r="AC51" s="484">
        <f t="shared" si="8"/>
        <v>286.50321819267566</v>
      </c>
      <c r="AD51" s="484">
        <f t="shared" si="8"/>
        <v>289.58330280767859</v>
      </c>
      <c r="AE51" s="484">
        <f t="shared" si="8"/>
        <v>294.44958571416203</v>
      </c>
      <c r="AF51" s="484">
        <f t="shared" si="8"/>
        <v>298.79946916050613</v>
      </c>
      <c r="AG51" s="484">
        <f t="shared" si="8"/>
        <v>305.69554236633616</v>
      </c>
      <c r="AH51" s="484">
        <f t="shared" si="8"/>
        <v>313.33988551419731</v>
      </c>
      <c r="AI51" s="484">
        <f t="shared" si="8"/>
        <v>319.26686928915507</v>
      </c>
      <c r="AJ51" s="484">
        <f t="shared" si="8"/>
        <v>323.87636959407138</v>
      </c>
      <c r="AK51"/>
      <c r="AM51" s="255" t="s">
        <v>68</v>
      </c>
      <c r="AN51" s="255">
        <v>146.39099999999999</v>
      </c>
      <c r="AO51" s="255">
        <v>147.279</v>
      </c>
      <c r="AP51" s="255">
        <v>147.13200000000001</v>
      </c>
      <c r="AQ51" s="255">
        <v>139.107</v>
      </c>
      <c r="AR51" s="255">
        <v>150.173</v>
      </c>
    </row>
    <row r="52" spans="1:44" s="255" customFormat="1">
      <c r="A52" s="254" t="s">
        <v>71</v>
      </c>
      <c r="B52" s="506">
        <f>AN55</f>
        <v>41.264000000000003</v>
      </c>
      <c r="C52" s="506">
        <f t="shared" ref="C52:F52" si="9">AO55</f>
        <v>40.954999999999998</v>
      </c>
      <c r="D52" s="506">
        <f t="shared" si="9"/>
        <v>40.726999999999997</v>
      </c>
      <c r="E52" s="506">
        <f t="shared" si="9"/>
        <v>41.497999999999998</v>
      </c>
      <c r="F52" s="506">
        <f t="shared" si="9"/>
        <v>41.335000000000001</v>
      </c>
      <c r="G52" s="484">
        <f>G39*$AM40</f>
        <v>41.858270310700362</v>
      </c>
      <c r="H52" s="484">
        <f t="shared" ref="H52:AJ52" si="10">H39*$AM40</f>
        <v>41.471785778904113</v>
      </c>
      <c r="I52" s="484">
        <f t="shared" si="10"/>
        <v>40.809502394329769</v>
      </c>
      <c r="J52" s="484">
        <f t="shared" si="10"/>
        <v>40.930616625193949</v>
      </c>
      <c r="K52" s="484">
        <f t="shared" si="10"/>
        <v>42.484481580438896</v>
      </c>
      <c r="L52" s="484">
        <f t="shared" si="10"/>
        <v>44.284397925443976</v>
      </c>
      <c r="M52" s="484">
        <f t="shared" si="10"/>
        <v>46.03395312007256</v>
      </c>
      <c r="N52" s="484">
        <f t="shared" si="10"/>
        <v>47.392415365268128</v>
      </c>
      <c r="O52" s="484">
        <f t="shared" si="10"/>
        <v>47.629749867097559</v>
      </c>
      <c r="P52" s="484">
        <f t="shared" si="10"/>
        <v>47.629751059340826</v>
      </c>
      <c r="Q52" s="484">
        <f t="shared" si="10"/>
        <v>47.629751059340826</v>
      </c>
      <c r="R52" s="484">
        <f t="shared" si="10"/>
        <v>47.629750661926401</v>
      </c>
      <c r="S52" s="484">
        <f t="shared" si="10"/>
        <v>47.629751059340826</v>
      </c>
      <c r="T52" s="484">
        <f t="shared" si="10"/>
        <v>47.629749867097559</v>
      </c>
      <c r="U52" s="484">
        <f t="shared" si="10"/>
        <v>47.629846240094871</v>
      </c>
      <c r="V52" s="484">
        <f t="shared" si="10"/>
        <v>47.629750661926401</v>
      </c>
      <c r="W52" s="484">
        <f t="shared" si="10"/>
        <v>47.629750264511983</v>
      </c>
      <c r="X52" s="484">
        <f t="shared" si="10"/>
        <v>47.629750264511983</v>
      </c>
      <c r="Y52" s="484">
        <f t="shared" si="10"/>
        <v>47.629751059340826</v>
      </c>
      <c r="Z52" s="484">
        <f t="shared" si="10"/>
        <v>47.629750264511983</v>
      </c>
      <c r="AA52" s="484">
        <f t="shared" si="10"/>
        <v>47.629750264511983</v>
      </c>
      <c r="AB52" s="484">
        <f t="shared" si="10"/>
        <v>47.629750661926401</v>
      </c>
      <c r="AC52" s="484">
        <f t="shared" si="10"/>
        <v>47.629749668390346</v>
      </c>
      <c r="AD52" s="484">
        <f t="shared" si="10"/>
        <v>47.629750264511983</v>
      </c>
      <c r="AE52" s="484">
        <f t="shared" si="10"/>
        <v>47.629751059340826</v>
      </c>
      <c r="AF52" s="484">
        <f t="shared" si="10"/>
        <v>47.629751059340826</v>
      </c>
      <c r="AG52" s="484">
        <f t="shared" si="10"/>
        <v>47.629751059340826</v>
      </c>
      <c r="AH52" s="484">
        <f t="shared" si="10"/>
        <v>47.629751059340826</v>
      </c>
      <c r="AI52" s="484">
        <f t="shared" si="10"/>
        <v>47.629750264511983</v>
      </c>
      <c r="AJ52" s="484">
        <f t="shared" si="10"/>
        <v>47.629750264511983</v>
      </c>
      <c r="AK52"/>
      <c r="AM52" s="255" t="s">
        <v>69</v>
      </c>
      <c r="AN52" s="255">
        <v>1.7889999999999999</v>
      </c>
      <c r="AO52" s="255">
        <v>1.3089999999999999</v>
      </c>
      <c r="AP52" s="255">
        <v>1.034</v>
      </c>
      <c r="AQ52" s="255">
        <v>1.405</v>
      </c>
      <c r="AR52" s="255">
        <v>0.70799999999999996</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197.87</v>
      </c>
      <c r="AO53" s="255">
        <v>199.53100000000001</v>
      </c>
      <c r="AP53" s="255">
        <v>193.24700000000001</v>
      </c>
      <c r="AQ53" s="255">
        <v>189.066</v>
      </c>
      <c r="AR53" s="255">
        <v>186.88200000000001</v>
      </c>
    </row>
    <row r="54" spans="1:44" s="255" customFormat="1">
      <c r="A54" s="254" t="s">
        <v>628</v>
      </c>
      <c r="B54" s="506">
        <f>AN56</f>
        <v>8.48</v>
      </c>
      <c r="C54" s="506">
        <f t="shared" ref="C54:F54" si="11">AO56</f>
        <v>11.932</v>
      </c>
      <c r="D54" s="506">
        <f t="shared" si="11"/>
        <v>18.678999999999998</v>
      </c>
      <c r="E54" s="506">
        <f t="shared" si="11"/>
        <v>22.132999999999999</v>
      </c>
      <c r="F54" s="506">
        <f t="shared" si="11"/>
        <v>28.966999999999999</v>
      </c>
      <c r="G54" s="484">
        <f>EIA_RE_aeo2014!G79</f>
        <v>30.593256294473203</v>
      </c>
      <c r="H54" s="484">
        <f>EIA_RE_aeo2014!H79</f>
        <v>33.685493912500242</v>
      </c>
      <c r="I54" s="484">
        <f>EIA_RE_aeo2014!I79</f>
        <v>36.288665680410482</v>
      </c>
      <c r="J54" s="484">
        <f>EIA_RE_aeo2014!J79</f>
        <v>36.810270304383188</v>
      </c>
      <c r="K54" s="484">
        <f>EIA_RE_aeo2014!K79</f>
        <v>45.787765354755997</v>
      </c>
      <c r="L54" s="484">
        <f>EIA_RE_aeo2014!L79</f>
        <v>51.92617401489327</v>
      </c>
      <c r="M54" s="484">
        <f>EIA_RE_aeo2014!M79</f>
        <v>52.046913423469285</v>
      </c>
      <c r="N54" s="484">
        <f>EIA_RE_aeo2014!N79</f>
        <v>52.100727094735198</v>
      </c>
      <c r="O54" s="484">
        <f>EIA_RE_aeo2014!O79</f>
        <v>52.170199490580245</v>
      </c>
      <c r="P54" s="484">
        <f>EIA_RE_aeo2014!P79</f>
        <v>52.274752177619007</v>
      </c>
      <c r="Q54" s="484">
        <f>EIA_RE_aeo2014!Q79</f>
        <v>52.426202808126973</v>
      </c>
      <c r="R54" s="484">
        <f>EIA_RE_aeo2014!R79</f>
        <v>52.573068020675016</v>
      </c>
      <c r="S54" s="484">
        <f>EIA_RE_aeo2014!S79</f>
        <v>52.831279896573726</v>
      </c>
      <c r="T54" s="484">
        <f>EIA_RE_aeo2014!T79</f>
        <v>52.993592729193168</v>
      </c>
      <c r="U54" s="484">
        <f>EIA_RE_aeo2014!U79</f>
        <v>53.354828984764893</v>
      </c>
      <c r="V54" s="484">
        <f>EIA_RE_aeo2014!V79</f>
        <v>53.571627373344299</v>
      </c>
      <c r="W54" s="484">
        <f>EIA_RE_aeo2014!W79</f>
        <v>53.826402085043071</v>
      </c>
      <c r="X54" s="484">
        <f>EIA_RE_aeo2014!X79</f>
        <v>54.117577512402917</v>
      </c>
      <c r="Y54" s="484">
        <f>EIA_RE_aeo2014!Y79</f>
        <v>54.702616415349482</v>
      </c>
      <c r="Z54" s="484">
        <f>EIA_RE_aeo2014!Z79</f>
        <v>55.147493349180571</v>
      </c>
      <c r="AA54" s="484">
        <f>EIA_RE_aeo2014!AA79</f>
        <v>55.656115144037429</v>
      </c>
      <c r="AB54" s="484">
        <f>EIA_RE_aeo2014!AB79</f>
        <v>56.13464618554513</v>
      </c>
      <c r="AC54" s="484">
        <f>EIA_RE_aeo2014!AC79</f>
        <v>56.589200830202991</v>
      </c>
      <c r="AD54" s="484">
        <f>EIA_RE_aeo2014!AD79</f>
        <v>57.21839991489346</v>
      </c>
      <c r="AE54" s="484">
        <f>EIA_RE_aeo2014!AE79</f>
        <v>57.831374792359355</v>
      </c>
      <c r="AF54" s="484">
        <f>EIA_RE_aeo2014!AF79</f>
        <v>58.312752775473399</v>
      </c>
      <c r="AG54" s="484">
        <f>EIA_RE_aeo2014!AG79</f>
        <v>58.97423401883637</v>
      </c>
      <c r="AH54" s="484">
        <f>EIA_RE_aeo2014!AH79</f>
        <v>59.578356565260862</v>
      </c>
      <c r="AI54" s="484">
        <f>EIA_RE_aeo2014!AI79</f>
        <v>60.297519329809546</v>
      </c>
      <c r="AJ54" s="484">
        <f>EIA_RE_aeo2014!AJ79</f>
        <v>61.202280135499464</v>
      </c>
      <c r="AK54"/>
      <c r="AM54" s="255" t="s">
        <v>753</v>
      </c>
      <c r="AN54" s="255">
        <v>3.798</v>
      </c>
      <c r="AO54" s="255">
        <v>3.601</v>
      </c>
      <c r="AP54" s="255">
        <v>3.4009999999999998</v>
      </c>
      <c r="AQ54" s="255">
        <v>3.649</v>
      </c>
      <c r="AR54" s="255">
        <v>3.2909999999999999</v>
      </c>
    </row>
    <row r="55" spans="1:44" s="255" customFormat="1">
      <c r="A55" s="254" t="s">
        <v>629</v>
      </c>
      <c r="B55" s="506">
        <f>AN58</f>
        <v>0.98899999999999999</v>
      </c>
      <c r="C55" s="506">
        <f t="shared" ref="C55:F55" si="12">AO58</f>
        <v>0.88500000000000001</v>
      </c>
      <c r="D55" s="506">
        <f t="shared" si="12"/>
        <v>0.56899999999999995</v>
      </c>
      <c r="E55" s="506">
        <f t="shared" si="12"/>
        <v>0.31</v>
      </c>
      <c r="F55" s="506">
        <f t="shared" si="12"/>
        <v>0.33900000000000002</v>
      </c>
      <c r="G55" s="484">
        <f>G40*$AM43</f>
        <v>0.46895017396152699</v>
      </c>
      <c r="H55" s="484">
        <f t="shared" ref="H55:AJ55" si="13">H40*$AM43</f>
        <v>0.46131530431439027</v>
      </c>
      <c r="I55" s="484">
        <f t="shared" si="13"/>
        <v>-0.42803276606433593</v>
      </c>
      <c r="J55" s="484">
        <f t="shared" si="13"/>
        <v>-0.42707101393962504</v>
      </c>
      <c r="K55" s="484">
        <f t="shared" si="13"/>
        <v>-0.42707060882078568</v>
      </c>
      <c r="L55" s="484">
        <f t="shared" si="13"/>
        <v>-0.42659945561057555</v>
      </c>
      <c r="M55" s="484">
        <f t="shared" si="13"/>
        <v>-0.42659945561057555</v>
      </c>
      <c r="N55" s="484">
        <f t="shared" si="13"/>
        <v>-0.42639041428945051</v>
      </c>
      <c r="O55" s="484">
        <f t="shared" si="13"/>
        <v>-0.42616152214519532</v>
      </c>
      <c r="P55" s="484">
        <f t="shared" si="13"/>
        <v>-0.42530955722595898</v>
      </c>
      <c r="Q55" s="484">
        <f t="shared" si="13"/>
        <v>-0.42481166617234917</v>
      </c>
      <c r="R55" s="484">
        <f t="shared" si="13"/>
        <v>-0.42436684568669936</v>
      </c>
      <c r="S55" s="484">
        <f t="shared" si="13"/>
        <v>-0.42435104605196311</v>
      </c>
      <c r="T55" s="484">
        <f t="shared" si="13"/>
        <v>-0.42433443617954814</v>
      </c>
      <c r="U55" s="484">
        <f t="shared" si="13"/>
        <v>-0.42249276593568297</v>
      </c>
      <c r="V55" s="484">
        <f t="shared" si="13"/>
        <v>-0.42135883830423143</v>
      </c>
      <c r="W55" s="484">
        <f t="shared" si="13"/>
        <v>-0.42035130775066948</v>
      </c>
      <c r="X55" s="484">
        <f t="shared" si="13"/>
        <v>-0.41831639582041541</v>
      </c>
      <c r="Y55" s="484">
        <f t="shared" si="13"/>
        <v>-0.41714479213690059</v>
      </c>
      <c r="Z55" s="484">
        <f t="shared" si="13"/>
        <v>-0.41668255154115708</v>
      </c>
      <c r="AA55" s="484">
        <f t="shared" si="13"/>
        <v>-0.41628026853364319</v>
      </c>
      <c r="AB55" s="484">
        <f t="shared" si="13"/>
        <v>-0.41604408425027906</v>
      </c>
      <c r="AC55" s="484">
        <f t="shared" si="13"/>
        <v>-0.41584436066245994</v>
      </c>
      <c r="AD55" s="484">
        <f t="shared" si="13"/>
        <v>-0.41553687546336321</v>
      </c>
      <c r="AE55" s="484">
        <f t="shared" si="13"/>
        <v>-0.41533391092482896</v>
      </c>
      <c r="AF55" s="484">
        <f t="shared" si="13"/>
        <v>-0.41511960305879186</v>
      </c>
      <c r="AG55" s="484">
        <f t="shared" si="13"/>
        <v>-0.41471367398172343</v>
      </c>
      <c r="AH55" s="484">
        <f t="shared" si="13"/>
        <v>-0.41447708457951993</v>
      </c>
      <c r="AI55" s="484">
        <f t="shared" si="13"/>
        <v>-0.41425102826714055</v>
      </c>
      <c r="AJ55" s="484">
        <f t="shared" si="13"/>
        <v>-0.41383132514953291</v>
      </c>
      <c r="AK55"/>
      <c r="AM55" s="255" t="s">
        <v>225</v>
      </c>
      <c r="AN55" s="255">
        <v>41.264000000000003</v>
      </c>
      <c r="AO55" s="255">
        <v>40.954999999999998</v>
      </c>
      <c r="AP55" s="255">
        <v>40.726999999999997</v>
      </c>
      <c r="AQ55" s="255">
        <v>41.497999999999998</v>
      </c>
      <c r="AR55" s="255">
        <v>41.335000000000001</v>
      </c>
    </row>
    <row r="56" spans="1:44" s="255" customFormat="1">
      <c r="A56" s="254" t="s">
        <v>82</v>
      </c>
      <c r="B56" s="506">
        <f>AN59</f>
        <v>400.58300000000003</v>
      </c>
      <c r="C56" s="506">
        <f t="shared" ref="C56" si="14">AO59</f>
        <v>405.49200000000002</v>
      </c>
      <c r="D56" s="506">
        <f t="shared" ref="D56" si="15">AP59</f>
        <v>404.78800000000001</v>
      </c>
      <c r="E56" s="506">
        <f t="shared" ref="E56" si="16">AQ59</f>
        <v>397.16800000000001</v>
      </c>
      <c r="F56" s="506">
        <f t="shared" ref="F56" si="17">AR59</f>
        <v>411.69499999999999</v>
      </c>
      <c r="G56" s="525">
        <f>G58</f>
        <v>414.43090443315026</v>
      </c>
      <c r="H56" s="525">
        <f t="shared" ref="H56:AJ56" si="18">H58</f>
        <v>434.41284365677222</v>
      </c>
      <c r="I56" s="525">
        <f t="shared" si="18"/>
        <v>418.5507538569297</v>
      </c>
      <c r="J56" s="525">
        <f t="shared" si="18"/>
        <v>413.29205734378991</v>
      </c>
      <c r="K56" s="525">
        <f t="shared" si="18"/>
        <v>432.55250849378922</v>
      </c>
      <c r="L56" s="525">
        <f t="shared" si="18"/>
        <v>455.1737482628734</v>
      </c>
      <c r="M56" s="525">
        <f t="shared" si="18"/>
        <v>452.70990307321773</v>
      </c>
      <c r="N56" s="525">
        <f t="shared" si="18"/>
        <v>453.73574752142974</v>
      </c>
      <c r="O56" s="525">
        <f t="shared" si="18"/>
        <v>458.9190852846865</v>
      </c>
      <c r="P56" s="525">
        <f t="shared" si="18"/>
        <v>465.55693404878065</v>
      </c>
      <c r="Q56" s="525">
        <f t="shared" si="18"/>
        <v>470.36127852979382</v>
      </c>
      <c r="R56" s="525">
        <f t="shared" si="18"/>
        <v>476.52054623611775</v>
      </c>
      <c r="S56" s="525">
        <f t="shared" si="18"/>
        <v>486.09664108078988</v>
      </c>
      <c r="T56" s="525">
        <f t="shared" si="18"/>
        <v>493.70906604849552</v>
      </c>
      <c r="U56" s="525">
        <f t="shared" si="18"/>
        <v>498.5150997210194</v>
      </c>
      <c r="V56" s="525">
        <f t="shared" si="18"/>
        <v>502.83784777395954</v>
      </c>
      <c r="W56" s="525">
        <f t="shared" si="18"/>
        <v>507.22894893462171</v>
      </c>
      <c r="X56" s="525">
        <f t="shared" si="18"/>
        <v>512.30056071691479</v>
      </c>
      <c r="Y56" s="525">
        <f t="shared" si="18"/>
        <v>514.62021177333997</v>
      </c>
      <c r="Z56" s="525">
        <f t="shared" si="18"/>
        <v>519.45825323807378</v>
      </c>
      <c r="AA56" s="525">
        <f t="shared" si="18"/>
        <v>521.74386636323561</v>
      </c>
      <c r="AB56" s="525">
        <f t="shared" si="18"/>
        <v>525.25733403785989</v>
      </c>
      <c r="AC56" s="525">
        <f t="shared" si="18"/>
        <v>527.79772518713776</v>
      </c>
      <c r="AD56" s="525">
        <f t="shared" si="18"/>
        <v>531.394122168178</v>
      </c>
      <c r="AE56" s="525">
        <f t="shared" si="18"/>
        <v>536.75052039596778</v>
      </c>
      <c r="AF56" s="525">
        <f t="shared" si="18"/>
        <v>541.45988818756052</v>
      </c>
      <c r="AG56" s="525">
        <f t="shared" si="18"/>
        <v>548.90345268157546</v>
      </c>
      <c r="AH56" s="525">
        <f t="shared" si="18"/>
        <v>557.03662837939157</v>
      </c>
      <c r="AI56" s="525">
        <f t="shared" si="18"/>
        <v>563.68186258556204</v>
      </c>
      <c r="AJ56" s="525">
        <f t="shared" si="18"/>
        <v>569.19474962619529</v>
      </c>
      <c r="AK56"/>
      <c r="AM56" s="255" t="s">
        <v>379</v>
      </c>
      <c r="AN56" s="255">
        <v>8.48</v>
      </c>
      <c r="AO56" s="255">
        <v>11.932</v>
      </c>
      <c r="AP56" s="255">
        <v>18.678999999999998</v>
      </c>
      <c r="AQ56" s="255">
        <v>22.132999999999999</v>
      </c>
      <c r="AR56" s="255">
        <v>28.966999999999999</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754</v>
      </c>
      <c r="AN57" s="255">
        <v>0</v>
      </c>
      <c r="AO57" s="255">
        <v>0</v>
      </c>
      <c r="AP57" s="255">
        <v>0</v>
      </c>
      <c r="AQ57" s="255">
        <v>0</v>
      </c>
      <c r="AR57" s="255">
        <v>0</v>
      </c>
    </row>
    <row r="58" spans="1:44" s="255" customFormat="1">
      <c r="A58" s="254" t="s">
        <v>83</v>
      </c>
      <c r="B58" s="483">
        <f>SUM(B49:B52,B54,B55)</f>
        <v>396.78299999999996</v>
      </c>
      <c r="C58" s="483">
        <f t="shared" ref="C58:AJ58" si="19">SUM(C49:C52,C54,C55)</f>
        <v>401.89100000000002</v>
      </c>
      <c r="D58" s="483">
        <f t="shared" si="19"/>
        <v>401.38799999999998</v>
      </c>
      <c r="E58" s="483">
        <f t="shared" si="19"/>
        <v>393.51899999999995</v>
      </c>
      <c r="F58" s="483">
        <f t="shared" si="19"/>
        <v>408.404</v>
      </c>
      <c r="G58" s="483">
        <f t="shared" si="19"/>
        <v>414.43090443315026</v>
      </c>
      <c r="H58" s="483">
        <f t="shared" si="19"/>
        <v>434.41284365677222</v>
      </c>
      <c r="I58" s="483">
        <f t="shared" si="19"/>
        <v>418.5507538569297</v>
      </c>
      <c r="J58" s="483">
        <f t="shared" si="19"/>
        <v>413.29205734378991</v>
      </c>
      <c r="K58" s="483">
        <f t="shared" si="19"/>
        <v>432.55250849378922</v>
      </c>
      <c r="L58" s="483">
        <f t="shared" si="19"/>
        <v>455.1737482628734</v>
      </c>
      <c r="M58" s="483">
        <f t="shared" si="19"/>
        <v>452.70990307321773</v>
      </c>
      <c r="N58" s="483">
        <f t="shared" si="19"/>
        <v>453.73574752142974</v>
      </c>
      <c r="O58" s="483">
        <f t="shared" si="19"/>
        <v>458.9190852846865</v>
      </c>
      <c r="P58" s="483">
        <f t="shared" si="19"/>
        <v>465.55693404878065</v>
      </c>
      <c r="Q58" s="483">
        <f t="shared" si="19"/>
        <v>470.36127852979382</v>
      </c>
      <c r="R58" s="483">
        <f t="shared" si="19"/>
        <v>476.52054623611775</v>
      </c>
      <c r="S58" s="483">
        <f t="shared" si="19"/>
        <v>486.09664108078988</v>
      </c>
      <c r="T58" s="483">
        <f t="shared" si="19"/>
        <v>493.70906604849552</v>
      </c>
      <c r="U58" s="483">
        <f t="shared" si="19"/>
        <v>498.5150997210194</v>
      </c>
      <c r="V58" s="483">
        <f t="shared" si="19"/>
        <v>502.83784777395954</v>
      </c>
      <c r="W58" s="483">
        <f t="shared" si="19"/>
        <v>507.22894893462171</v>
      </c>
      <c r="X58" s="483">
        <f t="shared" si="19"/>
        <v>512.30056071691479</v>
      </c>
      <c r="Y58" s="483">
        <f t="shared" si="19"/>
        <v>514.62021177333997</v>
      </c>
      <c r="Z58" s="483">
        <f t="shared" si="19"/>
        <v>519.45825323807378</v>
      </c>
      <c r="AA58" s="483">
        <f t="shared" si="19"/>
        <v>521.74386636323561</v>
      </c>
      <c r="AB58" s="483">
        <f t="shared" si="19"/>
        <v>525.25733403785989</v>
      </c>
      <c r="AC58" s="483">
        <f t="shared" si="19"/>
        <v>527.79772518713776</v>
      </c>
      <c r="AD58" s="483">
        <f t="shared" si="19"/>
        <v>531.394122168178</v>
      </c>
      <c r="AE58" s="483">
        <f t="shared" si="19"/>
        <v>536.75052039596778</v>
      </c>
      <c r="AF58" s="483">
        <f t="shared" si="19"/>
        <v>541.45988818756052</v>
      </c>
      <c r="AG58" s="483">
        <f t="shared" si="19"/>
        <v>548.90345268157546</v>
      </c>
      <c r="AH58" s="483">
        <f t="shared" si="19"/>
        <v>557.03662837939157</v>
      </c>
      <c r="AI58" s="483">
        <f t="shared" si="19"/>
        <v>563.68186258556204</v>
      </c>
      <c r="AJ58" s="483">
        <f t="shared" si="19"/>
        <v>569.19474962619529</v>
      </c>
      <c r="AK58" s="490">
        <v>8.9999999999999993E-3</v>
      </c>
      <c r="AM58" s="255" t="s">
        <v>744</v>
      </c>
      <c r="AN58" s="255">
        <v>0.98899999999999999</v>
      </c>
      <c r="AO58" s="255">
        <v>0.88500000000000001</v>
      </c>
      <c r="AP58" s="255">
        <v>0.56899999999999995</v>
      </c>
      <c r="AQ58" s="255">
        <v>0.31</v>
      </c>
      <c r="AR58" s="255">
        <v>0.33900000000000002</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400.58300000000003</v>
      </c>
      <c r="AO59" s="5">
        <v>405.49200000000002</v>
      </c>
      <c r="AP59" s="5">
        <v>404.78800000000001</v>
      </c>
      <c r="AQ59" s="5">
        <v>397.16800000000001</v>
      </c>
      <c r="AR59" s="5">
        <v>411.69499999999999</v>
      </c>
    </row>
    <row r="60" spans="1:44" s="274" customFormat="1">
      <c r="A60" s="273" t="s">
        <v>331</v>
      </c>
      <c r="B60" s="367"/>
      <c r="C60" s="367"/>
      <c r="D60" s="367"/>
      <c r="E60" s="367">
        <f>E49/SUM(E49,E51)</f>
        <v>0.42388313480999351</v>
      </c>
      <c r="F60" s="367">
        <f t="shared" ref="F60:AJ60" si="20">F49/SUM(F49,F51)</f>
        <v>0.44554449570544868</v>
      </c>
      <c r="G60" s="324">
        <f t="shared" si="20"/>
        <v>0.41791513151526682</v>
      </c>
      <c r="H60" s="324">
        <f t="shared" si="20"/>
        <v>0.34220548405125112</v>
      </c>
      <c r="I60" s="324">
        <f t="shared" si="20"/>
        <v>0.38390578218445204</v>
      </c>
      <c r="J60" s="324">
        <f t="shared" si="20"/>
        <v>0.40243605562165957</v>
      </c>
      <c r="K60" s="324">
        <f t="shared" si="20"/>
        <v>0.37168319305805686</v>
      </c>
      <c r="L60" s="324">
        <f t="shared" si="20"/>
        <v>0.34247433382368736</v>
      </c>
      <c r="M60" s="324">
        <f t="shared" si="20"/>
        <v>0.36469680441742713</v>
      </c>
      <c r="N60" s="324">
        <f t="shared" si="20"/>
        <v>0.37168531238288921</v>
      </c>
      <c r="O60" s="324">
        <f t="shared" si="20"/>
        <v>0.36999280831894321</v>
      </c>
      <c r="P60" s="324">
        <f t="shared" si="20"/>
        <v>0.36245415418441645</v>
      </c>
      <c r="Q60" s="324">
        <f t="shared" si="20"/>
        <v>0.36090292821462022</v>
      </c>
      <c r="R60" s="324">
        <f t="shared" si="20"/>
        <v>0.35789450937727946</v>
      </c>
      <c r="S60" s="324">
        <f t="shared" si="20"/>
        <v>0.34939965619921726</v>
      </c>
      <c r="T60" s="324">
        <f t="shared" si="20"/>
        <v>0.34721806706176556</v>
      </c>
      <c r="U60" s="324">
        <f t="shared" si="20"/>
        <v>0.34671656168555465</v>
      </c>
      <c r="V60" s="324">
        <f t="shared" si="20"/>
        <v>0.34292680302451606</v>
      </c>
      <c r="W60" s="324">
        <f t="shared" si="20"/>
        <v>0.33950268146691376</v>
      </c>
      <c r="X60" s="324">
        <f t="shared" si="20"/>
        <v>0.335504007363362</v>
      </c>
      <c r="Y60" s="324">
        <f t="shared" si="20"/>
        <v>0.33286008615380069</v>
      </c>
      <c r="Z60" s="324">
        <f t="shared" si="20"/>
        <v>0.32962174425903867</v>
      </c>
      <c r="AA60" s="324">
        <f t="shared" si="20"/>
        <v>0.32807666074868125</v>
      </c>
      <c r="AB60" s="324">
        <f t="shared" si="20"/>
        <v>0.32560606883518206</v>
      </c>
      <c r="AC60" s="324">
        <f t="shared" si="20"/>
        <v>0.32367773092035301</v>
      </c>
      <c r="AD60" s="324">
        <f t="shared" si="20"/>
        <v>0.32116171907996843</v>
      </c>
      <c r="AE60" s="324">
        <f t="shared" si="20"/>
        <v>0.31734519703725267</v>
      </c>
      <c r="AF60" s="324">
        <f t="shared" si="20"/>
        <v>0.31398501223582737</v>
      </c>
      <c r="AG60" s="324">
        <f t="shared" si="20"/>
        <v>0.30891300441908237</v>
      </c>
      <c r="AH60" s="324">
        <f t="shared" si="20"/>
        <v>0.30348692228151153</v>
      </c>
      <c r="AI60" s="324">
        <f t="shared" si="20"/>
        <v>0.29953884057417141</v>
      </c>
      <c r="AJ60" s="324">
        <f t="shared" si="20"/>
        <v>0.29653718196453704</v>
      </c>
      <c r="AK60" s="324"/>
      <c r="AL60" s="274" t="s">
        <v>0</v>
      </c>
    </row>
    <row r="61" spans="1:44" s="265" customFormat="1">
      <c r="A61" s="262" t="s">
        <v>107</v>
      </c>
      <c r="B61" s="358">
        <f>B54/B58</f>
        <v>2.1371883372019469E-2</v>
      </c>
      <c r="C61" s="358">
        <f t="shared" ref="C61:AJ61" si="21">C54/C58</f>
        <v>2.9689642216421865E-2</v>
      </c>
      <c r="D61" s="358">
        <f t="shared" si="21"/>
        <v>4.6536020010563346E-2</v>
      </c>
      <c r="E61" s="358">
        <f t="shared" si="21"/>
        <v>5.6243790007598111E-2</v>
      </c>
      <c r="F61" s="358">
        <f t="shared" si="21"/>
        <v>7.0927317068393059E-2</v>
      </c>
      <c r="G61" s="309">
        <f t="shared" si="21"/>
        <v>7.3819920201940559E-2</v>
      </c>
      <c r="H61" s="309">
        <f t="shared" si="21"/>
        <v>7.7542582831908652E-2</v>
      </c>
      <c r="I61" s="309">
        <f t="shared" si="21"/>
        <v>8.6700753363867511E-2</v>
      </c>
      <c r="J61" s="309">
        <f t="shared" si="21"/>
        <v>8.9065999818533165E-2</v>
      </c>
      <c r="K61" s="309">
        <f t="shared" si="21"/>
        <v>0.10585481405297049</v>
      </c>
      <c r="L61" s="309">
        <f t="shared" si="21"/>
        <v>0.11407989633203693</v>
      </c>
      <c r="M61" s="309">
        <f t="shared" si="21"/>
        <v>0.1149674727019427</v>
      </c>
      <c r="N61" s="309">
        <f t="shared" si="21"/>
        <v>0.11482614578934956</v>
      </c>
      <c r="O61" s="309">
        <f t="shared" si="21"/>
        <v>0.11368060549980594</v>
      </c>
      <c r="P61" s="309">
        <f t="shared" si="21"/>
        <v>0.11228433807870576</v>
      </c>
      <c r="Q61" s="309">
        <f t="shared" si="21"/>
        <v>0.11145943597227077</v>
      </c>
      <c r="R61" s="309">
        <f t="shared" si="21"/>
        <v>0.11032697002455139</v>
      </c>
      <c r="S61" s="309">
        <f t="shared" si="21"/>
        <v>0.10868472528242198</v>
      </c>
      <c r="T61" s="309">
        <f t="shared" si="21"/>
        <v>0.10733769414715948</v>
      </c>
      <c r="U61" s="309">
        <f t="shared" si="21"/>
        <v>0.10702750832346601</v>
      </c>
      <c r="V61" s="309">
        <f t="shared" si="21"/>
        <v>0.10653857423522012</v>
      </c>
      <c r="W61" s="309">
        <f t="shared" si="21"/>
        <v>0.10611855296922519</v>
      </c>
      <c r="X61" s="309">
        <f t="shared" si="21"/>
        <v>0.10563638157387654</v>
      </c>
      <c r="Y61" s="309">
        <f t="shared" si="21"/>
        <v>0.10629706172411817</v>
      </c>
      <c r="Z61" s="309">
        <f t="shared" si="21"/>
        <v>0.10616347513089917</v>
      </c>
      <c r="AA61" s="309">
        <f t="shared" si="21"/>
        <v>0.10667325239869692</v>
      </c>
      <c r="AB61" s="309">
        <f t="shared" si="21"/>
        <v>0.10687075181609747</v>
      </c>
      <c r="AC61" s="309">
        <f t="shared" si="21"/>
        <v>0.10721759137961144</v>
      </c>
      <c r="AD61" s="309">
        <f t="shared" si="21"/>
        <v>0.10767601207448946</v>
      </c>
      <c r="AE61" s="309">
        <f t="shared" si="21"/>
        <v>0.10774349086740784</v>
      </c>
      <c r="AF61" s="309">
        <f t="shared" si="21"/>
        <v>0.10769542499383443</v>
      </c>
      <c r="AG61" s="309">
        <f t="shared" si="21"/>
        <v>0.10744008573953702</v>
      </c>
      <c r="AH61" s="309">
        <f t="shared" si="21"/>
        <v>0.10695590474650564</v>
      </c>
      <c r="AI61" s="309">
        <f t="shared" si="21"/>
        <v>0.10697083467122716</v>
      </c>
      <c r="AJ61" s="309">
        <f t="shared" si="21"/>
        <v>0.10752432304706352</v>
      </c>
      <c r="AK61" s="309"/>
    </row>
    <row r="62" spans="1:44" s="275" customFormat="1">
      <c r="A62" s="264" t="s">
        <v>108</v>
      </c>
      <c r="B62" s="368">
        <f>(B54-EIA_RE_aeo2014!B73)/B56</f>
        <v>1.9516554621638961E-2</v>
      </c>
      <c r="C62" s="368">
        <f>(C54-EIA_RE_aeo2014!C73)/C56</f>
        <v>2.537164728280706E-2</v>
      </c>
      <c r="D62" s="368">
        <f>(D54-EIA_RE_aeo2014!D73)/D56</f>
        <v>4.3578366947636782E-2</v>
      </c>
      <c r="E62" s="368">
        <f>(E54-EIA_RE_aeo2014!E73)/E56</f>
        <v>5.3136204326632554E-2</v>
      </c>
      <c r="F62" s="368">
        <f>(F54-EIA_RE_aeo2014!F73)/F56</f>
        <v>6.7294963504536121E-2</v>
      </c>
      <c r="G62" s="325">
        <f>(G54-EIA_RE_aeo2014!G73)/G56</f>
        <v>7.0254777264079693E-2</v>
      </c>
      <c r="H62" s="325">
        <f>(H54-EIA_RE_aeo2014!H73)/H56</f>
        <v>7.4775375429093072E-2</v>
      </c>
      <c r="I62" s="325">
        <f>(I54-EIA_RE_aeo2014!I73)/I56</f>
        <v>8.3054992878723671E-2</v>
      </c>
      <c r="J62" s="325">
        <f>(J54-EIA_RE_aeo2014!J73)/J56</f>
        <v>8.5285069586668386E-2</v>
      </c>
      <c r="K62" s="325">
        <f>(K54-EIA_RE_aeo2014!K73)/K56</f>
        <v>0.10216736693089234</v>
      </c>
      <c r="L62" s="325">
        <f>(L54-EIA_RE_aeo2014!L73)/L56</f>
        <v>0.11051423068384042</v>
      </c>
      <c r="M62" s="325">
        <f>(M54-EIA_RE_aeo2014!M73)/M56</f>
        <v>0.11134046060788345</v>
      </c>
      <c r="N62" s="325">
        <f>(N54-EIA_RE_aeo2014!N73)/N56</f>
        <v>0.11120733576877841</v>
      </c>
      <c r="O62" s="325">
        <f>(O54-EIA_RE_aeo2014!O73)/O56</f>
        <v>0.11010266779616841</v>
      </c>
      <c r="P62" s="325">
        <f>(P54-EIA_RE_aeo2014!P73)/P56</f>
        <v>0.10875741505439988</v>
      </c>
      <c r="Q62" s="325">
        <f>(Q54-EIA_RE_aeo2014!Q73)/Q56</f>
        <v>0.10796853665687163</v>
      </c>
      <c r="R62" s="325">
        <f>(R54-EIA_RE_aeo2014!R73)/R56</f>
        <v>0.10688119475848082</v>
      </c>
      <c r="S62" s="325">
        <f>(S54-EIA_RE_aeo2014!S73)/S56</f>
        <v>0.10528818284093795</v>
      </c>
      <c r="T62" s="325">
        <f>(T54-EIA_RE_aeo2014!T73)/T56</f>
        <v>0.10399352381152398</v>
      </c>
      <c r="U62" s="325">
        <f>(U54-EIA_RE_aeo2014!U73)/U56</f>
        <v>0.10371557673710745</v>
      </c>
      <c r="V62" s="325">
        <f>(V54-EIA_RE_aeo2014!V73)/V56</f>
        <v>0.10324826319711916</v>
      </c>
      <c r="W62" s="325">
        <f>(W54-EIA_RE_aeo2014!W73)/W56</f>
        <v>0.10285264836364341</v>
      </c>
      <c r="X62" s="325">
        <f>(X54-EIA_RE_aeo2014!X73)/X56</f>
        <v>0.10237995062156546</v>
      </c>
      <c r="Y62" s="325">
        <f>(Y54-EIA_RE_aeo2014!Y73)/Y56</f>
        <v>0.10303308172723775</v>
      </c>
      <c r="Z62" s="325">
        <f>(Z54-EIA_RE_aeo2014!Z73)/Z56</f>
        <v>0.10290532348492523</v>
      </c>
      <c r="AA62" s="325">
        <f>(AA54-EIA_RE_aeo2014!AK73)/AA56</f>
        <v>0.10667325239869692</v>
      </c>
      <c r="AB62" s="325">
        <f>(AB54-EIA_RE_aeo2014!AL73)/AB56</f>
        <v>0.10687075181609747</v>
      </c>
      <c r="AC62" s="325">
        <f>(AC54-EIA_RE_aeo2014!AM73)/AC56</f>
        <v>0.10721759137961144</v>
      </c>
      <c r="AD62" s="325">
        <f>(AD54-EIA_RE_aeo2014!AN73)/AD56</f>
        <v>0.10643023239348937</v>
      </c>
      <c r="AE62" s="325">
        <f>(AE54-EIA_RE_aeo2014!AO73)/AE56</f>
        <v>0.10468061540193609</v>
      </c>
      <c r="AF62" s="325">
        <f>(AF54-EIA_RE_aeo2014!AP73)/AF56</f>
        <v>0.10577653862262443</v>
      </c>
      <c r="AG62" s="325">
        <f>(AG54-EIA_RE_aeo2014!AQ73)/AG56</f>
        <v>0.1055654391236832</v>
      </c>
      <c r="AH62" s="325">
        <f>(AH54-EIA_RE_aeo2014!AR73)/AH56</f>
        <v>0.10469034457379027</v>
      </c>
      <c r="AI62" s="325">
        <f>(AI54-EIA_RE_aeo2014!AS73)/AI56</f>
        <v>0.10697083467122716</v>
      </c>
      <c r="AJ62" s="325">
        <f>(AJ54-EIA_RE_aeo2014!AT73)/AJ56</f>
        <v>0.10752432304706352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0.24758058412738551</v>
      </c>
      <c r="H64" s="481">
        <f t="shared" ref="H64:O64" si="22">H63/1000/H58</f>
        <v>0.37605004349058985</v>
      </c>
      <c r="I64" s="481">
        <f t="shared" si="22"/>
        <v>0.53989792513727819</v>
      </c>
      <c r="J64" s="481">
        <f t="shared" si="22"/>
        <v>0.70069523067342199</v>
      </c>
      <c r="K64" s="481">
        <f t="shared" si="22"/>
        <v>0.82896125993718184</v>
      </c>
      <c r="L64" s="481">
        <f t="shared" si="22"/>
        <v>0.94031272272498634</v>
      </c>
      <c r="M64" s="481">
        <f t="shared" si="22"/>
        <v>1.1033758913182274</v>
      </c>
      <c r="N64" s="481">
        <f t="shared" si="22"/>
        <v>1.2593532643072438</v>
      </c>
      <c r="O64" s="481">
        <f t="shared" si="22"/>
        <v>1.4002080982650345</v>
      </c>
      <c r="P64" s="481">
        <f t="shared" ref="P64" si="23">P63/1000/P58</f>
        <v>1.5310786294836136</v>
      </c>
      <c r="Q64" s="481">
        <f t="shared" ref="Q64" si="24">Q63/1000/Q58</f>
        <v>1.6709104099269885</v>
      </c>
      <c r="R64" s="481">
        <f t="shared" ref="R64" si="25">R63/1000/R58</f>
        <v>1.8078037509113942</v>
      </c>
      <c r="S64" s="481">
        <f t="shared" ref="S64" si="26">S63/1000/S58</f>
        <v>1.9336295796246463</v>
      </c>
      <c r="T64" s="481">
        <f t="shared" ref="T64" si="27">T63/1000/T58</f>
        <v>2.0632290883431805</v>
      </c>
      <c r="U64" s="481">
        <f t="shared" ref="U64" si="28">U63/1000/U58</f>
        <v>2.199759164494095</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0.51889957290473165</v>
      </c>
      <c r="I65" s="481">
        <f t="shared" si="29"/>
        <v>0.43570765243320181</v>
      </c>
      <c r="J65" s="481">
        <f t="shared" si="29"/>
        <v>0.29782908592445201</v>
      </c>
      <c r="K65" s="481">
        <f t="shared" si="29"/>
        <v>0.18305537650154452</v>
      </c>
      <c r="L65" s="481">
        <f t="shared" si="29"/>
        <v>0.13432649771382879</v>
      </c>
      <c r="M65" s="481">
        <f t="shared" si="29"/>
        <v>0.1734137640089469</v>
      </c>
      <c r="N65" s="481">
        <f t="shared" si="29"/>
        <v>0.14136376752138999</v>
      </c>
      <c r="O65" s="481">
        <f t="shared" si="29"/>
        <v>0.11184695982447253</v>
      </c>
      <c r="P65" s="481">
        <f t="shared" si="29"/>
        <v>9.3465058072966317E-2</v>
      </c>
      <c r="Q65" s="481">
        <f t="shared" si="29"/>
        <v>9.1328934876803727E-2</v>
      </c>
      <c r="R65" s="481">
        <f t="shared" si="29"/>
        <v>8.192739728660102E-2</v>
      </c>
      <c r="S65" s="481">
        <f t="shared" si="29"/>
        <v>6.9601486693352477E-2</v>
      </c>
      <c r="T65" s="481">
        <f t="shared" si="29"/>
        <v>6.7023958510032663E-2</v>
      </c>
      <c r="U65" s="481">
        <f t="shared" si="29"/>
        <v>6.6173008572960379E-2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0.10399639097441173</v>
      </c>
      <c r="C66" s="369">
        <f t="shared" ref="C66:AJ66" si="30">C52/C58</f>
        <v>0.10190574061126026</v>
      </c>
      <c r="D66" s="369">
        <f t="shared" si="30"/>
        <v>0.10146541500991559</v>
      </c>
      <c r="E66" s="369">
        <f t="shared" si="30"/>
        <v>0.10545361215087455</v>
      </c>
      <c r="F66" s="369">
        <f t="shared" si="30"/>
        <v>0.10121105571933674</v>
      </c>
      <c r="G66" s="326">
        <f t="shared" si="30"/>
        <v>0.10100180720825637</v>
      </c>
      <c r="H66" s="326">
        <f t="shared" si="30"/>
        <v>9.5466297519671853E-2</v>
      </c>
      <c r="I66" s="326">
        <f t="shared" si="30"/>
        <v>9.7501920659016181E-2</v>
      </c>
      <c r="J66" s="326">
        <f t="shared" si="30"/>
        <v>9.903557520135578E-2</v>
      </c>
      <c r="K66" s="326">
        <f t="shared" si="30"/>
        <v>9.8218090858786244E-2</v>
      </c>
      <c r="L66" s="326">
        <f t="shared" si="30"/>
        <v>9.7291195053429813E-2</v>
      </c>
      <c r="M66" s="326">
        <f t="shared" si="30"/>
        <v>0.10168532388527712</v>
      </c>
      <c r="N66" s="326">
        <f t="shared" si="30"/>
        <v>0.10444937526777037</v>
      </c>
      <c r="O66" s="326">
        <f t="shared" si="30"/>
        <v>0.1037868142649828</v>
      </c>
      <c r="P66" s="326">
        <f t="shared" si="30"/>
        <v>0.1023070382501278</v>
      </c>
      <c r="Q66" s="326">
        <f t="shared" si="30"/>
        <v>0.10126205798278491</v>
      </c>
      <c r="R66" s="326">
        <f t="shared" si="30"/>
        <v>9.9953194123817854E-2</v>
      </c>
      <c r="S66" s="326">
        <f t="shared" si="30"/>
        <v>9.7984118864595696E-2</v>
      </c>
      <c r="T66" s="326">
        <f t="shared" si="30"/>
        <v>9.647331423000248E-2</v>
      </c>
      <c r="U66" s="326">
        <f t="shared" si="30"/>
        <v>9.5543437433990741E-2</v>
      </c>
      <c r="V66" s="326">
        <f t="shared" si="30"/>
        <v>9.4721888721744307E-2</v>
      </c>
      <c r="W66" s="326">
        <f t="shared" si="30"/>
        <v>9.3901876784739921E-2</v>
      </c>
      <c r="X66" s="326">
        <f t="shared" si="30"/>
        <v>9.2972278222492641E-2</v>
      </c>
      <c r="Y66" s="326">
        <f t="shared" si="30"/>
        <v>9.2553207141267385E-2</v>
      </c>
      <c r="Z66" s="326">
        <f t="shared" si="30"/>
        <v>9.1691199374750745E-2</v>
      </c>
      <c r="AA66" s="326">
        <f t="shared" si="30"/>
        <v>9.1289526020709125E-2</v>
      </c>
      <c r="AB66" s="326">
        <f t="shared" si="30"/>
        <v>9.0678887424146482E-2</v>
      </c>
      <c r="AC66" s="326">
        <f t="shared" si="30"/>
        <v>9.0242430756029834E-2</v>
      </c>
      <c r="AD66" s="326">
        <f t="shared" si="30"/>
        <v>8.9631684426945746E-2</v>
      </c>
      <c r="AE66" s="326">
        <f t="shared" si="30"/>
        <v>8.8737223811546084E-2</v>
      </c>
      <c r="AF66" s="326">
        <f t="shared" si="30"/>
        <v>8.7965428461880796E-2</v>
      </c>
      <c r="AG66" s="326">
        <f t="shared" si="30"/>
        <v>8.6772547752530418E-2</v>
      </c>
      <c r="AH66" s="326">
        <f t="shared" si="30"/>
        <v>8.5505599870356677E-2</v>
      </c>
      <c r="AI66" s="326">
        <f t="shared" si="30"/>
        <v>8.4497574653259661E-2</v>
      </c>
      <c r="AJ66" s="326">
        <f t="shared" si="30"/>
        <v>8.3679180624543104E-2</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2" t="s">
        <v>632</v>
      </c>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row>
    <row r="110" spans="1:38">
      <c r="A110" s="563" t="s">
        <v>633</v>
      </c>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row>
    <row r="111" spans="1:38">
      <c r="A111" s="563" t="s">
        <v>634</v>
      </c>
      <c r="B111" s="563"/>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row>
    <row r="112" spans="1:38">
      <c r="A112" s="563" t="s">
        <v>635</v>
      </c>
      <c r="B112" s="563"/>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row>
    <row r="113" spans="1:32">
      <c r="A113" s="563" t="s">
        <v>636</v>
      </c>
      <c r="B113" s="563"/>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row>
    <row r="114" spans="1:32">
      <c r="A114" s="563" t="s">
        <v>637</v>
      </c>
      <c r="B114" s="563"/>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row>
    <row r="115" spans="1:32">
      <c r="A115" s="563" t="s">
        <v>638</v>
      </c>
      <c r="B115" s="563"/>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row>
    <row r="116" spans="1:32">
      <c r="A116" s="563" t="s">
        <v>639</v>
      </c>
      <c r="B116" s="563"/>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row>
    <row r="117" spans="1:32">
      <c r="A117" s="563" t="s">
        <v>640</v>
      </c>
      <c r="B117" s="563"/>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row>
    <row r="118" spans="1:32">
      <c r="A118" s="563" t="s">
        <v>641</v>
      </c>
      <c r="B118" s="563"/>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row>
    <row r="119" spans="1:32">
      <c r="A119" s="563" t="s">
        <v>642</v>
      </c>
      <c r="B119" s="563"/>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row>
    <row r="120" spans="1:32">
      <c r="A120" s="563" t="s">
        <v>643</v>
      </c>
      <c r="B120" s="563"/>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row>
    <row r="121" spans="1:32">
      <c r="A121" s="563" t="s">
        <v>644</v>
      </c>
      <c r="B121" s="563"/>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row>
    <row r="122" spans="1:32">
      <c r="A122" s="563" t="s">
        <v>645</v>
      </c>
      <c r="B122" s="563"/>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row>
    <row r="123" spans="1:32">
      <c r="A123" s="563" t="s">
        <v>646</v>
      </c>
      <c r="B123" s="563"/>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row>
    <row r="124" spans="1:32">
      <c r="A124" s="563" t="s">
        <v>647</v>
      </c>
      <c r="B124" s="563"/>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row>
    <row r="125" spans="1:32">
      <c r="A125" s="563" t="s">
        <v>640</v>
      </c>
      <c r="B125" s="563"/>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row>
    <row r="126" spans="1:32">
      <c r="A126" s="563" t="s">
        <v>648</v>
      </c>
      <c r="B126" s="563"/>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row>
    <row r="127" spans="1:32">
      <c r="A127" s="563" t="s">
        <v>649</v>
      </c>
      <c r="B127" s="563"/>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row>
    <row r="128" spans="1:32">
      <c r="A128" s="563" t="s">
        <v>650</v>
      </c>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row>
    <row r="129" spans="1:32">
      <c r="A129" s="563" t="s">
        <v>620</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row>
    <row r="130" spans="1:32">
      <c r="A130" s="563" t="s">
        <v>621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row>
    <row r="131" spans="1:32">
      <c r="A131" s="563" t="s">
        <v>622</v>
      </c>
      <c r="B131" s="563"/>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row>
    <row r="132" spans="1:32">
      <c r="A132" s="563" t="s">
        <v>651</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row>
    <row r="133" spans="1:32">
      <c r="A133" s="563" t="s">
        <v>652</v>
      </c>
      <c r="B133" s="563"/>
      <c r="C133" s="563"/>
      <c r="D133" s="563"/>
      <c r="E133" s="563"/>
      <c r="F133" s="563"/>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row>
    <row r="134" spans="1:32">
      <c r="A134" s="563" t="s">
        <v>653</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row>
    <row r="135" spans="1:32">
      <c r="A135" s="563" t="s">
        <v>654</v>
      </c>
      <c r="B135" s="563"/>
      <c r="C135" s="563"/>
      <c r="D135" s="563"/>
      <c r="E135" s="563"/>
      <c r="F135" s="563"/>
      <c r="G135" s="563"/>
      <c r="H135" s="563"/>
      <c r="I135" s="563"/>
      <c r="J135" s="563"/>
      <c r="K135" s="563"/>
      <c r="L135" s="563"/>
      <c r="M135" s="563"/>
      <c r="N135" s="563"/>
      <c r="O135" s="563"/>
      <c r="P135" s="563"/>
      <c r="Q135" s="563"/>
      <c r="R135" s="563"/>
      <c r="S135" s="563"/>
      <c r="T135" s="563"/>
      <c r="U135" s="563"/>
      <c r="V135" s="563"/>
      <c r="W135" s="563"/>
      <c r="X135" s="563"/>
      <c r="Y135" s="563"/>
      <c r="Z135" s="563"/>
      <c r="AA135" s="563"/>
      <c r="AB135" s="563"/>
      <c r="AC135" s="563"/>
      <c r="AD135" s="563"/>
      <c r="AE135" s="563"/>
      <c r="AF135" s="563"/>
    </row>
    <row r="136" spans="1:32">
      <c r="A136" s="563" t="s">
        <v>655</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row>
    <row r="137" spans="1:32">
      <c r="A137" s="563" t="s">
        <v>656</v>
      </c>
      <c r="B137" s="563"/>
      <c r="C137" s="563"/>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8" zoomScale="125" zoomScaleNormal="125" zoomScalePageLayoutView="125" workbookViewId="0">
      <selection activeCell="AM64" sqref="AM6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523">
        <v>1E-4</v>
      </c>
      <c r="H33" s="523">
        <v>1E-4</v>
      </c>
      <c r="I33" s="523">
        <v>1E-4</v>
      </c>
      <c r="J33" s="523">
        <v>1E-4</v>
      </c>
      <c r="K33" s="523">
        <v>1E-4</v>
      </c>
      <c r="L33" s="523">
        <v>1E-4</v>
      </c>
      <c r="M33" s="523">
        <v>1E-4</v>
      </c>
      <c r="N33" s="523">
        <v>1E-4</v>
      </c>
      <c r="O33" s="523">
        <v>1E-4</v>
      </c>
      <c r="P33" s="523">
        <v>1E-4</v>
      </c>
      <c r="Q33" s="523">
        <v>1E-4</v>
      </c>
      <c r="R33" s="523">
        <v>1E-4</v>
      </c>
      <c r="S33" s="523">
        <v>1E-4</v>
      </c>
      <c r="T33" s="523">
        <v>1E-4</v>
      </c>
      <c r="U33" s="523">
        <v>1E-4</v>
      </c>
      <c r="V33" s="523">
        <v>1E-4</v>
      </c>
      <c r="W33" s="523">
        <v>1E-4</v>
      </c>
      <c r="X33" s="523">
        <v>1E-4</v>
      </c>
      <c r="Y33" s="523">
        <v>1E-4</v>
      </c>
      <c r="Z33" s="523">
        <v>1E-4</v>
      </c>
      <c r="AA33" s="523">
        <v>1E-4</v>
      </c>
      <c r="AB33" s="523">
        <v>1E-4</v>
      </c>
      <c r="AC33" s="523">
        <v>1E-4</v>
      </c>
      <c r="AD33" s="523">
        <v>1E-4</v>
      </c>
      <c r="AE33" s="523">
        <v>1E-4</v>
      </c>
      <c r="AF33" s="523">
        <v>1E-4</v>
      </c>
      <c r="AG33" s="523">
        <v>1E-4</v>
      </c>
      <c r="AH33" s="523">
        <v>1E-4</v>
      </c>
      <c r="AI33" s="523">
        <v>1E-4</v>
      </c>
      <c r="AJ33" s="523">
        <v>1E-4</v>
      </c>
      <c r="AK33" s="523" t="s">
        <v>41</v>
      </c>
    </row>
    <row r="34" spans="1:39" s="18" customFormat="1">
      <c r="A34" s="17" t="s">
        <v>662</v>
      </c>
      <c r="B34"/>
      <c r="C34"/>
      <c r="D34"/>
      <c r="E34"/>
      <c r="F34"/>
      <c r="G34" s="523">
        <v>2.8200000000000002E-4</v>
      </c>
      <c r="H34" s="523">
        <v>1.1460000000000001E-3</v>
      </c>
      <c r="I34" s="523">
        <v>1.42E-3</v>
      </c>
      <c r="J34" s="523">
        <v>2.2109999999999999E-3</v>
      </c>
      <c r="K34" s="523">
        <v>2.911E-3</v>
      </c>
      <c r="L34" s="523">
        <v>2.9190000000000002E-3</v>
      </c>
      <c r="M34" s="523">
        <v>2.9190000000000002E-3</v>
      </c>
      <c r="N34" s="523">
        <v>2.9190000000000002E-3</v>
      </c>
      <c r="O34" s="523">
        <v>2.918E-3</v>
      </c>
      <c r="P34" s="523">
        <v>2.9190000000000002E-3</v>
      </c>
      <c r="Q34" s="523">
        <v>2.9190000000000002E-3</v>
      </c>
      <c r="R34" s="523">
        <v>2.9129999999999998E-3</v>
      </c>
      <c r="S34" s="523">
        <v>2.9129999999999998E-3</v>
      </c>
      <c r="T34" s="523">
        <v>2.9139999999999999E-3</v>
      </c>
      <c r="U34" s="523">
        <v>2.9139999999999999E-3</v>
      </c>
      <c r="V34" s="523">
        <v>2.9160000000000002E-3</v>
      </c>
      <c r="W34" s="523">
        <v>2.9160000000000002E-3</v>
      </c>
      <c r="X34" s="523">
        <v>2.9220000000000001E-3</v>
      </c>
      <c r="Y34" s="523">
        <v>2.9190000000000002E-3</v>
      </c>
      <c r="Z34" s="523">
        <v>3.297E-3</v>
      </c>
      <c r="AA34" s="523">
        <v>4.2929999999999999E-3</v>
      </c>
      <c r="AB34" s="523">
        <v>4.7980000000000002E-3</v>
      </c>
      <c r="AC34" s="523">
        <v>4.7949999999999998E-3</v>
      </c>
      <c r="AD34" s="523">
        <v>5.6020000000000002E-3</v>
      </c>
      <c r="AE34" s="523">
        <v>7.0049999999999999E-3</v>
      </c>
      <c r="AF34" s="523">
        <v>7.5909999999999997E-3</v>
      </c>
      <c r="AG34" s="523">
        <v>7.5909999999999997E-3</v>
      </c>
      <c r="AH34" s="523">
        <v>7.5900000000000004E-3</v>
      </c>
      <c r="AI34" s="523">
        <v>7.5659999999999998E-3</v>
      </c>
      <c r="AJ34" s="523">
        <v>7.574E-3</v>
      </c>
      <c r="AK34" s="524">
        <v>7.0000000000000007E-2</v>
      </c>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523">
        <v>6.2970999999999999E-2</v>
      </c>
      <c r="H54" s="523">
        <v>0.10804999999999999</v>
      </c>
      <c r="I54" s="523">
        <v>0.202213</v>
      </c>
      <c r="J54" s="523">
        <v>0.34285900000000002</v>
      </c>
      <c r="K54" s="523">
        <v>0.610151</v>
      </c>
      <c r="L54" s="523">
        <v>0.93771499999999997</v>
      </c>
      <c r="M54" s="523">
        <v>0.94113599999999997</v>
      </c>
      <c r="N54" s="523">
        <v>0.94847999999999999</v>
      </c>
      <c r="O54" s="523">
        <v>0.96469099999999997</v>
      </c>
      <c r="P54" s="523">
        <v>1.0032000000000001</v>
      </c>
      <c r="Q54" s="523">
        <v>1.052297</v>
      </c>
      <c r="R54" s="523">
        <v>1.109008</v>
      </c>
      <c r="S54" s="523">
        <v>1.1780330000000001</v>
      </c>
      <c r="T54" s="523">
        <v>1.26884</v>
      </c>
      <c r="U54" s="523">
        <v>1.3968739999999999</v>
      </c>
      <c r="V54" s="523">
        <v>1.5500750000000001</v>
      </c>
      <c r="W54" s="523">
        <v>1.736999</v>
      </c>
      <c r="X54" s="523">
        <v>1.974702</v>
      </c>
      <c r="Y54" s="523">
        <v>2.2380100000000001</v>
      </c>
      <c r="Z54" s="523">
        <v>2.5266850000000001</v>
      </c>
      <c r="AA54" s="523">
        <v>2.8306239999999998</v>
      </c>
      <c r="AB54" s="523">
        <v>3.1430729999999998</v>
      </c>
      <c r="AC54" s="523">
        <v>3.4665750000000002</v>
      </c>
      <c r="AD54" s="523">
        <v>3.8062649999999998</v>
      </c>
      <c r="AE54" s="523">
        <v>4.160857</v>
      </c>
      <c r="AF54" s="523">
        <v>4.5283990000000003</v>
      </c>
      <c r="AG54" s="523">
        <v>4.9060519999999999</v>
      </c>
      <c r="AH54" s="523">
        <v>5.2867449999999998</v>
      </c>
      <c r="AI54" s="523">
        <v>5.6730689999999999</v>
      </c>
      <c r="AJ54" s="523">
        <v>6.0679350000000003</v>
      </c>
      <c r="AK54" s="524">
        <v>0.155</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748</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1" t="s">
        <v>734</v>
      </c>
      <c r="G60" s="499">
        <v>44.842190000000002</v>
      </c>
      <c r="H60" s="499">
        <v>36.483971000000004</v>
      </c>
      <c r="I60" s="499">
        <v>46.312049000000002</v>
      </c>
      <c r="J60" s="499">
        <v>47.425668000000002</v>
      </c>
      <c r="K60" s="499">
        <v>48.408583</v>
      </c>
      <c r="L60" s="499">
        <v>49.257862000000003</v>
      </c>
      <c r="M60" s="499">
        <v>49.834113000000002</v>
      </c>
      <c r="N60" s="499">
        <v>49.834088000000008</v>
      </c>
      <c r="O60" s="499">
        <v>49.834101000000004</v>
      </c>
      <c r="P60" s="499">
        <v>49.834088000000008</v>
      </c>
      <c r="Q60" s="499">
        <v>49.834100000000007</v>
      </c>
      <c r="R60" s="499">
        <v>49.834065000000002</v>
      </c>
      <c r="S60" s="499">
        <v>50.109192</v>
      </c>
      <c r="T60" s="499">
        <v>50.109172000000001</v>
      </c>
      <c r="U60" s="499">
        <v>50.109192999999998</v>
      </c>
      <c r="V60" s="499">
        <v>50.213749</v>
      </c>
      <c r="W60" s="499">
        <v>50.276525999999997</v>
      </c>
      <c r="X60" s="499">
        <v>50.631925000000003</v>
      </c>
      <c r="Y60" s="499">
        <v>50.979087999999997</v>
      </c>
      <c r="Z60" s="499">
        <v>51.366464999999991</v>
      </c>
      <c r="AA60" s="499">
        <v>51.366472000000002</v>
      </c>
      <c r="AB60" s="499">
        <v>51.591163000000002</v>
      </c>
      <c r="AC60" s="499">
        <v>51.591174000000002</v>
      </c>
      <c r="AD60" s="499">
        <v>51.591174000000002</v>
      </c>
      <c r="AE60" s="499">
        <v>51.804420999999998</v>
      </c>
      <c r="AF60" s="499">
        <v>51.952124000000005</v>
      </c>
      <c r="AG60" s="499">
        <v>51.952144000000004</v>
      </c>
      <c r="AH60" s="499">
        <v>52.086152999999996</v>
      </c>
      <c r="AI60" s="499">
        <v>52.086151999999998</v>
      </c>
      <c r="AJ60" s="499">
        <v>52.086157000000007</v>
      </c>
      <c r="AK60" s="503">
        <v>4.0000000000000001E-3</v>
      </c>
      <c r="AL60" s="508" t="s">
        <v>728</v>
      </c>
      <c r="AM60" s="29">
        <v>1.0000000000000001E-5</v>
      </c>
    </row>
    <row r="61" spans="1:39">
      <c r="A61" s="501" t="s">
        <v>735</v>
      </c>
      <c r="G61" s="499">
        <v>4.0118830000000001</v>
      </c>
      <c r="H61" s="499">
        <v>3.7581989999999998</v>
      </c>
      <c r="I61" s="499">
        <v>4.1090540000000004</v>
      </c>
      <c r="J61" s="499">
        <v>4.10907</v>
      </c>
      <c r="K61" s="499">
        <v>4.1077979999999998</v>
      </c>
      <c r="L61" s="499">
        <v>4.100117</v>
      </c>
      <c r="M61" s="499">
        <v>4.5077809999999996</v>
      </c>
      <c r="N61" s="499">
        <v>4.9009479999999996</v>
      </c>
      <c r="O61" s="499">
        <v>4.9156639999999996</v>
      </c>
      <c r="P61" s="499">
        <v>4.9143330000000001</v>
      </c>
      <c r="Q61" s="499">
        <v>4.9132239999999996</v>
      </c>
      <c r="R61" s="499">
        <v>4.9197499999999996</v>
      </c>
      <c r="S61" s="499">
        <v>4.9287999999999998</v>
      </c>
      <c r="T61" s="499">
        <v>4.9247540000000001</v>
      </c>
      <c r="U61" s="499">
        <v>4.9286719999999997</v>
      </c>
      <c r="V61" s="499">
        <v>4.927543</v>
      </c>
      <c r="W61" s="499">
        <v>5.3101979999999998</v>
      </c>
      <c r="X61" s="499">
        <v>5.5501300000000002</v>
      </c>
      <c r="Y61" s="499">
        <v>5.5720200000000002</v>
      </c>
      <c r="Z61" s="499">
        <v>5.8294079999999999</v>
      </c>
      <c r="AA61" s="499">
        <v>6.0471729999999999</v>
      </c>
      <c r="AB61" s="499">
        <v>6.0445359999999999</v>
      </c>
      <c r="AC61" s="499">
        <v>6.0421290000000001</v>
      </c>
      <c r="AD61" s="499">
        <v>6.0397999999999996</v>
      </c>
      <c r="AE61" s="499">
        <v>6.0375639999999997</v>
      </c>
      <c r="AF61" s="499">
        <v>6.0354029999999996</v>
      </c>
      <c r="AG61" s="499">
        <v>6.0333230000000002</v>
      </c>
      <c r="AH61" s="499">
        <v>6.0313509999999999</v>
      </c>
      <c r="AI61" s="499">
        <v>6.0293979999999996</v>
      </c>
      <c r="AJ61" s="499">
        <v>6.0275829999999999</v>
      </c>
      <c r="AK61" s="499" t="s">
        <v>41</v>
      </c>
      <c r="AL61" s="508" t="s">
        <v>729</v>
      </c>
      <c r="AM61" s="29">
        <v>3.2949002093143484E-2</v>
      </c>
    </row>
    <row r="62" spans="1:39">
      <c r="A62" s="501" t="s">
        <v>736</v>
      </c>
      <c r="G62" s="499">
        <v>1.339353</v>
      </c>
      <c r="H62" s="499">
        <v>1.3868399999999999</v>
      </c>
      <c r="I62" s="499">
        <v>1.1280109999999999</v>
      </c>
      <c r="J62" s="499">
        <v>1.213775</v>
      </c>
      <c r="K62" s="499">
        <v>1.1110189999999998</v>
      </c>
      <c r="L62" s="499">
        <v>1.299696</v>
      </c>
      <c r="M62" s="499">
        <v>1.308611</v>
      </c>
      <c r="N62" s="499">
        <v>1.308832</v>
      </c>
      <c r="O62" s="499">
        <v>1.300244</v>
      </c>
      <c r="P62" s="499">
        <v>1.2998630000000002</v>
      </c>
      <c r="Q62" s="499">
        <v>1.2996369999999999</v>
      </c>
      <c r="R62" s="499">
        <v>1.3080210000000001</v>
      </c>
      <c r="S62" s="499">
        <v>1.2992279999999998</v>
      </c>
      <c r="T62" s="499">
        <v>1.299032</v>
      </c>
      <c r="U62" s="499">
        <v>1.3074349999999999</v>
      </c>
      <c r="V62" s="499">
        <v>1.284637</v>
      </c>
      <c r="W62" s="499">
        <v>1.298103</v>
      </c>
      <c r="X62" s="499">
        <v>1.297704</v>
      </c>
      <c r="Y62" s="499">
        <v>1.2972440000000001</v>
      </c>
      <c r="Z62" s="499">
        <v>1.296748</v>
      </c>
      <c r="AA62" s="499">
        <v>1.296254</v>
      </c>
      <c r="AB62" s="499">
        <v>1.304459</v>
      </c>
      <c r="AC62" s="499">
        <v>1.3161710000000002</v>
      </c>
      <c r="AD62" s="499">
        <v>1.3335859999999999</v>
      </c>
      <c r="AE62" s="499">
        <v>1.333243</v>
      </c>
      <c r="AF62" s="499">
        <v>1.3329070000000001</v>
      </c>
      <c r="AG62" s="499">
        <v>1.3581589999999999</v>
      </c>
      <c r="AH62" s="499">
        <v>1.3578999999999999</v>
      </c>
      <c r="AI62" s="499">
        <v>1.3576220000000001</v>
      </c>
      <c r="AJ62" s="499">
        <v>1.3573469999999999</v>
      </c>
      <c r="AK62" s="503">
        <v>4.0000000000000001E-3</v>
      </c>
      <c r="AL62" s="508" t="s">
        <v>730</v>
      </c>
      <c r="AM62" s="29">
        <v>6.0606060606060608E-2</v>
      </c>
    </row>
    <row r="63" spans="1:39">
      <c r="A63" s="501" t="s">
        <v>737</v>
      </c>
      <c r="G63" s="499">
        <v>14.945162</v>
      </c>
      <c r="H63" s="499">
        <v>14.431946</v>
      </c>
      <c r="I63" s="499">
        <v>15.985713000000001</v>
      </c>
      <c r="J63" s="499">
        <v>16.447120999999999</v>
      </c>
      <c r="K63" s="499">
        <v>17.050978000000001</v>
      </c>
      <c r="L63" s="499">
        <v>18.040935000000001</v>
      </c>
      <c r="M63" s="499">
        <v>19.565261</v>
      </c>
      <c r="N63" s="499">
        <v>20.441119</v>
      </c>
      <c r="O63" s="499">
        <v>21.262525000000004</v>
      </c>
      <c r="P63" s="499">
        <v>22.308201</v>
      </c>
      <c r="Q63" s="499">
        <v>23.922165</v>
      </c>
      <c r="R63" s="499">
        <v>25.017121999999997</v>
      </c>
      <c r="S63" s="499">
        <v>28.156784999999999</v>
      </c>
      <c r="T63" s="499">
        <v>29.380445999999999</v>
      </c>
      <c r="U63" s="499">
        <v>33.175676000000003</v>
      </c>
      <c r="V63" s="499">
        <v>34.292058000000004</v>
      </c>
      <c r="W63" s="499">
        <v>35.052129999999998</v>
      </c>
      <c r="X63" s="499">
        <v>35.761009999999999</v>
      </c>
      <c r="Y63" s="499">
        <v>40.052028999999997</v>
      </c>
      <c r="Z63" s="499">
        <v>40.702837000000002</v>
      </c>
      <c r="AA63" s="499">
        <v>41.248019000000006</v>
      </c>
      <c r="AB63" s="499">
        <v>41.657182000000006</v>
      </c>
      <c r="AC63" s="499">
        <v>42.205671000000002</v>
      </c>
      <c r="AD63" s="499">
        <v>42.836480000000002</v>
      </c>
      <c r="AE63" s="499">
        <v>43.374407999999995</v>
      </c>
      <c r="AF63" s="499">
        <v>44.123406000000003</v>
      </c>
      <c r="AG63" s="499">
        <v>44.932203999999999</v>
      </c>
      <c r="AH63" s="499">
        <v>45.863558999999995</v>
      </c>
      <c r="AI63" s="499">
        <v>46.833663999999999</v>
      </c>
      <c r="AJ63" s="499">
        <v>47.706866999999995</v>
      </c>
      <c r="AK63" s="503">
        <v>1.7999999999999999E-2</v>
      </c>
      <c r="AL63" s="508" t="s">
        <v>143</v>
      </c>
      <c r="AM63" s="29">
        <v>0.7</v>
      </c>
    </row>
    <row r="64" spans="1:39">
      <c r="A64" s="501" t="s">
        <v>738</v>
      </c>
      <c r="G64" s="499">
        <v>1.0267039999999998</v>
      </c>
      <c r="H64" s="499">
        <v>2.8537889999999999</v>
      </c>
      <c r="I64" s="499">
        <v>4.2529700000000004</v>
      </c>
      <c r="J64" s="499">
        <v>6.6156470000000001</v>
      </c>
      <c r="K64" s="499">
        <v>7.8609019999999994</v>
      </c>
      <c r="L64" s="499">
        <v>8.632753000000001</v>
      </c>
      <c r="M64" s="499">
        <v>8.6597589999999993</v>
      </c>
      <c r="N64" s="499">
        <v>8.7042290000000015</v>
      </c>
      <c r="O64" s="499">
        <v>8.7542929999999988</v>
      </c>
      <c r="P64" s="499">
        <v>8.8394560000000002</v>
      </c>
      <c r="Q64" s="499">
        <v>8.9440819999999999</v>
      </c>
      <c r="R64" s="499">
        <v>9.0665030000000009</v>
      </c>
      <c r="S64" s="499">
        <v>9.2123340000000002</v>
      </c>
      <c r="T64" s="499">
        <v>9.3902070000000002</v>
      </c>
      <c r="U64" s="499">
        <v>9.6184659999999997</v>
      </c>
      <c r="V64" s="499">
        <v>9.8824939999999994</v>
      </c>
      <c r="W64" s="499">
        <v>10.192751000000001</v>
      </c>
      <c r="X64" s="499">
        <v>10.572926000000001</v>
      </c>
      <c r="Y64" s="499">
        <v>11.015145</v>
      </c>
      <c r="Z64" s="499">
        <v>11.577275</v>
      </c>
      <c r="AA64" s="499">
        <v>12.280673999999999</v>
      </c>
      <c r="AB64" s="499">
        <v>12.961821</v>
      </c>
      <c r="AC64" s="499">
        <v>13.529388999999998</v>
      </c>
      <c r="AD64" s="499">
        <v>14.326228</v>
      </c>
      <c r="AE64" s="499">
        <v>15.365499</v>
      </c>
      <c r="AF64" s="499">
        <v>16.162962</v>
      </c>
      <c r="AG64" s="499">
        <v>16.775990999999998</v>
      </c>
      <c r="AH64" s="499">
        <v>17.386566999999999</v>
      </c>
      <c r="AI64" s="499">
        <v>18.015301000000001</v>
      </c>
      <c r="AJ64" s="499">
        <v>18.662105999999998</v>
      </c>
      <c r="AK64" s="503">
        <v>7.0000000000000007E-2</v>
      </c>
      <c r="AL64" s="508" t="s">
        <v>731</v>
      </c>
      <c r="AM64" s="29">
        <v>6.0741891420491592E-2</v>
      </c>
    </row>
    <row r="65" spans="1:44">
      <c r="A65" s="501" t="s">
        <v>739</v>
      </c>
      <c r="G65" s="499">
        <v>38.983921000000002</v>
      </c>
      <c r="H65" s="499">
        <v>43.605923000000004</v>
      </c>
      <c r="I65" s="499">
        <v>46.780897999999993</v>
      </c>
      <c r="J65" s="499">
        <v>47.040753000000002</v>
      </c>
      <c r="K65" s="499">
        <v>59.372954</v>
      </c>
      <c r="L65" s="499">
        <v>67.38064</v>
      </c>
      <c r="M65" s="499">
        <v>67.380969999999991</v>
      </c>
      <c r="N65" s="499">
        <v>67.37115399999999</v>
      </c>
      <c r="O65" s="499">
        <v>67.38362699999999</v>
      </c>
      <c r="P65" s="499">
        <v>67.38749</v>
      </c>
      <c r="Q65" s="499">
        <v>67.393857999999994</v>
      </c>
      <c r="R65" s="499">
        <v>67.421112999999991</v>
      </c>
      <c r="S65" s="499">
        <v>67.413719</v>
      </c>
      <c r="T65" s="499">
        <v>67.409741999999994</v>
      </c>
      <c r="U65" s="499">
        <v>67.406160999999997</v>
      </c>
      <c r="V65" s="499">
        <v>67.415046000000004</v>
      </c>
      <c r="W65" s="499">
        <v>67.43121099999999</v>
      </c>
      <c r="X65" s="499">
        <v>67.428821999999997</v>
      </c>
      <c r="Y65" s="499">
        <v>67.500607000000002</v>
      </c>
      <c r="Z65" s="499">
        <v>67.593868000000001</v>
      </c>
      <c r="AA65" s="499">
        <v>67.692881</v>
      </c>
      <c r="AB65" s="499">
        <v>67.802678</v>
      </c>
      <c r="AC65" s="499">
        <v>67.932296000000008</v>
      </c>
      <c r="AD65" s="499">
        <v>68.157133000000002</v>
      </c>
      <c r="AE65" s="499">
        <v>68.263564000000002</v>
      </c>
      <c r="AF65" s="499">
        <v>68.268462999999997</v>
      </c>
      <c r="AG65" s="499">
        <v>68.581467000000004</v>
      </c>
      <c r="AH65" s="499">
        <v>68.813840999999996</v>
      </c>
      <c r="AI65" s="499">
        <v>69.208895999999996</v>
      </c>
      <c r="AJ65" s="499">
        <v>69.860670999999996</v>
      </c>
      <c r="AK65" s="503">
        <v>7.2999999999999995E-2</v>
      </c>
      <c r="AL65" s="508" t="s">
        <v>732</v>
      </c>
      <c r="AM65" s="29">
        <v>0.61760988776402503</v>
      </c>
    </row>
    <row r="66" spans="1:44">
      <c r="A66" s="502" t="s">
        <v>740</v>
      </c>
      <c r="G66" s="500">
        <v>105.14921200000001</v>
      </c>
      <c r="H66" s="500">
        <v>102.52066500000001</v>
      </c>
      <c r="I66" s="500">
        <v>118.56869200000001</v>
      </c>
      <c r="J66" s="500">
        <v>122.85203200000001</v>
      </c>
      <c r="K66" s="500">
        <v>137.912237</v>
      </c>
      <c r="L66" s="500">
        <v>148.712006</v>
      </c>
      <c r="M66" s="500">
        <v>151.256494</v>
      </c>
      <c r="N66" s="500">
        <v>152.560371</v>
      </c>
      <c r="O66" s="500">
        <v>153.450457</v>
      </c>
      <c r="P66" s="500">
        <v>154.583426</v>
      </c>
      <c r="Q66" s="500">
        <v>156.307063</v>
      </c>
      <c r="R66" s="500">
        <v>157.56657100000001</v>
      </c>
      <c r="S66" s="500">
        <v>161.12006099999996</v>
      </c>
      <c r="T66" s="500">
        <v>162.51335699999998</v>
      </c>
      <c r="U66" s="500">
        <v>166.54560699999999</v>
      </c>
      <c r="V66" s="500">
        <v>168.015525</v>
      </c>
      <c r="W66" s="500">
        <v>169.56092100000001</v>
      </c>
      <c r="X66" s="500">
        <v>171.242514</v>
      </c>
      <c r="Y66" s="500">
        <v>176.41612999999995</v>
      </c>
      <c r="Z66" s="500">
        <v>178.366603</v>
      </c>
      <c r="AA66" s="500">
        <v>179.93147900000002</v>
      </c>
      <c r="AB66" s="500">
        <v>181.361839</v>
      </c>
      <c r="AC66" s="500">
        <v>182.616829</v>
      </c>
      <c r="AD66" s="500">
        <v>184.28439900000001</v>
      </c>
      <c r="AE66" s="500">
        <v>186.17869400000001</v>
      </c>
      <c r="AF66" s="500">
        <v>187.87526300000002</v>
      </c>
      <c r="AG66" s="500">
        <v>189.63328299999998</v>
      </c>
      <c r="AH66" s="500">
        <v>191.53937300000001</v>
      </c>
      <c r="AI66" s="500">
        <v>193.53103399999998</v>
      </c>
      <c r="AJ66" s="500">
        <v>195.70073199999999</v>
      </c>
      <c r="AK66" s="504">
        <v>2.1999999999999999E-2</v>
      </c>
      <c r="AL66" s="508" t="s">
        <v>733</v>
      </c>
      <c r="AM66" s="29">
        <v>0.14924112867763364</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0.24620983972719315</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749</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0.66200000000000003</v>
      </c>
      <c r="C73" s="491">
        <f t="shared" ref="C73:F73" si="0">AO73</f>
        <v>1.6439999999999999</v>
      </c>
      <c r="D73" s="491">
        <f t="shared" si="0"/>
        <v>1.0389999999999999</v>
      </c>
      <c r="E73" s="491">
        <f t="shared" si="0"/>
        <v>1.0289999999999999</v>
      </c>
      <c r="F73" s="491">
        <f t="shared" si="0"/>
        <v>1.262</v>
      </c>
      <c r="G73" s="484">
        <f t="shared" ref="G73:AJ73" si="1">G60*$AM61</f>
        <v>1.477505412171138</v>
      </c>
      <c r="H73" s="484">
        <f t="shared" si="1"/>
        <v>1.2021104368451863</v>
      </c>
      <c r="I73" s="484">
        <f t="shared" si="1"/>
        <v>1.5259357994387637</v>
      </c>
      <c r="J73" s="484">
        <f t="shared" si="1"/>
        <v>1.5626284342007279</v>
      </c>
      <c r="K73" s="484">
        <f t="shared" si="1"/>
        <v>1.5950145025931102</v>
      </c>
      <c r="L73" s="484">
        <f t="shared" si="1"/>
        <v>1.6229973981417729</v>
      </c>
      <c r="M73" s="484">
        <f t="shared" si="1"/>
        <v>1.6419842935469491</v>
      </c>
      <c r="N73" s="484">
        <f t="shared" si="1"/>
        <v>1.6419834698218969</v>
      </c>
      <c r="O73" s="484">
        <f t="shared" si="1"/>
        <v>1.6419838981589239</v>
      </c>
      <c r="P73" s="484">
        <f t="shared" si="1"/>
        <v>1.6419834698218969</v>
      </c>
      <c r="Q73" s="484">
        <f t="shared" si="1"/>
        <v>1.6419838652099219</v>
      </c>
      <c r="R73" s="484">
        <f t="shared" si="1"/>
        <v>1.6419827119948485</v>
      </c>
      <c r="S73" s="484">
        <f t="shared" si="1"/>
        <v>1.6510478720937287</v>
      </c>
      <c r="T73" s="484">
        <f t="shared" si="1"/>
        <v>1.6510472131136869</v>
      </c>
      <c r="U73" s="484">
        <f t="shared" si="1"/>
        <v>1.6510479050427307</v>
      </c>
      <c r="V73" s="484">
        <f t="shared" si="1"/>
        <v>1.6544929209055814</v>
      </c>
      <c r="W73" s="484">
        <f t="shared" si="1"/>
        <v>1.6565613604099827</v>
      </c>
      <c r="X73" s="484">
        <f t="shared" si="1"/>
        <v>1.668271402804884</v>
      </c>
      <c r="Y73" s="484">
        <f t="shared" si="1"/>
        <v>1.6797100772185458</v>
      </c>
      <c r="Z73" s="484">
        <f t="shared" si="1"/>
        <v>1.6924737628023812</v>
      </c>
      <c r="AA73" s="484">
        <f t="shared" si="1"/>
        <v>1.6924739934453963</v>
      </c>
      <c r="AB73" s="484">
        <f t="shared" si="1"/>
        <v>1.6998773376747067</v>
      </c>
      <c r="AC73" s="484">
        <f t="shared" si="1"/>
        <v>1.6998777001137297</v>
      </c>
      <c r="AD73" s="484">
        <f t="shared" si="1"/>
        <v>1.6998777001137297</v>
      </c>
      <c r="AE73" s="484">
        <f t="shared" si="1"/>
        <v>1.7069039759630862</v>
      </c>
      <c r="AF73" s="484">
        <f t="shared" si="1"/>
        <v>1.71177064241925</v>
      </c>
      <c r="AG73" s="484">
        <f t="shared" si="1"/>
        <v>1.7117713013992919</v>
      </c>
      <c r="AH73" s="484">
        <f t="shared" si="1"/>
        <v>1.7161867642207915</v>
      </c>
      <c r="AI73" s="484">
        <f t="shared" si="1"/>
        <v>1.7161867312717896</v>
      </c>
      <c r="AJ73" s="484">
        <f t="shared" si="1"/>
        <v>1.7161868960168003</v>
      </c>
      <c r="AK73" s="485"/>
      <c r="AM73" s="18" t="s">
        <v>729</v>
      </c>
      <c r="AN73" s="18">
        <v>0.66200000000000003</v>
      </c>
      <c r="AO73" s="18">
        <v>1.6439999999999999</v>
      </c>
      <c r="AP73" s="18">
        <v>1.0389999999999999</v>
      </c>
      <c r="AQ73" s="18">
        <v>1.0289999999999999</v>
      </c>
      <c r="AR73" s="18">
        <v>1.262</v>
      </c>
    </row>
    <row r="74" spans="1:44" s="18" customFormat="1">
      <c r="A74" s="17" t="s">
        <v>50</v>
      </c>
      <c r="B74" s="491">
        <f>AN72</f>
        <v>0</v>
      </c>
      <c r="C74" s="491">
        <f t="shared" ref="C74:F74" si="2">AO72</f>
        <v>0</v>
      </c>
      <c r="D74" s="491">
        <f t="shared" si="2"/>
        <v>0</v>
      </c>
      <c r="E74" s="491">
        <f t="shared" si="2"/>
        <v>0</v>
      </c>
      <c r="F74" s="491">
        <f t="shared" si="2"/>
        <v>0</v>
      </c>
      <c r="G74" s="484">
        <f t="shared" ref="G74:AJ74" si="3">G61*$AM60</f>
        <v>4.0118830000000002E-5</v>
      </c>
      <c r="H74" s="484">
        <f t="shared" si="3"/>
        <v>3.758199E-5</v>
      </c>
      <c r="I74" s="484">
        <f t="shared" si="3"/>
        <v>4.1090540000000005E-5</v>
      </c>
      <c r="J74" s="484">
        <f t="shared" si="3"/>
        <v>4.1090700000000003E-5</v>
      </c>
      <c r="K74" s="484">
        <f t="shared" si="3"/>
        <v>4.1077980000000001E-5</v>
      </c>
      <c r="L74" s="484">
        <f t="shared" si="3"/>
        <v>4.1001170000000001E-5</v>
      </c>
      <c r="M74" s="484">
        <f t="shared" si="3"/>
        <v>4.5077809999999998E-5</v>
      </c>
      <c r="N74" s="484">
        <f t="shared" si="3"/>
        <v>4.9009479999999998E-5</v>
      </c>
      <c r="O74" s="484">
        <f t="shared" si="3"/>
        <v>4.9156639999999999E-5</v>
      </c>
      <c r="P74" s="484">
        <f t="shared" si="3"/>
        <v>4.9143330000000003E-5</v>
      </c>
      <c r="Q74" s="484">
        <f t="shared" si="3"/>
        <v>4.913224E-5</v>
      </c>
      <c r="R74" s="484">
        <f t="shared" si="3"/>
        <v>4.9197499999999998E-5</v>
      </c>
      <c r="S74" s="484">
        <f t="shared" si="3"/>
        <v>4.9288E-5</v>
      </c>
      <c r="T74" s="484">
        <f t="shared" si="3"/>
        <v>4.9247540000000002E-5</v>
      </c>
      <c r="U74" s="484">
        <f t="shared" si="3"/>
        <v>4.9286719999999998E-5</v>
      </c>
      <c r="V74" s="484">
        <f t="shared" si="3"/>
        <v>4.9275430000000001E-5</v>
      </c>
      <c r="W74" s="484">
        <f t="shared" si="3"/>
        <v>5.3101979999999999E-5</v>
      </c>
      <c r="X74" s="484">
        <f t="shared" si="3"/>
        <v>5.550130000000001E-5</v>
      </c>
      <c r="Y74" s="484">
        <f t="shared" si="3"/>
        <v>5.5720200000000009E-5</v>
      </c>
      <c r="Z74" s="484">
        <f t="shared" si="3"/>
        <v>5.8294080000000007E-5</v>
      </c>
      <c r="AA74" s="484">
        <f t="shared" si="3"/>
        <v>6.0471730000000001E-5</v>
      </c>
      <c r="AB74" s="484">
        <f t="shared" si="3"/>
        <v>6.0445360000000006E-5</v>
      </c>
      <c r="AC74" s="484">
        <f t="shared" si="3"/>
        <v>6.0421290000000003E-5</v>
      </c>
      <c r="AD74" s="484">
        <f t="shared" si="3"/>
        <v>6.0398E-5</v>
      </c>
      <c r="AE74" s="484">
        <f t="shared" si="3"/>
        <v>6.0375640000000001E-5</v>
      </c>
      <c r="AF74" s="484">
        <f t="shared" si="3"/>
        <v>6.0354030000000001E-5</v>
      </c>
      <c r="AG74" s="484">
        <f t="shared" si="3"/>
        <v>6.0333230000000009E-5</v>
      </c>
      <c r="AH74" s="484">
        <f t="shared" si="3"/>
        <v>6.0313510000000005E-5</v>
      </c>
      <c r="AI74" s="484">
        <f t="shared" si="3"/>
        <v>6.0293980000000001E-5</v>
      </c>
      <c r="AJ74" s="484">
        <f t="shared" si="3"/>
        <v>6.0275830000000005E-5</v>
      </c>
      <c r="AK74" s="485"/>
      <c r="AM74" s="18" t="s">
        <v>730</v>
      </c>
      <c r="AN74" s="18">
        <v>0</v>
      </c>
      <c r="AO74" s="18">
        <v>0</v>
      </c>
      <c r="AP74" s="18">
        <v>0</v>
      </c>
      <c r="AQ74" s="18">
        <v>0</v>
      </c>
      <c r="AR74" s="18">
        <v>8.0000000000000002E-3</v>
      </c>
    </row>
    <row r="75" spans="1:44" s="18" customFormat="1">
      <c r="A75" s="17" t="s">
        <v>51</v>
      </c>
      <c r="B75" s="491">
        <f>AN77</f>
        <v>0.219</v>
      </c>
      <c r="C75" s="491">
        <f t="shared" ref="C75:F75" si="4">AO77</f>
        <v>0.32200000000000001</v>
      </c>
      <c r="D75" s="491">
        <f t="shared" si="4"/>
        <v>0.40100000000000002</v>
      </c>
      <c r="E75" s="491">
        <f t="shared" si="4"/>
        <v>0.39800000000000002</v>
      </c>
      <c r="F75" s="491">
        <f t="shared" si="4"/>
        <v>0.44900000000000001</v>
      </c>
      <c r="G75" s="484">
        <f t="shared" ref="G75:AJ75" si="5">G62*$AM65</f>
        <v>0.82719765600641026</v>
      </c>
      <c r="H75" s="484">
        <f t="shared" si="5"/>
        <v>0.85652609674666036</v>
      </c>
      <c r="I75" s="484">
        <f t="shared" si="5"/>
        <v>0.69667074710658561</v>
      </c>
      <c r="J75" s="484">
        <f t="shared" si="5"/>
        <v>0.74963944152077955</v>
      </c>
      <c r="K75" s="484">
        <f t="shared" si="5"/>
        <v>0.6861763198936992</v>
      </c>
      <c r="L75" s="484">
        <f t="shared" si="5"/>
        <v>0.80270510068735224</v>
      </c>
      <c r="M75" s="484">
        <f t="shared" si="5"/>
        <v>0.80821109283676851</v>
      </c>
      <c r="N75" s="484">
        <f t="shared" si="5"/>
        <v>0.80834758462196443</v>
      </c>
      <c r="O75" s="484">
        <f t="shared" si="5"/>
        <v>0.80304355090584689</v>
      </c>
      <c r="P75" s="484">
        <f t="shared" si="5"/>
        <v>0.80280824153860897</v>
      </c>
      <c r="Q75" s="484">
        <f t="shared" si="5"/>
        <v>0.80266866170397411</v>
      </c>
      <c r="R75" s="484">
        <f t="shared" si="5"/>
        <v>0.80784670300298789</v>
      </c>
      <c r="S75" s="484">
        <f t="shared" si="5"/>
        <v>0.80241605925987858</v>
      </c>
      <c r="T75" s="484">
        <f t="shared" si="5"/>
        <v>0.8022950077218769</v>
      </c>
      <c r="U75" s="484">
        <f t="shared" si="5"/>
        <v>0.80748478360875797</v>
      </c>
      <c r="V75" s="484">
        <f t="shared" si="5"/>
        <v>0.79340451338751383</v>
      </c>
      <c r="W75" s="484">
        <f t="shared" si="5"/>
        <v>0.8017212481361442</v>
      </c>
      <c r="X75" s="484">
        <f t="shared" si="5"/>
        <v>0.80147482179092633</v>
      </c>
      <c r="Y75" s="484">
        <f t="shared" si="5"/>
        <v>0.80119072124255497</v>
      </c>
      <c r="Z75" s="484">
        <f t="shared" si="5"/>
        <v>0.80088438673822393</v>
      </c>
      <c r="AA75" s="484">
        <f t="shared" si="5"/>
        <v>0.80057928745366846</v>
      </c>
      <c r="AB75" s="484">
        <f t="shared" si="5"/>
        <v>0.80564677658277239</v>
      </c>
      <c r="AC75" s="484">
        <f t="shared" si="5"/>
        <v>0.81288022358826473</v>
      </c>
      <c r="AD75" s="484">
        <f t="shared" si="5"/>
        <v>0.82363589978367502</v>
      </c>
      <c r="AE75" s="484">
        <f t="shared" si="5"/>
        <v>0.82342405959217202</v>
      </c>
      <c r="AF75" s="484">
        <f t="shared" si="5"/>
        <v>0.82321654266988331</v>
      </c>
      <c r="AG75" s="484">
        <f t="shared" si="5"/>
        <v>0.8388124275557004</v>
      </c>
      <c r="AH75" s="484">
        <f t="shared" si="5"/>
        <v>0.83865246659476955</v>
      </c>
      <c r="AI75" s="484">
        <f t="shared" si="5"/>
        <v>0.8384807710459713</v>
      </c>
      <c r="AJ75" s="484">
        <f t="shared" si="5"/>
        <v>0.83831092832683596</v>
      </c>
      <c r="AK75" s="485"/>
      <c r="AM75" s="18" t="s">
        <v>143</v>
      </c>
      <c r="AN75" s="18">
        <v>6.6710000000000003</v>
      </c>
      <c r="AO75" s="18">
        <v>9.0060000000000002</v>
      </c>
      <c r="AP75" s="18">
        <v>16.225000000000001</v>
      </c>
      <c r="AQ75" s="18">
        <v>20.026</v>
      </c>
      <c r="AR75" s="18">
        <v>26.251000000000001</v>
      </c>
    </row>
    <row r="76" spans="1:44" s="18" customFormat="1">
      <c r="A76" s="17" t="s">
        <v>56</v>
      </c>
      <c r="B76" s="492">
        <f>AN76</f>
        <v>0.89200000000000002</v>
      </c>
      <c r="C76" s="492">
        <f t="shared" ref="C76:F76" si="6">AO76</f>
        <v>0.91400000000000003</v>
      </c>
      <c r="D76" s="492">
        <f t="shared" si="6"/>
        <v>0.97599999999999998</v>
      </c>
      <c r="E76" s="492">
        <f t="shared" si="6"/>
        <v>0.64900000000000002</v>
      </c>
      <c r="F76" s="492">
        <f t="shared" si="6"/>
        <v>0.9</v>
      </c>
      <c r="G76" s="492">
        <f>G63*$AM64</f>
        <v>0.90779740746565696</v>
      </c>
      <c r="H76" s="492">
        <f t="shared" ref="H76:AJ76" si="7">H63*$AM64</f>
        <v>0.87662369691839792</v>
      </c>
      <c r="I76" s="492">
        <f t="shared" si="7"/>
        <v>0.97100244332514096</v>
      </c>
      <c r="J76" s="492">
        <f t="shared" si="7"/>
        <v>0.99902923796168708</v>
      </c>
      <c r="K76" s="492">
        <f t="shared" si="7"/>
        <v>1.0357086542891909</v>
      </c>
      <c r="L76" s="492">
        <f t="shared" si="7"/>
        <v>1.0958405148941466</v>
      </c>
      <c r="M76" s="492">
        <f t="shared" si="7"/>
        <v>1.1884309592755786</v>
      </c>
      <c r="N76" s="492">
        <f t="shared" si="7"/>
        <v>1.2416322308113477</v>
      </c>
      <c r="O76" s="492">
        <f t="shared" si="7"/>
        <v>1.2915259848754883</v>
      </c>
      <c r="P76" s="492">
        <f t="shared" si="7"/>
        <v>1.355042322928502</v>
      </c>
      <c r="Q76" s="492">
        <f t="shared" si="7"/>
        <v>1.4530775489730843</v>
      </c>
      <c r="R76" s="492">
        <f t="shared" si="7"/>
        <v>1.5195873081771913</v>
      </c>
      <c r="S76" s="492">
        <f t="shared" si="7"/>
        <v>1.7102963772201263</v>
      </c>
      <c r="T76" s="492">
        <f t="shared" si="7"/>
        <v>1.7846238608176164</v>
      </c>
      <c r="U76" s="492">
        <f t="shared" si="7"/>
        <v>2.0151533093934089</v>
      </c>
      <c r="V76" s="492">
        <f t="shared" si="7"/>
        <v>2.0829644636212001</v>
      </c>
      <c r="W76" s="492">
        <f t="shared" si="7"/>
        <v>2.1291326745169559</v>
      </c>
      <c r="X76" s="492">
        <f t="shared" si="7"/>
        <v>2.1721913865071141</v>
      </c>
      <c r="Y76" s="492">
        <f t="shared" si="7"/>
        <v>2.4328359966883801</v>
      </c>
      <c r="Z76" s="492">
        <f t="shared" si="7"/>
        <v>2.4723673055599678</v>
      </c>
      <c r="AA76" s="492">
        <f t="shared" si="7"/>
        <v>2.5054826914083748</v>
      </c>
      <c r="AB76" s="492">
        <f t="shared" si="7"/>
        <v>2.5303360259276571</v>
      </c>
      <c r="AC76" s="492">
        <f t="shared" si="7"/>
        <v>2.5636522852109911</v>
      </c>
      <c r="AD76" s="492">
        <f t="shared" si="7"/>
        <v>2.60196881699606</v>
      </c>
      <c r="AE76" s="492">
        <f t="shared" si="7"/>
        <v>2.6346435811641018</v>
      </c>
      <c r="AF76" s="492">
        <f t="shared" si="7"/>
        <v>2.6801391363542675</v>
      </c>
      <c r="AG76" s="492">
        <f t="shared" si="7"/>
        <v>2.7292670566513779</v>
      </c>
      <c r="AH76" s="492">
        <f t="shared" si="7"/>
        <v>2.7858393209353096</v>
      </c>
      <c r="AI76" s="492">
        <f t="shared" si="7"/>
        <v>2.844765333511786</v>
      </c>
      <c r="AJ76" s="492">
        <f t="shared" si="7"/>
        <v>2.8978053353258333</v>
      </c>
      <c r="AK76" s="485"/>
      <c r="AM76" s="18" t="s">
        <v>746</v>
      </c>
      <c r="AN76" s="18">
        <v>0.89200000000000002</v>
      </c>
      <c r="AO76" s="18">
        <v>0.91400000000000003</v>
      </c>
      <c r="AP76" s="18">
        <v>0.97599999999999998</v>
      </c>
      <c r="AQ76" s="18">
        <v>0.64900000000000002</v>
      </c>
      <c r="AR76" s="18">
        <v>0.9</v>
      </c>
    </row>
    <row r="77" spans="1:44" s="18" customFormat="1">
      <c r="A77" s="17" t="s">
        <v>52</v>
      </c>
      <c r="B77" s="491">
        <f>AN74</f>
        <v>0</v>
      </c>
      <c r="C77" s="491">
        <f t="shared" ref="C77:E77" si="8">AO74</f>
        <v>0</v>
      </c>
      <c r="D77" s="491">
        <f t="shared" si="8"/>
        <v>0</v>
      </c>
      <c r="E77" s="491">
        <f t="shared" si="8"/>
        <v>0</v>
      </c>
      <c r="F77" s="491">
        <f>AR74</f>
        <v>8.0000000000000002E-3</v>
      </c>
      <c r="G77" s="523">
        <v>9.1970999999999997E-2</v>
      </c>
      <c r="H77" s="523">
        <v>0.22605</v>
      </c>
      <c r="I77" s="523">
        <v>0.348387</v>
      </c>
      <c r="J77" s="523">
        <v>0.57040500000000005</v>
      </c>
      <c r="K77" s="523">
        <v>0.90975700000000004</v>
      </c>
      <c r="L77" s="523">
        <v>1.2381420000000001</v>
      </c>
      <c r="M77" s="523">
        <v>1.241563</v>
      </c>
      <c r="N77" s="523">
        <v>1.248907</v>
      </c>
      <c r="O77" s="523">
        <v>1.265058</v>
      </c>
      <c r="P77" s="523">
        <v>1.303626</v>
      </c>
      <c r="Q77" s="523">
        <v>1.3527229999999999</v>
      </c>
      <c r="R77" s="523">
        <v>1.4088229999999999</v>
      </c>
      <c r="S77" s="523">
        <v>1.477867</v>
      </c>
      <c r="T77" s="523">
        <v>1.5687580000000001</v>
      </c>
      <c r="U77" s="523">
        <v>1.6967810000000001</v>
      </c>
      <c r="V77" s="523">
        <v>1.8501840000000001</v>
      </c>
      <c r="W77" s="523">
        <v>2.037086</v>
      </c>
      <c r="X77" s="523">
        <v>2.2754089999999998</v>
      </c>
      <c r="Y77" s="523">
        <v>2.5383990000000001</v>
      </c>
      <c r="Z77" s="523">
        <v>2.8660019999999999</v>
      </c>
      <c r="AA77" s="523">
        <v>3.2725019999999998</v>
      </c>
      <c r="AB77" s="523">
        <v>3.6368510000000001</v>
      </c>
      <c r="AC77" s="523">
        <v>3.9601229999999998</v>
      </c>
      <c r="AD77" s="523">
        <v>4.3828639999999996</v>
      </c>
      <c r="AE77" s="523">
        <v>4.8818479999999997</v>
      </c>
      <c r="AF77" s="523">
        <v>5.3096420000000002</v>
      </c>
      <c r="AG77" s="523">
        <v>5.6872959999999999</v>
      </c>
      <c r="AH77" s="523">
        <v>6.0679290000000004</v>
      </c>
      <c r="AI77" s="523">
        <v>6.4517990000000003</v>
      </c>
      <c r="AJ77" s="523">
        <v>6.8474469999999998</v>
      </c>
      <c r="AK77" s="485">
        <v>0.13</v>
      </c>
      <c r="AM77" s="18" t="s">
        <v>750</v>
      </c>
      <c r="AN77" s="18">
        <v>0.219</v>
      </c>
      <c r="AO77" s="18">
        <v>0.32200000000000001</v>
      </c>
      <c r="AP77" s="18">
        <v>0.40100000000000002</v>
      </c>
      <c r="AQ77" s="18">
        <v>0.39800000000000002</v>
      </c>
      <c r="AR77" s="18">
        <v>0.44900000000000001</v>
      </c>
    </row>
    <row r="78" spans="1:44" s="18" customFormat="1">
      <c r="A78" s="17" t="s">
        <v>53</v>
      </c>
      <c r="B78" s="491">
        <f>AN75</f>
        <v>6.6710000000000003</v>
      </c>
      <c r="C78" s="491">
        <f t="shared" ref="C78:F78" si="9">AO75</f>
        <v>9.0060000000000002</v>
      </c>
      <c r="D78" s="491">
        <f t="shared" si="9"/>
        <v>16.225000000000001</v>
      </c>
      <c r="E78" s="491">
        <f t="shared" si="9"/>
        <v>20.026</v>
      </c>
      <c r="F78" s="491">
        <f t="shared" si="9"/>
        <v>26.251000000000001</v>
      </c>
      <c r="G78" s="484">
        <f t="shared" ref="G78:AJ78" si="10">G65*$AM63</f>
        <v>27.288744699999999</v>
      </c>
      <c r="H78" s="484">
        <f t="shared" si="10"/>
        <v>30.524146099999999</v>
      </c>
      <c r="I78" s="484">
        <f t="shared" si="10"/>
        <v>32.746628599999994</v>
      </c>
      <c r="J78" s="484">
        <f t="shared" si="10"/>
        <v>32.928527099999997</v>
      </c>
      <c r="K78" s="484">
        <f t="shared" si="10"/>
        <v>41.561067799999996</v>
      </c>
      <c r="L78" s="484">
        <f t="shared" si="10"/>
        <v>47.166447999999995</v>
      </c>
      <c r="M78" s="484">
        <f t="shared" si="10"/>
        <v>47.166678999999988</v>
      </c>
      <c r="N78" s="484">
        <f t="shared" si="10"/>
        <v>47.159807799999989</v>
      </c>
      <c r="O78" s="484">
        <f t="shared" si="10"/>
        <v>47.168538899999987</v>
      </c>
      <c r="P78" s="484">
        <f t="shared" si="10"/>
        <v>47.171242999999997</v>
      </c>
      <c r="Q78" s="484">
        <f t="shared" si="10"/>
        <v>47.175700599999992</v>
      </c>
      <c r="R78" s="484">
        <f t="shared" si="10"/>
        <v>47.194779099999991</v>
      </c>
      <c r="S78" s="484">
        <f t="shared" si="10"/>
        <v>47.189603299999995</v>
      </c>
      <c r="T78" s="484">
        <f t="shared" si="10"/>
        <v>47.18681939999999</v>
      </c>
      <c r="U78" s="484">
        <f t="shared" si="10"/>
        <v>47.184312699999992</v>
      </c>
      <c r="V78" s="484">
        <f t="shared" si="10"/>
        <v>47.1905322</v>
      </c>
      <c r="W78" s="484">
        <f t="shared" si="10"/>
        <v>47.201847699999988</v>
      </c>
      <c r="X78" s="484">
        <f t="shared" si="10"/>
        <v>47.200175399999992</v>
      </c>
      <c r="Y78" s="484">
        <f t="shared" si="10"/>
        <v>47.250424899999999</v>
      </c>
      <c r="Z78" s="484">
        <f t="shared" si="10"/>
        <v>47.315707599999996</v>
      </c>
      <c r="AA78" s="484">
        <f t="shared" si="10"/>
        <v>47.385016699999994</v>
      </c>
      <c r="AB78" s="484">
        <f t="shared" si="10"/>
        <v>47.461874599999994</v>
      </c>
      <c r="AC78" s="484">
        <f t="shared" si="10"/>
        <v>47.552607200000004</v>
      </c>
      <c r="AD78" s="484">
        <f t="shared" si="10"/>
        <v>47.709993099999998</v>
      </c>
      <c r="AE78" s="484">
        <f t="shared" si="10"/>
        <v>47.784494799999997</v>
      </c>
      <c r="AF78" s="484">
        <f t="shared" si="10"/>
        <v>47.787924099999998</v>
      </c>
      <c r="AG78" s="484">
        <f t="shared" si="10"/>
        <v>48.0070269</v>
      </c>
      <c r="AH78" s="484">
        <f t="shared" si="10"/>
        <v>48.169688699999995</v>
      </c>
      <c r="AI78" s="484">
        <f t="shared" si="10"/>
        <v>48.446227199999996</v>
      </c>
      <c r="AJ78" s="484">
        <f t="shared" si="10"/>
        <v>48.902469699999997</v>
      </c>
      <c r="AK78" s="485"/>
      <c r="AM78" s="18" t="s">
        <v>751</v>
      </c>
      <c r="AN78" s="18">
        <v>3.6999999999999998E-2</v>
      </c>
      <c r="AO78" s="18">
        <v>4.4999999999999998E-2</v>
      </c>
      <c r="AP78" s="18">
        <v>3.7999999999999999E-2</v>
      </c>
      <c r="AQ78" s="18">
        <v>3.1E-2</v>
      </c>
      <c r="AR78" s="18">
        <v>9.6000000000000002E-2</v>
      </c>
    </row>
    <row r="79" spans="1:44" s="18" customFormat="1">
      <c r="A79" s="17" t="s">
        <v>54</v>
      </c>
      <c r="B79" s="493">
        <f>AN79</f>
        <v>8.48</v>
      </c>
      <c r="C79" s="493">
        <f t="shared" ref="C79:F79" si="11">AO79</f>
        <v>11.932</v>
      </c>
      <c r="D79" s="493">
        <f t="shared" si="11"/>
        <v>18.678999999999998</v>
      </c>
      <c r="E79" s="493">
        <f t="shared" si="11"/>
        <v>22.132999999999999</v>
      </c>
      <c r="F79" s="493">
        <f t="shared" si="11"/>
        <v>28.966999999999999</v>
      </c>
      <c r="G79" s="486">
        <f>SUM(G73:G78)</f>
        <v>30.593256294473203</v>
      </c>
      <c r="H79" s="486">
        <f t="shared" ref="H79:AJ79" si="12">SUM(H73:H78)</f>
        <v>33.685493912500242</v>
      </c>
      <c r="I79" s="486">
        <f t="shared" si="12"/>
        <v>36.288665680410482</v>
      </c>
      <c r="J79" s="486">
        <f t="shared" si="12"/>
        <v>36.810270304383188</v>
      </c>
      <c r="K79" s="486">
        <f t="shared" si="12"/>
        <v>45.787765354755997</v>
      </c>
      <c r="L79" s="486">
        <f t="shared" si="12"/>
        <v>51.92617401489327</v>
      </c>
      <c r="M79" s="486">
        <f t="shared" si="12"/>
        <v>52.046913423469285</v>
      </c>
      <c r="N79" s="486">
        <f t="shared" si="12"/>
        <v>52.100727094735198</v>
      </c>
      <c r="O79" s="486">
        <f t="shared" si="12"/>
        <v>52.170199490580245</v>
      </c>
      <c r="P79" s="486">
        <f t="shared" si="12"/>
        <v>52.274752177619007</v>
      </c>
      <c r="Q79" s="486">
        <f t="shared" si="12"/>
        <v>52.426202808126973</v>
      </c>
      <c r="R79" s="486">
        <f t="shared" si="12"/>
        <v>52.573068020675016</v>
      </c>
      <c r="S79" s="486">
        <f t="shared" si="12"/>
        <v>52.831279896573726</v>
      </c>
      <c r="T79" s="486">
        <f t="shared" si="12"/>
        <v>52.993592729193168</v>
      </c>
      <c r="U79" s="486">
        <f t="shared" si="12"/>
        <v>53.354828984764893</v>
      </c>
      <c r="V79" s="486">
        <f t="shared" si="12"/>
        <v>53.571627373344299</v>
      </c>
      <c r="W79" s="486">
        <f t="shared" si="12"/>
        <v>53.826402085043071</v>
      </c>
      <c r="X79" s="486">
        <f t="shared" si="12"/>
        <v>54.117577512402917</v>
      </c>
      <c r="Y79" s="486">
        <f t="shared" si="12"/>
        <v>54.702616415349482</v>
      </c>
      <c r="Z79" s="486">
        <f t="shared" si="12"/>
        <v>55.147493349180571</v>
      </c>
      <c r="AA79" s="486">
        <f t="shared" si="12"/>
        <v>55.656115144037429</v>
      </c>
      <c r="AB79" s="486">
        <f t="shared" si="12"/>
        <v>56.13464618554513</v>
      </c>
      <c r="AC79" s="486">
        <f t="shared" si="12"/>
        <v>56.589200830202991</v>
      </c>
      <c r="AD79" s="486">
        <f t="shared" si="12"/>
        <v>57.21839991489346</v>
      </c>
      <c r="AE79" s="486">
        <f t="shared" si="12"/>
        <v>57.831374792359355</v>
      </c>
      <c r="AF79" s="486">
        <f t="shared" si="12"/>
        <v>58.312752775473399</v>
      </c>
      <c r="AG79" s="486">
        <f t="shared" si="12"/>
        <v>58.97423401883637</v>
      </c>
      <c r="AH79" s="486">
        <f t="shared" si="12"/>
        <v>59.578356565260862</v>
      </c>
      <c r="AI79" s="486">
        <f t="shared" si="12"/>
        <v>60.297519329809546</v>
      </c>
      <c r="AJ79" s="486">
        <f t="shared" si="12"/>
        <v>61.202280135499464</v>
      </c>
      <c r="AK79" s="487"/>
      <c r="AM79" s="18" t="s">
        <v>58</v>
      </c>
      <c r="AN79" s="18">
        <v>8.48</v>
      </c>
      <c r="AO79" s="18">
        <v>11.932</v>
      </c>
      <c r="AP79" s="18">
        <v>18.678999999999998</v>
      </c>
      <c r="AQ79" s="18">
        <v>22.132999999999999</v>
      </c>
      <c r="AR79" s="18">
        <v>28.966999999999999</v>
      </c>
    </row>
    <row r="80" spans="1:44" s="255" customFormat="1">
      <c r="A80" s="254" t="s">
        <v>57</v>
      </c>
      <c r="B80" s="474">
        <f>B79*1000</f>
        <v>8480</v>
      </c>
      <c r="C80" s="474">
        <f t="shared" ref="C80:AJ80" si="13">C79*1000</f>
        <v>11932</v>
      </c>
      <c r="D80" s="474">
        <f t="shared" si="13"/>
        <v>18679</v>
      </c>
      <c r="E80" s="474">
        <f t="shared" si="13"/>
        <v>22133</v>
      </c>
      <c r="F80" s="474">
        <f t="shared" si="13"/>
        <v>28967</v>
      </c>
      <c r="G80" s="276">
        <f t="shared" si="13"/>
        <v>30593.256294473202</v>
      </c>
      <c r="H80" s="276">
        <f t="shared" si="13"/>
        <v>33685.493912500242</v>
      </c>
      <c r="I80" s="276">
        <f t="shared" si="13"/>
        <v>36288.665680410479</v>
      </c>
      <c r="J80" s="276">
        <f t="shared" si="13"/>
        <v>36810.270304383186</v>
      </c>
      <c r="K80" s="276">
        <f t="shared" si="13"/>
        <v>45787.765354755997</v>
      </c>
      <c r="L80" s="276">
        <f t="shared" si="13"/>
        <v>51926.174014893273</v>
      </c>
      <c r="M80" s="276">
        <f t="shared" si="13"/>
        <v>52046.913423469283</v>
      </c>
      <c r="N80" s="276">
        <f t="shared" si="13"/>
        <v>52100.727094735201</v>
      </c>
      <c r="O80" s="276">
        <f t="shared" si="13"/>
        <v>52170.199490580242</v>
      </c>
      <c r="P80" s="276">
        <f t="shared" si="13"/>
        <v>52274.752177619004</v>
      </c>
      <c r="Q80" s="276">
        <f t="shared" si="13"/>
        <v>52426.202808126975</v>
      </c>
      <c r="R80" s="276">
        <f t="shared" si="13"/>
        <v>52573.068020675018</v>
      </c>
      <c r="S80" s="276">
        <f t="shared" si="13"/>
        <v>52831.279896573724</v>
      </c>
      <c r="T80" s="276">
        <f t="shared" si="13"/>
        <v>52993.592729193166</v>
      </c>
      <c r="U80" s="276">
        <f t="shared" si="13"/>
        <v>53354.828984764892</v>
      </c>
      <c r="V80" s="276">
        <f t="shared" si="13"/>
        <v>53571.627373344301</v>
      </c>
      <c r="W80" s="276">
        <f t="shared" si="13"/>
        <v>53826.402085043068</v>
      </c>
      <c r="X80" s="276">
        <f t="shared" si="13"/>
        <v>54117.577512402917</v>
      </c>
      <c r="Y80" s="276">
        <f t="shared" si="13"/>
        <v>54702.616415349483</v>
      </c>
      <c r="Z80" s="276">
        <f t="shared" si="13"/>
        <v>55147.493349180571</v>
      </c>
      <c r="AA80" s="276">
        <f t="shared" si="13"/>
        <v>55656.115144037431</v>
      </c>
      <c r="AB80" s="276">
        <f t="shared" si="13"/>
        <v>56134.646185545127</v>
      </c>
      <c r="AC80" s="276">
        <f t="shared" si="13"/>
        <v>56589.200830202994</v>
      </c>
      <c r="AD80" s="276">
        <f t="shared" si="13"/>
        <v>57218.39991489346</v>
      </c>
      <c r="AE80" s="276">
        <f t="shared" si="13"/>
        <v>57831.374792359355</v>
      </c>
      <c r="AF80" s="276">
        <f t="shared" si="13"/>
        <v>58312.752775473396</v>
      </c>
      <c r="AG80" s="276">
        <f t="shared" si="13"/>
        <v>58974.234018836367</v>
      </c>
      <c r="AH80" s="276">
        <f t="shared" si="13"/>
        <v>59578.356565260859</v>
      </c>
      <c r="AI80" s="276">
        <f t="shared" si="13"/>
        <v>60297.519329809547</v>
      </c>
      <c r="AJ80" s="276">
        <f t="shared" si="13"/>
        <v>61202.280135499466</v>
      </c>
      <c r="AK80" s="321"/>
    </row>
    <row r="81" spans="1:37" s="256" customFormat="1">
      <c r="A81" s="257" t="s">
        <v>339</v>
      </c>
      <c r="B81" s="260">
        <f t="shared" ref="B81:Q82" si="14">B74/SUM(B$74:B$78)</f>
        <v>0</v>
      </c>
      <c r="C81" s="260">
        <f>C74/SUM(C$74:C$78)</f>
        <v>0</v>
      </c>
      <c r="D81" s="260">
        <f t="shared" si="14"/>
        <v>0</v>
      </c>
      <c r="E81" s="260">
        <f t="shared" si="14"/>
        <v>0</v>
      </c>
      <c r="F81" s="260">
        <f t="shared" si="14"/>
        <v>0</v>
      </c>
      <c r="G81" s="260">
        <f t="shared" si="14"/>
        <v>1.3779081350907604E-6</v>
      </c>
      <c r="H81" s="260">
        <f t="shared" si="14"/>
        <v>1.1569604511231451E-6</v>
      </c>
      <c r="I81" s="260">
        <f t="shared" si="14"/>
        <v>1.1820285731498889E-6</v>
      </c>
      <c r="J81" s="260">
        <f t="shared" si="14"/>
        <v>1.1657716039937538E-6</v>
      </c>
      <c r="K81" s="260">
        <f t="shared" si="14"/>
        <v>9.2951851169929058E-7</v>
      </c>
      <c r="L81" s="260">
        <f t="shared" si="14"/>
        <v>8.1508112921731814E-7</v>
      </c>
      <c r="M81" s="260">
        <f t="shared" si="14"/>
        <v>8.9431352802438619E-7</v>
      </c>
      <c r="N81" s="260">
        <f t="shared" si="14"/>
        <v>9.7127824593322309E-7</v>
      </c>
      <c r="O81" s="260">
        <f t="shared" si="14"/>
        <v>9.7285525371636036E-7</v>
      </c>
      <c r="P81" s="260">
        <f t="shared" si="14"/>
        <v>9.7058350262469966E-7</v>
      </c>
      <c r="Q81" s="260">
        <f t="shared" si="14"/>
        <v>9.6747062419579739E-7</v>
      </c>
      <c r="R81" s="260">
        <f t="shared" ref="R81:AJ82" si="15">R74/SUM(R$74:R$78)</f>
        <v>9.659621369116061E-7</v>
      </c>
      <c r="S81" s="260">
        <f t="shared" si="15"/>
        <v>9.630280686579357E-7</v>
      </c>
      <c r="T81" s="260">
        <f t="shared" si="15"/>
        <v>9.5919552692564939E-7</v>
      </c>
      <c r="U81" s="260">
        <f t="shared" si="15"/>
        <v>9.5325175394822103E-7</v>
      </c>
      <c r="V81" s="260">
        <f t="shared" si="15"/>
        <v>9.4911690561699274E-7</v>
      </c>
      <c r="W81" s="260">
        <f t="shared" si="15"/>
        <v>1.0178673973778644E-6</v>
      </c>
      <c r="X81" s="260">
        <f t="shared" si="15"/>
        <v>1.0581894045275742E-6</v>
      </c>
      <c r="Y81" s="260">
        <f t="shared" si="15"/>
        <v>1.0508703473300433E-6</v>
      </c>
      <c r="Z81" s="260">
        <f t="shared" si="15"/>
        <v>1.0905258374436168E-6</v>
      </c>
      <c r="AA81" s="260">
        <f t="shared" si="15"/>
        <v>1.1206013662281676E-6</v>
      </c>
      <c r="AB81" s="260">
        <f t="shared" si="15"/>
        <v>1.1104182359794246E-6</v>
      </c>
      <c r="AC81" s="260">
        <f t="shared" si="15"/>
        <v>1.100784024186267E-6</v>
      </c>
      <c r="AD81" s="260">
        <f t="shared" si="15"/>
        <v>1.0878891870778449E-6</v>
      </c>
      <c r="AE81" s="260">
        <f t="shared" si="15"/>
        <v>1.0757453766915838E-6</v>
      </c>
      <c r="AF81" s="260">
        <f t="shared" si="15"/>
        <v>1.0663071156278424E-6</v>
      </c>
      <c r="AG81" s="260">
        <f t="shared" si="15"/>
        <v>1.0536261826131319E-6</v>
      </c>
      <c r="AH81" s="260">
        <f t="shared" si="15"/>
        <v>1.0423651620288161E-6</v>
      </c>
      <c r="AI81" s="260">
        <f t="shared" si="15"/>
        <v>1.0292353779863484E-6</v>
      </c>
      <c r="AJ81" s="260">
        <f t="shared" si="15"/>
        <v>1.0132759896895222E-6</v>
      </c>
      <c r="AK81" s="322"/>
    </row>
    <row r="82" spans="1:37" s="256" customFormat="1">
      <c r="A82" s="257" t="s">
        <v>340</v>
      </c>
      <c r="B82" s="260">
        <f t="shared" si="14"/>
        <v>2.8141865844255976E-2</v>
      </c>
      <c r="C82" s="260">
        <f t="shared" ref="C82:AA82" si="16">C75/SUM(C$74:C$78)</f>
        <v>3.143917203671158E-2</v>
      </c>
      <c r="D82" s="260">
        <f t="shared" si="16"/>
        <v>2.2781502102033859E-2</v>
      </c>
      <c r="E82" s="260">
        <f t="shared" si="16"/>
        <v>1.8886727091538935E-2</v>
      </c>
      <c r="F82" s="260">
        <f t="shared" si="16"/>
        <v>1.6263401912489133E-2</v>
      </c>
      <c r="G82" s="260">
        <f t="shared" si="16"/>
        <v>2.8410658524668866E-2</v>
      </c>
      <c r="H82" s="260">
        <f t="shared" si="16"/>
        <v>2.6368130567081809E-2</v>
      </c>
      <c r="I82" s="260">
        <f t="shared" si="16"/>
        <v>2.0040737579931155E-2</v>
      </c>
      <c r="J82" s="260">
        <f t="shared" si="16"/>
        <v>2.1267789893057575E-2</v>
      </c>
      <c r="K82" s="260">
        <f t="shared" si="16"/>
        <v>1.5526897662224081E-2</v>
      </c>
      <c r="L82" s="260">
        <f t="shared" si="16"/>
        <v>1.5957344141563475E-2</v>
      </c>
      <c r="M82" s="260">
        <f t="shared" si="16"/>
        <v>1.603436621750913E-2</v>
      </c>
      <c r="N82" s="260">
        <f t="shared" si="16"/>
        <v>1.6019970505624204E-2</v>
      </c>
      <c r="O82" s="260">
        <f t="shared" si="16"/>
        <v>1.5892972698333219E-2</v>
      </c>
      <c r="P82" s="261">
        <f t="shared" si="16"/>
        <v>1.5855507451540605E-2</v>
      </c>
      <c r="Q82" s="260">
        <f t="shared" si="16"/>
        <v>1.5805474188865583E-2</v>
      </c>
      <c r="R82" s="260">
        <f t="shared" si="16"/>
        <v>1.5861564663443503E-2</v>
      </c>
      <c r="S82" s="260">
        <f t="shared" si="16"/>
        <v>1.5678241921140083E-2</v>
      </c>
      <c r="T82" s="260">
        <f t="shared" si="16"/>
        <v>1.5626319257400545E-2</v>
      </c>
      <c r="U82" s="260">
        <f t="shared" si="16"/>
        <v>1.5617519004339268E-2</v>
      </c>
      <c r="V82" s="260">
        <f t="shared" si="16"/>
        <v>1.5282132223887504E-2</v>
      </c>
      <c r="W82" s="260">
        <f t="shared" si="16"/>
        <v>1.5367523400499758E-2</v>
      </c>
      <c r="X82" s="260">
        <f t="shared" si="16"/>
        <v>1.5280942327743385E-2</v>
      </c>
      <c r="Y82" s="260">
        <f t="shared" si="16"/>
        <v>1.5110275474778832E-2</v>
      </c>
      <c r="Z82" s="260">
        <f t="shared" si="16"/>
        <v>1.4982398153349688E-2</v>
      </c>
      <c r="AA82" s="260">
        <f t="shared" si="16"/>
        <v>1.4835531301891872E-2</v>
      </c>
      <c r="AB82" s="260">
        <f t="shared" si="15"/>
        <v>1.4800224078002871E-2</v>
      </c>
      <c r="AC82" s="260">
        <f t="shared" si="15"/>
        <v>1.4809441567747437E-2</v>
      </c>
      <c r="AD82" s="260">
        <f t="shared" si="15"/>
        <v>1.4835335432692996E-2</v>
      </c>
      <c r="AE82" s="260">
        <f t="shared" si="15"/>
        <v>1.4671391063728586E-2</v>
      </c>
      <c r="AF82" s="260">
        <f t="shared" si="15"/>
        <v>1.4544209510971311E-2</v>
      </c>
      <c r="AG82" s="260">
        <f t="shared" si="15"/>
        <v>1.4648556624168252E-2</v>
      </c>
      <c r="AH82" s="260">
        <f t="shared" si="15"/>
        <v>1.4493968502710638E-2</v>
      </c>
      <c r="AI82" s="260">
        <f t="shared" si="15"/>
        <v>1.4313105111352495E-2</v>
      </c>
      <c r="AJ82" s="260">
        <f t="shared" si="15"/>
        <v>1.4092553110723102E-2</v>
      </c>
      <c r="AK82" s="322"/>
    </row>
    <row r="83" spans="1:37" s="256" customFormat="1">
      <c r="A83" s="257" t="s">
        <v>336</v>
      </c>
      <c r="B83" s="260">
        <f>B76/SUM(B$74:B$78)</f>
        <v>0.11462349010537137</v>
      </c>
      <c r="C83" s="260">
        <f t="shared" ref="C83:AJ83" si="17">C76/SUM(C$74:C$78)</f>
        <v>8.9240382737746524E-2</v>
      </c>
      <c r="D83" s="260">
        <f t="shared" si="17"/>
        <v>5.5448244517668444E-2</v>
      </c>
      <c r="E83" s="260">
        <f t="shared" si="17"/>
        <v>3.0797703222132586E-2</v>
      </c>
      <c r="F83" s="260">
        <f t="shared" si="17"/>
        <v>3.2599246595189799E-2</v>
      </c>
      <c r="G83" s="260">
        <f t="shared" si="17"/>
        <v>3.1178911068972612E-2</v>
      </c>
      <c r="H83" s="260">
        <f t="shared" si="17"/>
        <v>2.6986834594228487E-2</v>
      </c>
      <c r="I83" s="260">
        <f t="shared" si="17"/>
        <v>2.7932283990638039E-2</v>
      </c>
      <c r="J83" s="260">
        <f t="shared" si="17"/>
        <v>2.8343151057909778E-2</v>
      </c>
      <c r="K83" s="260">
        <f t="shared" si="17"/>
        <v>2.3436166210922829E-2</v>
      </c>
      <c r="L83" s="260">
        <f t="shared" si="17"/>
        <v>2.1784717956146334E-2</v>
      </c>
      <c r="M83" s="260">
        <f t="shared" si="17"/>
        <v>2.3577673449600777E-2</v>
      </c>
      <c r="N83" s="260">
        <f t="shared" si="17"/>
        <v>2.4606879633013872E-2</v>
      </c>
      <c r="O83" s="260">
        <f t="shared" si="17"/>
        <v>2.556049070272735E-2</v>
      </c>
      <c r="P83" s="261">
        <f t="shared" si="17"/>
        <v>2.6762161294170639E-2</v>
      </c>
      <c r="Q83" s="260">
        <f t="shared" si="17"/>
        <v>2.8612777339479929E-2</v>
      </c>
      <c r="R83" s="260">
        <f t="shared" si="17"/>
        <v>2.9836146215368568E-2</v>
      </c>
      <c r="S83" s="260">
        <f t="shared" si="17"/>
        <v>3.3417128245961741E-2</v>
      </c>
      <c r="T83" s="260">
        <f t="shared" si="17"/>
        <v>3.4759162072685063E-2</v>
      </c>
      <c r="U83" s="260">
        <f t="shared" si="17"/>
        <v>3.8974969863156426E-2</v>
      </c>
      <c r="V83" s="260">
        <f t="shared" si="17"/>
        <v>4.0120944377802739E-2</v>
      </c>
      <c r="W83" s="260">
        <f t="shared" si="17"/>
        <v>4.0811561717336069E-2</v>
      </c>
      <c r="X83" s="260">
        <f t="shared" si="17"/>
        <v>4.141506432836508E-2</v>
      </c>
      <c r="Y83" s="260">
        <f t="shared" si="17"/>
        <v>4.5882735683593197E-2</v>
      </c>
      <c r="Z83" s="260">
        <f t="shared" si="17"/>
        <v>4.6251359080784905E-2</v>
      </c>
      <c r="AA83" s="260">
        <f t="shared" si="17"/>
        <v>4.6429088882577872E-2</v>
      </c>
      <c r="AB83" s="260">
        <f t="shared" si="17"/>
        <v>4.6483820533880123E-2</v>
      </c>
      <c r="AC83" s="260">
        <f t="shared" si="17"/>
        <v>4.6705846219583763E-2</v>
      </c>
      <c r="AD83" s="260">
        <f t="shared" si="17"/>
        <v>4.6866680041122974E-2</v>
      </c>
      <c r="AE83" s="260">
        <f t="shared" si="17"/>
        <v>4.6942867217100136E-2</v>
      </c>
      <c r="AF83" s="260">
        <f t="shared" si="17"/>
        <v>4.7351459910253135E-2</v>
      </c>
      <c r="AG83" s="260">
        <f t="shared" si="17"/>
        <v>4.7662411414594728E-2</v>
      </c>
      <c r="AH83" s="260">
        <f t="shared" si="17"/>
        <v>4.8146126052902256E-2</v>
      </c>
      <c r="AI83" s="260">
        <f t="shared" si="17"/>
        <v>4.856095290640066E-2</v>
      </c>
      <c r="AJ83" s="260">
        <f t="shared" si="17"/>
        <v>4.8713996457284151E-2</v>
      </c>
      <c r="AK83" s="322"/>
    </row>
    <row r="84" spans="1:37" s="256" customFormat="1">
      <c r="A84" s="257" t="s">
        <v>338</v>
      </c>
      <c r="B84" s="260">
        <f>B77/SUM(B$74:B$78)</f>
        <v>0</v>
      </c>
      <c r="C84" s="260">
        <f t="shared" ref="C84:AJ84" si="18">C77/SUM(C$74:C$78)</f>
        <v>0</v>
      </c>
      <c r="D84" s="260">
        <f t="shared" si="18"/>
        <v>0</v>
      </c>
      <c r="E84" s="260">
        <f t="shared" si="18"/>
        <v>0</v>
      </c>
      <c r="F84" s="260">
        <f t="shared" si="18"/>
        <v>2.8977108084613158E-4</v>
      </c>
      <c r="G84" s="260">
        <f t="shared" si="18"/>
        <v>3.1588057052619012E-3</v>
      </c>
      <c r="H84" s="260">
        <f t="shared" si="18"/>
        <v>6.9589425673410848E-3</v>
      </c>
      <c r="I84" s="260">
        <f t="shared" si="18"/>
        <v>1.002185389907191E-2</v>
      </c>
      <c r="J84" s="260">
        <f t="shared" si="18"/>
        <v>1.6182784712259882E-2</v>
      </c>
      <c r="K84" s="260">
        <f t="shared" si="18"/>
        <v>2.05861138412359E-2</v>
      </c>
      <c r="L84" s="260">
        <f t="shared" si="18"/>
        <v>2.4613594672820038E-2</v>
      </c>
      <c r="M84" s="260">
        <f t="shared" si="18"/>
        <v>2.4631777515246214E-2</v>
      </c>
      <c r="N84" s="260">
        <f t="shared" si="18"/>
        <v>2.4751052251395525E-2</v>
      </c>
      <c r="O84" s="260">
        <f t="shared" si="18"/>
        <v>2.5036664864724511E-2</v>
      </c>
      <c r="P84" s="261">
        <f t="shared" si="18"/>
        <v>2.5746686054702168E-2</v>
      </c>
      <c r="Q84" s="260">
        <f t="shared" si="18"/>
        <v>2.6636680215964336E-2</v>
      </c>
      <c r="R84" s="260">
        <f t="shared" si="18"/>
        <v>2.766135831313013E-2</v>
      </c>
      <c r="S84" s="260">
        <f t="shared" si="18"/>
        <v>2.8875738572133124E-2</v>
      </c>
      <c r="T84" s="260">
        <f t="shared" si="18"/>
        <v>3.0554737483919563E-2</v>
      </c>
      <c r="U84" s="260">
        <f t="shared" si="18"/>
        <v>3.2817348452402931E-2</v>
      </c>
      <c r="V84" s="260">
        <f t="shared" si="18"/>
        <v>3.5637251930669508E-2</v>
      </c>
      <c r="W84" s="260">
        <f t="shared" si="18"/>
        <v>3.9047196075454892E-2</v>
      </c>
      <c r="X84" s="260">
        <f t="shared" si="18"/>
        <v>4.3383014357621943E-2</v>
      </c>
      <c r="Y84" s="260">
        <f t="shared" si="18"/>
        <v>4.7873630008367418E-2</v>
      </c>
      <c r="Z84" s="260">
        <f t="shared" si="18"/>
        <v>5.3615208116588854E-2</v>
      </c>
      <c r="AA84" s="260">
        <f t="shared" si="18"/>
        <v>6.0642720361802287E-2</v>
      </c>
      <c r="AB84" s="260">
        <f t="shared" si="18"/>
        <v>6.6811177432643393E-2</v>
      </c>
      <c r="AC84" s="260">
        <f t="shared" si="18"/>
        <v>7.2147419100330235E-2</v>
      </c>
      <c r="AD84" s="260">
        <f t="shared" si="18"/>
        <v>7.8944176198429597E-2</v>
      </c>
      <c r="AE84" s="260">
        <f t="shared" si="18"/>
        <v>8.6982521687737874E-2</v>
      </c>
      <c r="AF84" s="260">
        <f t="shared" si="18"/>
        <v>9.3808301550641238E-2</v>
      </c>
      <c r="AG84" s="260">
        <f t="shared" si="18"/>
        <v>9.9319793982038315E-2</v>
      </c>
      <c r="AH84" s="260">
        <f t="shared" si="18"/>
        <v>0.10486867362327863</v>
      </c>
      <c r="AI84" s="260">
        <f t="shared" si="18"/>
        <v>0.1101340429418815</v>
      </c>
      <c r="AJ84" s="260">
        <f t="shared" si="18"/>
        <v>0.11511004719091467</v>
      </c>
      <c r="AK84" s="322"/>
    </row>
    <row r="85" spans="1:37" s="256" customFormat="1">
      <c r="A85" s="257" t="s">
        <v>337</v>
      </c>
      <c r="B85" s="260">
        <f>B78/SUM(B$74:B$78)</f>
        <v>0.85723464405037264</v>
      </c>
      <c r="C85" s="260">
        <f t="shared" ref="C85:AJ85" si="19">C78/SUM(C$74:C$78)</f>
        <v>0.87932044522554187</v>
      </c>
      <c r="D85" s="260">
        <f t="shared" si="19"/>
        <v>0.92177025338029772</v>
      </c>
      <c r="E85" s="260">
        <f t="shared" si="19"/>
        <v>0.95031556968632847</v>
      </c>
      <c r="F85" s="260">
        <f t="shared" si="19"/>
        <v>0.95084758041147499</v>
      </c>
      <c r="G85" s="260">
        <f t="shared" si="19"/>
        <v>0.93725024679296154</v>
      </c>
      <c r="H85" s="260">
        <f t="shared" si="19"/>
        <v>0.93968493531089747</v>
      </c>
      <c r="I85" s="260">
        <f t="shared" si="19"/>
        <v>0.94200394250178576</v>
      </c>
      <c r="J85" s="260">
        <f t="shared" si="19"/>
        <v>0.93420510856516881</v>
      </c>
      <c r="K85" s="260">
        <f t="shared" si="19"/>
        <v>0.94044989276710544</v>
      </c>
      <c r="L85" s="260">
        <f t="shared" si="19"/>
        <v>0.93764352814834095</v>
      </c>
      <c r="M85" s="260">
        <f t="shared" si="19"/>
        <v>0.93575528850411582</v>
      </c>
      <c r="N85" s="260">
        <f t="shared" si="19"/>
        <v>0.93462112633172045</v>
      </c>
      <c r="O85" s="260">
        <f t="shared" si="19"/>
        <v>0.93350889887896127</v>
      </c>
      <c r="P85" s="261">
        <f t="shared" si="19"/>
        <v>0.93163467461608407</v>
      </c>
      <c r="Q85" s="260">
        <f t="shared" si="19"/>
        <v>0.92894410078506595</v>
      </c>
      <c r="R85" s="260">
        <f t="shared" si="19"/>
        <v>0.92663996484592093</v>
      </c>
      <c r="S85" s="260">
        <f t="shared" si="19"/>
        <v>0.92202792823269641</v>
      </c>
      <c r="T85" s="260">
        <f t="shared" si="19"/>
        <v>0.91905882199046796</v>
      </c>
      <c r="U85" s="260">
        <f t="shared" si="19"/>
        <v>0.91258920942834731</v>
      </c>
      <c r="V85" s="260">
        <f t="shared" si="19"/>
        <v>0.9089587223507346</v>
      </c>
      <c r="W85" s="260">
        <f t="shared" si="19"/>
        <v>0.90477270093931184</v>
      </c>
      <c r="X85" s="260">
        <f t="shared" si="19"/>
        <v>0.899919920796865</v>
      </c>
      <c r="Y85" s="260">
        <f t="shared" si="19"/>
        <v>0.89113230796291321</v>
      </c>
      <c r="Z85" s="260">
        <f t="shared" si="19"/>
        <v>0.88514994412343917</v>
      </c>
      <c r="AA85" s="260">
        <f t="shared" si="19"/>
        <v>0.87809153885236169</v>
      </c>
      <c r="AB85" s="260">
        <f t="shared" si="19"/>
        <v>0.87190366753723769</v>
      </c>
      <c r="AC85" s="260">
        <f t="shared" si="19"/>
        <v>0.86633619232831438</v>
      </c>
      <c r="AD85" s="260">
        <f t="shared" si="19"/>
        <v>0.85935272043856725</v>
      </c>
      <c r="AE85" s="260">
        <f t="shared" si="19"/>
        <v>0.85140214428605676</v>
      </c>
      <c r="AF85" s="260">
        <f t="shared" si="19"/>
        <v>0.84429496272101878</v>
      </c>
      <c r="AG85" s="260">
        <f t="shared" si="19"/>
        <v>0.83836818435301619</v>
      </c>
      <c r="AH85" s="260">
        <f t="shared" si="19"/>
        <v>0.83249018945594644</v>
      </c>
      <c r="AI85" s="260">
        <f t="shared" si="19"/>
        <v>0.82699086980498726</v>
      </c>
      <c r="AJ85" s="260">
        <f t="shared" si="19"/>
        <v>0.82208238996508831</v>
      </c>
      <c r="AK85" s="322"/>
    </row>
    <row r="86" spans="1:37" s="256" customFormat="1">
      <c r="A86" s="256" t="s">
        <v>341</v>
      </c>
      <c r="B86" s="260">
        <f>SUM(B81:B85)</f>
        <v>1</v>
      </c>
      <c r="C86" s="260">
        <f t="shared" ref="C86:AJ86" si="20">SUM(C81:C85)</f>
        <v>1</v>
      </c>
      <c r="D86" s="260">
        <f t="shared" si="20"/>
        <v>1</v>
      </c>
      <c r="E86" s="260">
        <f t="shared" si="20"/>
        <v>1</v>
      </c>
      <c r="F86" s="260">
        <f t="shared" si="20"/>
        <v>1</v>
      </c>
      <c r="G86" s="260">
        <f t="shared" si="20"/>
        <v>1</v>
      </c>
      <c r="H86" s="260">
        <f t="shared" si="20"/>
        <v>1</v>
      </c>
      <c r="I86" s="260">
        <f t="shared" si="20"/>
        <v>1</v>
      </c>
      <c r="J86" s="260">
        <f t="shared" si="20"/>
        <v>1</v>
      </c>
      <c r="K86" s="260">
        <f t="shared" si="20"/>
        <v>1</v>
      </c>
      <c r="L86" s="260">
        <f t="shared" si="20"/>
        <v>1</v>
      </c>
      <c r="M86" s="260">
        <f t="shared" si="20"/>
        <v>1</v>
      </c>
      <c r="N86" s="260">
        <f t="shared" si="20"/>
        <v>1</v>
      </c>
      <c r="O86" s="260">
        <f t="shared" si="20"/>
        <v>1</v>
      </c>
      <c r="P86" s="260">
        <f t="shared" si="20"/>
        <v>1</v>
      </c>
      <c r="Q86" s="260">
        <f t="shared" si="20"/>
        <v>1</v>
      </c>
      <c r="R86" s="260">
        <f t="shared" si="20"/>
        <v>1</v>
      </c>
      <c r="S86" s="260">
        <f t="shared" si="20"/>
        <v>1</v>
      </c>
      <c r="T86" s="260">
        <f t="shared" si="20"/>
        <v>1</v>
      </c>
      <c r="U86" s="260">
        <f t="shared" si="20"/>
        <v>0.99999999999999989</v>
      </c>
      <c r="V86" s="260">
        <f t="shared" si="20"/>
        <v>1</v>
      </c>
      <c r="W86" s="260">
        <f t="shared" si="20"/>
        <v>0.99999999999999989</v>
      </c>
      <c r="X86" s="260">
        <f t="shared" si="20"/>
        <v>1</v>
      </c>
      <c r="Y86" s="260">
        <f t="shared" si="20"/>
        <v>1</v>
      </c>
      <c r="Z86" s="260">
        <f t="shared" si="20"/>
        <v>1</v>
      </c>
      <c r="AA86" s="260">
        <f t="shared" si="20"/>
        <v>1</v>
      </c>
      <c r="AB86" s="260">
        <f t="shared" si="20"/>
        <v>1</v>
      </c>
      <c r="AC86" s="260">
        <f t="shared" si="20"/>
        <v>1</v>
      </c>
      <c r="AD86" s="260">
        <f t="shared" si="20"/>
        <v>0.99999999999999989</v>
      </c>
      <c r="AE86" s="260">
        <f t="shared" si="20"/>
        <v>1</v>
      </c>
      <c r="AF86" s="260">
        <f t="shared" si="20"/>
        <v>1</v>
      </c>
      <c r="AG86" s="260">
        <f t="shared" si="20"/>
        <v>1</v>
      </c>
      <c r="AH86" s="260">
        <f t="shared" si="20"/>
        <v>1</v>
      </c>
      <c r="AI86" s="260">
        <f t="shared" si="20"/>
        <v>0.99999999999999989</v>
      </c>
      <c r="AJ86" s="260">
        <f t="shared" si="20"/>
        <v>0.99999999999999989</v>
      </c>
      <c r="AK86" s="322"/>
    </row>
    <row r="87" spans="1:37">
      <c r="A87" s="562" t="s">
        <v>632</v>
      </c>
      <c r="B87" s="562"/>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row>
    <row r="88" spans="1:37">
      <c r="A88" s="563" t="s">
        <v>665</v>
      </c>
      <c r="B88" s="56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row>
    <row r="89" spans="1:37">
      <c r="A89" s="563" t="s">
        <v>666</v>
      </c>
      <c r="B89" s="563"/>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row>
    <row r="90" spans="1:37">
      <c r="A90" s="563" t="s">
        <v>667</v>
      </c>
      <c r="B90" s="56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row>
    <row r="91" spans="1:37">
      <c r="A91" s="563" t="s">
        <v>668</v>
      </c>
      <c r="B91" s="563"/>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row>
    <row r="92" spans="1:37">
      <c r="A92" s="563" t="s">
        <v>669</v>
      </c>
      <c r="B92" s="56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row>
    <row r="93" spans="1:37">
      <c r="A93" s="563" t="s">
        <v>670</v>
      </c>
      <c r="B93" s="563"/>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row>
    <row r="94" spans="1:37">
      <c r="A94" s="563" t="s">
        <v>671</v>
      </c>
      <c r="B94" s="563"/>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row>
    <row r="95" spans="1:37">
      <c r="A95" s="563" t="s">
        <v>672</v>
      </c>
      <c r="B95" s="563"/>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row>
    <row r="96" spans="1:37">
      <c r="A96" s="563" t="s">
        <v>673</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row>
    <row r="97" spans="1:32">
      <c r="A97" s="563" t="s">
        <v>674</v>
      </c>
      <c r="B97" s="563"/>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row>
    <row r="98" spans="1:32">
      <c r="A98" s="563" t="s">
        <v>675</v>
      </c>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row>
    <row r="99" spans="1:32">
      <c r="A99" s="563" t="s">
        <v>676</v>
      </c>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row>
    <row r="100" spans="1:32">
      <c r="A100" s="563" t="s">
        <v>677</v>
      </c>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row>
    <row r="101" spans="1:32">
      <c r="A101" s="563" t="s">
        <v>678</v>
      </c>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row>
    <row r="102" spans="1:32">
      <c r="A102" s="563" t="s">
        <v>679</v>
      </c>
      <c r="B102" s="563"/>
      <c r="C102" s="563"/>
      <c r="D102" s="563"/>
      <c r="E102" s="563"/>
      <c r="F102" s="563"/>
      <c r="G102" s="563"/>
      <c r="H102" s="563"/>
      <c r="I102" s="563"/>
      <c r="J102" s="563"/>
      <c r="K102" s="563"/>
      <c r="L102" s="563"/>
      <c r="M102" s="563"/>
      <c r="N102" s="563"/>
      <c r="O102" s="563"/>
      <c r="P102" s="563"/>
      <c r="Q102" s="563"/>
      <c r="R102" s="563"/>
      <c r="S102" s="563"/>
      <c r="T102" s="563"/>
      <c r="U102" s="563"/>
      <c r="V102" s="563"/>
      <c r="W102" s="563"/>
      <c r="X102" s="563"/>
      <c r="Y102" s="563"/>
      <c r="Z102" s="563"/>
      <c r="AA102" s="563"/>
      <c r="AB102" s="563"/>
      <c r="AC102" s="563"/>
      <c r="AD102" s="563"/>
      <c r="AE102" s="563"/>
      <c r="AF102" s="563"/>
    </row>
    <row r="103" spans="1:32">
      <c r="A103" s="563" t="s">
        <v>680</v>
      </c>
      <c r="B103" s="563"/>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row>
    <row r="104" spans="1:32">
      <c r="A104" s="563" t="s">
        <v>681</v>
      </c>
      <c r="B104" s="563"/>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row>
    <row r="105" spans="1:32">
      <c r="A105" s="563" t="s">
        <v>682</v>
      </c>
      <c r="B105" s="563"/>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row>
    <row r="106" spans="1:32">
      <c r="A106" s="563" t="s">
        <v>683</v>
      </c>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row>
    <row r="107" spans="1:32">
      <c r="A107" s="563" t="s">
        <v>684</v>
      </c>
      <c r="B107" s="563"/>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row>
    <row r="108" spans="1:32">
      <c r="A108" s="563" t="s">
        <v>636</v>
      </c>
      <c r="B108" s="563"/>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row>
    <row r="109" spans="1:32">
      <c r="A109" s="563" t="s">
        <v>685</v>
      </c>
      <c r="B109" s="563"/>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row>
    <row r="110" spans="1:32">
      <c r="A110" s="563" t="s">
        <v>686</v>
      </c>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row>
    <row r="111" spans="1:32">
      <c r="A111" s="563" t="s">
        <v>643</v>
      </c>
      <c r="B111" s="563"/>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row>
    <row r="112" spans="1:32">
      <c r="A112" s="563" t="s">
        <v>644</v>
      </c>
      <c r="B112" s="563"/>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row>
    <row r="113" spans="1:32">
      <c r="A113" s="563" t="s">
        <v>645</v>
      </c>
      <c r="B113" s="563"/>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row>
    <row r="114" spans="1:32">
      <c r="A114" s="563" t="s">
        <v>687</v>
      </c>
      <c r="B114" s="563"/>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row>
    <row r="115" spans="1:32">
      <c r="A115" s="563" t="s">
        <v>688</v>
      </c>
      <c r="B115" s="563"/>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row>
    <row r="116" spans="1:32">
      <c r="A116" s="563" t="s">
        <v>620</v>
      </c>
      <c r="B116" s="563"/>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row>
    <row r="117" spans="1:32">
      <c r="A117" s="563" t="s">
        <v>621</v>
      </c>
      <c r="B117" s="563"/>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row>
    <row r="118" spans="1:32">
      <c r="A118" s="563" t="s">
        <v>622</v>
      </c>
      <c r="B118" s="563"/>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row>
    <row r="119" spans="1:32">
      <c r="A119" s="563" t="s">
        <v>689</v>
      </c>
      <c r="B119" s="563"/>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row>
    <row r="120" spans="1:32">
      <c r="A120" s="563" t="s">
        <v>690</v>
      </c>
      <c r="B120" s="563"/>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row>
    <row r="121" spans="1:32">
      <c r="A121" s="563" t="s">
        <v>624</v>
      </c>
      <c r="B121" s="563"/>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row>
    <row r="122" spans="1:32">
      <c r="A122" s="563" t="s">
        <v>627</v>
      </c>
      <c r="B122" s="563"/>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2015-02-19T01:04:58Z</dcterms:modified>
</cp:coreProperties>
</file>