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0" yWindow="0" windowWidth="25600" windowHeight="15400" tabRatio="923" activeTab="4"/>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27" l="1"/>
  <c r="E39" i="27"/>
  <c r="H39" i="27"/>
  <c r="J39" i="27"/>
  <c r="L39" i="27"/>
  <c r="F39" i="27"/>
  <c r="I39" i="27"/>
  <c r="K39" i="27"/>
  <c r="M39" i="27"/>
  <c r="N39" i="27"/>
  <c r="O37" i="27"/>
  <c r="H36" i="27"/>
  <c r="J36" i="27"/>
  <c r="L36" i="27"/>
  <c r="I36" i="27"/>
  <c r="K36" i="27"/>
  <c r="M36" i="27"/>
  <c r="N36" i="27"/>
  <c r="O36" i="27"/>
  <c r="H35" i="27"/>
  <c r="J35" i="27"/>
  <c r="L35" i="27"/>
  <c r="K35" i="27"/>
  <c r="M35" i="27"/>
  <c r="N35" i="27"/>
  <c r="O35" i="27"/>
  <c r="H34" i="27"/>
  <c r="J34" i="27"/>
  <c r="L34" i="27"/>
  <c r="I34" i="27"/>
  <c r="K34" i="27"/>
  <c r="M34" i="27"/>
  <c r="N34" i="27"/>
  <c r="O34" i="27"/>
  <c r="O33" i="27"/>
  <c r="H32" i="27"/>
  <c r="J32" i="27"/>
  <c r="L32" i="27"/>
  <c r="I32" i="27"/>
  <c r="K32" i="27"/>
  <c r="M32" i="27"/>
  <c r="N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O28" i="27"/>
  <c r="H27" i="27"/>
  <c r="J27" i="27"/>
  <c r="L27" i="27"/>
  <c r="I27" i="27"/>
  <c r="K27" i="27"/>
  <c r="M27" i="27"/>
  <c r="N27" i="27"/>
  <c r="H26" i="27"/>
  <c r="J26" i="27"/>
  <c r="L26" i="27"/>
  <c r="I26" i="27"/>
  <c r="K26" i="27"/>
  <c r="M26" i="27"/>
  <c r="N26" i="27"/>
  <c r="E25" i="27"/>
  <c r="H25" i="27"/>
  <c r="J25" i="27"/>
  <c r="L25" i="27"/>
  <c r="I25" i="27"/>
  <c r="K25" i="27"/>
  <c r="M25" i="27"/>
  <c r="N25" i="27"/>
  <c r="O25" i="27"/>
  <c r="H24" i="27"/>
  <c r="J24" i="27"/>
  <c r="L24" i="27"/>
  <c r="I24" i="27"/>
  <c r="K24" i="27"/>
  <c r="M24" i="27"/>
  <c r="N24" i="27"/>
  <c r="H23" i="27"/>
  <c r="J23" i="27"/>
  <c r="L23" i="27"/>
  <c r="I23" i="27"/>
  <c r="K23" i="27"/>
  <c r="M23" i="27"/>
  <c r="N23" i="27"/>
  <c r="O22" i="27"/>
  <c r="H22" i="27"/>
  <c r="J22" i="27"/>
  <c r="L22" i="27"/>
  <c r="I22" i="27"/>
  <c r="K22" i="27"/>
  <c r="M22" i="27"/>
  <c r="N22" i="27"/>
  <c r="H21" i="27"/>
  <c r="J21" i="27"/>
  <c r="L21" i="27"/>
  <c r="I21" i="27"/>
  <c r="K21" i="27"/>
  <c r="M21" i="27"/>
  <c r="N21" i="27"/>
  <c r="O21" i="27"/>
  <c r="H20" i="27"/>
  <c r="J20" i="27"/>
  <c r="L20" i="27"/>
  <c r="I20" i="27"/>
  <c r="K20" i="27"/>
  <c r="M20" i="27"/>
  <c r="N20" i="27"/>
  <c r="H19" i="27"/>
  <c r="J19" i="27"/>
  <c r="L19" i="27"/>
  <c r="I19" i="27"/>
  <c r="K19" i="27"/>
  <c r="M19" i="27"/>
  <c r="N19" i="27"/>
  <c r="O19" i="27"/>
  <c r="H18" i="27"/>
  <c r="J18" i="27"/>
  <c r="L18" i="27"/>
  <c r="I18" i="27"/>
  <c r="K18" i="27"/>
  <c r="M18" i="27"/>
  <c r="N18" i="27"/>
  <c r="H17" i="27"/>
  <c r="J17" i="27"/>
  <c r="L17" i="27"/>
  <c r="I17" i="27"/>
  <c r="K17" i="27"/>
  <c r="M17" i="27"/>
  <c r="N17" i="27"/>
  <c r="E16" i="27"/>
  <c r="H16" i="27"/>
  <c r="J16" i="27"/>
  <c r="L16" i="27"/>
  <c r="F16" i="27"/>
  <c r="I16" i="27"/>
  <c r="K16" i="27"/>
  <c r="M16" i="27"/>
  <c r="N16" i="27"/>
  <c r="O16" i="27"/>
  <c r="H15" i="27"/>
  <c r="J15" i="27"/>
  <c r="L15" i="27"/>
  <c r="I15" i="27"/>
  <c r="K15" i="27"/>
  <c r="M15" i="27"/>
  <c r="N15" i="27"/>
  <c r="H14" i="27"/>
  <c r="J14" i="27"/>
  <c r="L14" i="27"/>
  <c r="I14" i="27"/>
  <c r="K14" i="27"/>
  <c r="M14" i="27"/>
  <c r="N14" i="27"/>
  <c r="O14" i="27"/>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J78" i="8"/>
  <c r="J79" i="8"/>
  <c r="J54" i="11"/>
  <c r="J49" i="11"/>
  <c r="J58" i="11"/>
  <c r="H13" i="15"/>
  <c r="H14" i="15"/>
  <c r="H29" i="15"/>
  <c r="H100" i="15"/>
  <c r="H30" i="15"/>
  <c r="H101" i="15"/>
  <c r="H16" i="9"/>
  <c r="H42" i="15"/>
  <c r="H112" i="15"/>
  <c r="H108" i="15"/>
  <c r="H113" i="15"/>
  <c r="H43" i="15"/>
  <c r="H46" i="15"/>
  <c r="J60" i="11"/>
  <c r="H47" i="15"/>
  <c r="H116" i="15"/>
  <c r="H48" i="15"/>
  <c r="H117" i="15"/>
  <c r="H118" i="15"/>
  <c r="H127" i="15"/>
  <c r="H128" i="15"/>
  <c r="H139" i="15"/>
  <c r="H135" i="15"/>
  <c r="H140" i="15"/>
  <c r="H143" i="15"/>
  <c r="H144" i="15"/>
  <c r="H145" i="15"/>
  <c r="H249" i="15"/>
  <c r="H252" i="15"/>
  <c r="H179" i="15"/>
  <c r="H50" i="9"/>
  <c r="H47" i="9"/>
  <c r="H52" i="9"/>
  <c r="H20" i="9"/>
  <c r="H53" i="9"/>
  <c r="H55" i="9"/>
  <c r="H68" i="9"/>
  <c r="H65" i="9"/>
  <c r="H70" i="9"/>
  <c r="H71" i="9"/>
  <c r="H73" i="9"/>
  <c r="H176" i="15"/>
  <c r="H182" i="15"/>
  <c r="H185" i="15"/>
  <c r="H78" i="8"/>
  <c r="H79" i="8"/>
  <c r="H54" i="11"/>
  <c r="H49" i="11"/>
  <c r="H58" i="11"/>
  <c r="H56" i="11"/>
  <c r="I78" i="8"/>
  <c r="I79" i="8"/>
  <c r="I54" i="11"/>
  <c r="I49" i="11"/>
  <c r="I58" i="11"/>
  <c r="I56" i="11"/>
  <c r="J56" i="11"/>
  <c r="K78" i="8"/>
  <c r="K79" i="8"/>
  <c r="K54" i="11"/>
  <c r="K49" i="11"/>
  <c r="K58" i="11"/>
  <c r="K56" i="11"/>
  <c r="L78" i="8"/>
  <c r="L79" i="8"/>
  <c r="L54" i="11"/>
  <c r="L49" i="11"/>
  <c r="L58" i="11"/>
  <c r="L56" i="11"/>
  <c r="M78" i="8"/>
  <c r="M79" i="8"/>
  <c r="M54" i="11"/>
  <c r="M49" i="11"/>
  <c r="M58" i="11"/>
  <c r="M56" i="11"/>
  <c r="N78" i="8"/>
  <c r="N79" i="8"/>
  <c r="N54" i="11"/>
  <c r="N49" i="11"/>
  <c r="N58" i="11"/>
  <c r="N56" i="11"/>
  <c r="O78" i="8"/>
  <c r="O79" i="8"/>
  <c r="O54" i="11"/>
  <c r="O49" i="11"/>
  <c r="O58" i="11"/>
  <c r="O56" i="11"/>
  <c r="P78" i="8"/>
  <c r="P79" i="8"/>
  <c r="P54" i="11"/>
  <c r="P49" i="11"/>
  <c r="P58" i="11"/>
  <c r="P56" i="11"/>
  <c r="Q78" i="8"/>
  <c r="Q79" i="8"/>
  <c r="Q54" i="11"/>
  <c r="Q49" i="11"/>
  <c r="Q58" i="11"/>
  <c r="Q56" i="11"/>
  <c r="R78" i="8"/>
  <c r="R79" i="8"/>
  <c r="R54" i="11"/>
  <c r="R49" i="11"/>
  <c r="R58" i="11"/>
  <c r="R56" i="11"/>
  <c r="S78" i="8"/>
  <c r="S79" i="8"/>
  <c r="S54" i="11"/>
  <c r="S49" i="11"/>
  <c r="S58" i="11"/>
  <c r="S56" i="11"/>
  <c r="T78" i="8"/>
  <c r="T79" i="8"/>
  <c r="T54" i="11"/>
  <c r="T49" i="11"/>
  <c r="T58" i="11"/>
  <c r="T56" i="11"/>
  <c r="U78" i="8"/>
  <c r="U79" i="8"/>
  <c r="U54" i="11"/>
  <c r="U49" i="11"/>
  <c r="U58" i="11"/>
  <c r="U56" i="11"/>
  <c r="V78" i="8"/>
  <c r="V79" i="8"/>
  <c r="V54" i="11"/>
  <c r="V49" i="11"/>
  <c r="V58" i="11"/>
  <c r="V56" i="11"/>
  <c r="W78" i="8"/>
  <c r="W79" i="8"/>
  <c r="W54" i="11"/>
  <c r="W49" i="11"/>
  <c r="W58" i="11"/>
  <c r="W56" i="11"/>
  <c r="X78" i="8"/>
  <c r="X79" i="8"/>
  <c r="X54" i="11"/>
  <c r="X49" i="11"/>
  <c r="X58" i="11"/>
  <c r="X56" i="11"/>
  <c r="Y78" i="8"/>
  <c r="Y79" i="8"/>
  <c r="Y54" i="11"/>
  <c r="Y49" i="11"/>
  <c r="Y58" i="11"/>
  <c r="Y56" i="11"/>
  <c r="Z78" i="8"/>
  <c r="Z79" i="8"/>
  <c r="Z54" i="11"/>
  <c r="Z49" i="11"/>
  <c r="Z58" i="11"/>
  <c r="Z56" i="11"/>
  <c r="AA78" i="8"/>
  <c r="AA79" i="8"/>
  <c r="AA54" i="11"/>
  <c r="AA49" i="11"/>
  <c r="AA58" i="11"/>
  <c r="AA56" i="11"/>
  <c r="AB78" i="8"/>
  <c r="AB79" i="8"/>
  <c r="AB54" i="11"/>
  <c r="AB49" i="11"/>
  <c r="AB58" i="11"/>
  <c r="AB56" i="11"/>
  <c r="AC78" i="8"/>
  <c r="AC79" i="8"/>
  <c r="AC54" i="11"/>
  <c r="AC49" i="11"/>
  <c r="AC58" i="11"/>
  <c r="AC56" i="11"/>
  <c r="AD78" i="8"/>
  <c r="AD79" i="8"/>
  <c r="AD54" i="11"/>
  <c r="AD49" i="11"/>
  <c r="AD58" i="11"/>
  <c r="AD56" i="11"/>
  <c r="AE78" i="8"/>
  <c r="AE79" i="8"/>
  <c r="AE54" i="11"/>
  <c r="AE49" i="11"/>
  <c r="AE58" i="11"/>
  <c r="AE56" i="11"/>
  <c r="AF78" i="8"/>
  <c r="AF79" i="8"/>
  <c r="AF54" i="11"/>
  <c r="AF49" i="11"/>
  <c r="AF58" i="11"/>
  <c r="AF56" i="11"/>
  <c r="AG78" i="8"/>
  <c r="AG79" i="8"/>
  <c r="AG54" i="11"/>
  <c r="AG49" i="11"/>
  <c r="AG58" i="11"/>
  <c r="AG56" i="11"/>
  <c r="AH78" i="8"/>
  <c r="AH79" i="8"/>
  <c r="AH54" i="11"/>
  <c r="AH49" i="11"/>
  <c r="AH58" i="11"/>
  <c r="AH56" i="11"/>
  <c r="AI78" i="8"/>
  <c r="AI79" i="8"/>
  <c r="AI54" i="11"/>
  <c r="AI49" i="11"/>
  <c r="AI58" i="11"/>
  <c r="AI56" i="11"/>
  <c r="AJ78" i="8"/>
  <c r="AJ79" i="8"/>
  <c r="AJ54" i="11"/>
  <c r="AJ49" i="11"/>
  <c r="AJ58" i="11"/>
  <c r="AJ56" i="11"/>
  <c r="G78" i="8"/>
  <c r="G79" i="8"/>
  <c r="G54" i="11"/>
  <c r="G49" i="11"/>
  <c r="G58" i="11"/>
  <c r="G56" i="11"/>
  <c r="G51" i="11"/>
  <c r="AH13" i="9"/>
  <c r="AJ73" i="8"/>
  <c r="AH7" i="9"/>
  <c r="AJ74" i="8"/>
  <c r="AJ75" i="8"/>
  <c r="AJ76" i="8"/>
  <c r="AJ77" i="8"/>
  <c r="AJ51" i="11"/>
  <c r="AH13" i="15"/>
  <c r="AH14" i="15"/>
  <c r="D30" i="5"/>
  <c r="C30" i="5"/>
  <c r="P73" i="8"/>
  <c r="N7" i="9"/>
  <c r="P74" i="8"/>
  <c r="P75" i="8"/>
  <c r="P76" i="8"/>
  <c r="P77" i="8"/>
  <c r="P51" i="11"/>
  <c r="N13" i="15"/>
  <c r="N14" i="15"/>
  <c r="D35" i="5"/>
  <c r="C35" i="5"/>
  <c r="Z73" i="8"/>
  <c r="X7" i="9"/>
  <c r="Z74" i="8"/>
  <c r="Z75" i="8"/>
  <c r="Z76" i="8"/>
  <c r="Z77" i="8"/>
  <c r="Z51" i="11"/>
  <c r="X13" i="15"/>
  <c r="X14" i="15"/>
  <c r="D29" i="5"/>
  <c r="C29" i="5"/>
  <c r="D28" i="5"/>
  <c r="C28" i="5"/>
  <c r="F35" i="5"/>
  <c r="H35" i="5"/>
  <c r="AH26" i="15"/>
  <c r="AH31" i="15"/>
  <c r="D36" i="5"/>
  <c r="C36" i="5"/>
  <c r="F36" i="5"/>
  <c r="H36" i="5"/>
  <c r="AH18" i="15"/>
  <c r="AH32" i="15"/>
  <c r="N10" i="9"/>
  <c r="D17" i="5"/>
  <c r="N11" i="9"/>
  <c r="N12" i="9"/>
  <c r="N16" i="9"/>
  <c r="N18" i="9"/>
  <c r="D11" i="5"/>
  <c r="C17" i="5"/>
  <c r="F17" i="5"/>
  <c r="I17" i="5"/>
  <c r="AH34" i="15"/>
  <c r="D19" i="5"/>
  <c r="C19" i="5"/>
  <c r="F19" i="5"/>
  <c r="I19" i="5"/>
  <c r="AH35" i="15"/>
  <c r="D20" i="5"/>
  <c r="C20" i="5"/>
  <c r="F20" i="5"/>
  <c r="I20" i="5"/>
  <c r="AH37" i="15"/>
  <c r="D21" i="5"/>
  <c r="C21" i="5"/>
  <c r="F21" i="5"/>
  <c r="I21" i="5"/>
  <c r="AH38" i="15"/>
  <c r="D22" i="5"/>
  <c r="C22" i="5"/>
  <c r="F22" i="5"/>
  <c r="I22" i="5"/>
  <c r="AH39" i="15"/>
  <c r="D18" i="5"/>
  <c r="C18" i="5"/>
  <c r="F18" i="5"/>
  <c r="I18" i="5"/>
  <c r="AH40" i="15"/>
  <c r="D23" i="5"/>
  <c r="C23" i="5"/>
  <c r="F23" i="5"/>
  <c r="I23" i="5"/>
  <c r="AH42" i="15"/>
  <c r="AH43" i="15"/>
  <c r="F34" i="5"/>
  <c r="H34" i="5"/>
  <c r="AH24" i="15"/>
  <c r="AH30" i="15"/>
  <c r="AJ60" i="11"/>
  <c r="AH46" i="15"/>
  <c r="AH47" i="15"/>
  <c r="AH48" i="15"/>
  <c r="AH49" i="15"/>
  <c r="AH93" i="15"/>
  <c r="X34" i="15"/>
  <c r="X35" i="15"/>
  <c r="X37" i="15"/>
  <c r="X38" i="15"/>
  <c r="X39" i="15"/>
  <c r="X40" i="15"/>
  <c r="X42" i="15"/>
  <c r="X26" i="15"/>
  <c r="X31" i="15"/>
  <c r="X18" i="15"/>
  <c r="X32" i="15"/>
  <c r="X43" i="15"/>
  <c r="X24" i="15"/>
  <c r="X30" i="15"/>
  <c r="Z60" i="11"/>
  <c r="X46" i="15"/>
  <c r="X47" i="15"/>
  <c r="X48" i="15"/>
  <c r="X49" i="15"/>
  <c r="X93" i="15"/>
  <c r="AH78" i="15"/>
  <c r="AH94" i="15"/>
  <c r="X94" i="15"/>
  <c r="AH79" i="15"/>
  <c r="AH87" i="15"/>
  <c r="X87" i="15"/>
  <c r="AH72" i="15"/>
  <c r="C24" i="5"/>
  <c r="E17" i="5"/>
  <c r="N16" i="15"/>
  <c r="N19" i="15"/>
  <c r="N20" i="15"/>
  <c r="N21" i="15"/>
  <c r="N34" i="15"/>
  <c r="E19" i="5"/>
  <c r="N35" i="15"/>
  <c r="E20" i="5"/>
  <c r="N37" i="15"/>
  <c r="E21" i="5"/>
  <c r="N38" i="15"/>
  <c r="E22" i="5"/>
  <c r="N39" i="15"/>
  <c r="E18" i="5"/>
  <c r="N40" i="15"/>
  <c r="E23" i="5"/>
  <c r="N42" i="15"/>
  <c r="N26" i="15"/>
  <c r="N31" i="15"/>
  <c r="N18" i="15"/>
  <c r="N32" i="15"/>
  <c r="N43" i="15"/>
  <c r="N30" i="15"/>
  <c r="P60" i="11"/>
  <c r="N46" i="15"/>
  <c r="N47" i="15"/>
  <c r="N48" i="15"/>
  <c r="N49" i="15"/>
  <c r="N93" i="15"/>
  <c r="X78" i="15"/>
  <c r="N94" i="15"/>
  <c r="X79" i="15"/>
  <c r="N87" i="15"/>
  <c r="X72" i="15"/>
  <c r="J73" i="8"/>
  <c r="H7" i="9"/>
  <c r="H31" i="15"/>
  <c r="J76" i="8"/>
  <c r="H10" i="9"/>
  <c r="H34" i="15"/>
  <c r="J74" i="8"/>
  <c r="H11" i="9"/>
  <c r="H35" i="15"/>
  <c r="J75" i="8"/>
  <c r="H12" i="9"/>
  <c r="H37" i="15"/>
  <c r="J77" i="8"/>
  <c r="J51" i="11"/>
  <c r="H49" i="15"/>
  <c r="H93" i="15"/>
  <c r="N78" i="15"/>
  <c r="H94" i="15"/>
  <c r="N79" i="15"/>
  <c r="H87" i="15"/>
  <c r="N72" i="15"/>
  <c r="H73" i="8"/>
  <c r="H74" i="8"/>
  <c r="H75" i="8"/>
  <c r="H76" i="8"/>
  <c r="H77" i="8"/>
  <c r="I73" i="8"/>
  <c r="I74" i="8"/>
  <c r="I75" i="8"/>
  <c r="I76" i="8"/>
  <c r="I77" i="8"/>
  <c r="K73" i="8"/>
  <c r="K74" i="8"/>
  <c r="K75" i="8"/>
  <c r="K76" i="8"/>
  <c r="K77" i="8"/>
  <c r="L73" i="8"/>
  <c r="L74" i="8"/>
  <c r="L75" i="8"/>
  <c r="L76" i="8"/>
  <c r="L77" i="8"/>
  <c r="M73" i="8"/>
  <c r="M74" i="8"/>
  <c r="M75" i="8"/>
  <c r="M76" i="8"/>
  <c r="M77" i="8"/>
  <c r="N73" i="8"/>
  <c r="N74" i="8"/>
  <c r="N75" i="8"/>
  <c r="N76" i="8"/>
  <c r="N77" i="8"/>
  <c r="O73" i="8"/>
  <c r="O74" i="8"/>
  <c r="O75" i="8"/>
  <c r="O76" i="8"/>
  <c r="O77" i="8"/>
  <c r="Q73" i="8"/>
  <c r="Q74" i="8"/>
  <c r="Q75" i="8"/>
  <c r="Q76" i="8"/>
  <c r="Q77" i="8"/>
  <c r="R73" i="8"/>
  <c r="R74" i="8"/>
  <c r="R75" i="8"/>
  <c r="R76" i="8"/>
  <c r="R77" i="8"/>
  <c r="S73" i="8"/>
  <c r="S74" i="8"/>
  <c r="S75" i="8"/>
  <c r="S76" i="8"/>
  <c r="S77" i="8"/>
  <c r="T73" i="8"/>
  <c r="T74" i="8"/>
  <c r="T75" i="8"/>
  <c r="T76" i="8"/>
  <c r="T77" i="8"/>
  <c r="U73" i="8"/>
  <c r="U74" i="8"/>
  <c r="U75" i="8"/>
  <c r="U76" i="8"/>
  <c r="U77" i="8"/>
  <c r="V73" i="8"/>
  <c r="V74" i="8"/>
  <c r="V75" i="8"/>
  <c r="V76" i="8"/>
  <c r="V77" i="8"/>
  <c r="W73" i="8"/>
  <c r="W74" i="8"/>
  <c r="W75" i="8"/>
  <c r="W76" i="8"/>
  <c r="W77" i="8"/>
  <c r="X73" i="8"/>
  <c r="X74" i="8"/>
  <c r="X75" i="8"/>
  <c r="X76" i="8"/>
  <c r="X77" i="8"/>
  <c r="Y73" i="8"/>
  <c r="Y74" i="8"/>
  <c r="Y75" i="8"/>
  <c r="Y76" i="8"/>
  <c r="Y77" i="8"/>
  <c r="AA73" i="8"/>
  <c r="AA74" i="8"/>
  <c r="AA75" i="8"/>
  <c r="AA76" i="8"/>
  <c r="AA77" i="8"/>
  <c r="AB73" i="8"/>
  <c r="AB74" i="8"/>
  <c r="AB75" i="8"/>
  <c r="AB76" i="8"/>
  <c r="AB77" i="8"/>
  <c r="AC73" i="8"/>
  <c r="AC74" i="8"/>
  <c r="AC75" i="8"/>
  <c r="AC76" i="8"/>
  <c r="AC77" i="8"/>
  <c r="AD73" i="8"/>
  <c r="AD74" i="8"/>
  <c r="AD75" i="8"/>
  <c r="AD76" i="8"/>
  <c r="AD77" i="8"/>
  <c r="AE73" i="8"/>
  <c r="AE74" i="8"/>
  <c r="AE75" i="8"/>
  <c r="AE76" i="8"/>
  <c r="AE77" i="8"/>
  <c r="AF73" i="8"/>
  <c r="AF74" i="8"/>
  <c r="AF75" i="8"/>
  <c r="AF76" i="8"/>
  <c r="AF77" i="8"/>
  <c r="AG73" i="8"/>
  <c r="AG74" i="8"/>
  <c r="AG75" i="8"/>
  <c r="AG76" i="8"/>
  <c r="AG77" i="8"/>
  <c r="AH73" i="8"/>
  <c r="AH74" i="8"/>
  <c r="AH75" i="8"/>
  <c r="AH76" i="8"/>
  <c r="AH77" i="8"/>
  <c r="AI73" i="8"/>
  <c r="AI74" i="8"/>
  <c r="AI75" i="8"/>
  <c r="AI76" i="8"/>
  <c r="AI77" i="8"/>
  <c r="G73" i="8"/>
  <c r="G74" i="8"/>
  <c r="G75" i="8"/>
  <c r="G76" i="8"/>
  <c r="G77" i="8"/>
  <c r="C76" i="8"/>
  <c r="D76" i="8"/>
  <c r="E76" i="8"/>
  <c r="F76" i="8"/>
  <c r="B76" i="8"/>
  <c r="B56" i="11"/>
  <c r="C56" i="11"/>
  <c r="D56" i="11"/>
  <c r="E56" i="11"/>
  <c r="F56" i="11"/>
  <c r="C55" i="11"/>
  <c r="D55" i="11"/>
  <c r="E55" i="11"/>
  <c r="F55" i="11"/>
  <c r="B55" i="11"/>
  <c r="C54" i="11"/>
  <c r="D54" i="11"/>
  <c r="E54" i="11"/>
  <c r="F54" i="11"/>
  <c r="B54" i="11"/>
  <c r="C52" i="11"/>
  <c r="D52" i="11"/>
  <c r="E52" i="11"/>
  <c r="F52" i="11"/>
  <c r="B52" i="11"/>
  <c r="B50" i="11"/>
  <c r="C50" i="11"/>
  <c r="D50" i="11"/>
  <c r="E50" i="11"/>
  <c r="F50" i="11"/>
  <c r="B51" i="11"/>
  <c r="C51" i="11"/>
  <c r="D51" i="11"/>
  <c r="E51" i="11"/>
  <c r="F51" i="11"/>
  <c r="C49" i="11"/>
  <c r="D49" i="11"/>
  <c r="E49" i="11"/>
  <c r="F49" i="11"/>
  <c r="B49" i="11"/>
  <c r="C79" i="8"/>
  <c r="D79" i="8"/>
  <c r="E79" i="8"/>
  <c r="F79" i="8"/>
  <c r="B79" i="8"/>
  <c r="C78" i="8"/>
  <c r="D78" i="8"/>
  <c r="E78" i="8"/>
  <c r="F78" i="8"/>
  <c r="B78" i="8"/>
  <c r="C77" i="8"/>
  <c r="D77" i="8"/>
  <c r="E77" i="8"/>
  <c r="F77" i="8"/>
  <c r="B77" i="8"/>
  <c r="C75" i="8"/>
  <c r="D75" i="8"/>
  <c r="E75" i="8"/>
  <c r="F75" i="8"/>
  <c r="B75" i="8"/>
  <c r="C74" i="8"/>
  <c r="D74" i="8"/>
  <c r="E74" i="8"/>
  <c r="F74" i="8"/>
  <c r="B74" i="8"/>
  <c r="C73" i="8"/>
  <c r="D73" i="8"/>
  <c r="E73" i="8"/>
  <c r="F73" i="8"/>
  <c r="B73" i="8"/>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G52" i="11"/>
  <c r="H50" i="11"/>
  <c r="H51" i="11"/>
  <c r="I50" i="11"/>
  <c r="I51" i="11"/>
  <c r="J50" i="11"/>
  <c r="K50" i="11"/>
  <c r="K51" i="11"/>
  <c r="L50" i="11"/>
  <c r="L51" i="11"/>
  <c r="M50" i="11"/>
  <c r="M51" i="11"/>
  <c r="N50" i="11"/>
  <c r="N51" i="11"/>
  <c r="O50" i="11"/>
  <c r="O51" i="11"/>
  <c r="P50" i="11"/>
  <c r="Q50" i="11"/>
  <c r="Q51" i="11"/>
  <c r="R50" i="11"/>
  <c r="R51" i="11"/>
  <c r="S50" i="11"/>
  <c r="S51" i="11"/>
  <c r="T50" i="11"/>
  <c r="T51" i="11"/>
  <c r="U50" i="11"/>
  <c r="U51" i="11"/>
  <c r="V50" i="11"/>
  <c r="V51" i="11"/>
  <c r="W50" i="11"/>
  <c r="W51" i="11"/>
  <c r="X50" i="11"/>
  <c r="X51" i="11"/>
  <c r="Y50" i="11"/>
  <c r="Y51" i="11"/>
  <c r="Z50" i="11"/>
  <c r="AA50" i="11"/>
  <c r="AA51" i="11"/>
  <c r="AB50" i="11"/>
  <c r="AB51" i="11"/>
  <c r="AC50" i="11"/>
  <c r="AC51" i="11"/>
  <c r="AD50" i="11"/>
  <c r="AD51" i="11"/>
  <c r="AE50" i="11"/>
  <c r="AE51" i="11"/>
  <c r="AF50" i="11"/>
  <c r="AF51" i="11"/>
  <c r="AG50" i="11"/>
  <c r="AG51" i="11"/>
  <c r="AH50" i="11"/>
  <c r="AH51" i="11"/>
  <c r="AI50" i="11"/>
  <c r="AI51" i="11"/>
  <c r="AJ50" i="11"/>
  <c r="AH16" i="15"/>
  <c r="Z13" i="15"/>
  <c r="Z14" i="15"/>
  <c r="N8" i="9"/>
  <c r="N13" i="9"/>
  <c r="N14" i="9"/>
  <c r="X8" i="9"/>
  <c r="X58" i="15"/>
  <c r="AH86" i="15"/>
  <c r="X86" i="15"/>
  <c r="AH71" i="15"/>
  <c r="Y58" i="15"/>
  <c r="Z58" i="15"/>
  <c r="Z10" i="9"/>
  <c r="Z34" i="15"/>
  <c r="Y26" i="15"/>
  <c r="Z26" i="15"/>
  <c r="Z31" i="15"/>
  <c r="Y18" i="15"/>
  <c r="Z18" i="15"/>
  <c r="Z32" i="15"/>
  <c r="X59" i="15"/>
  <c r="Y59" i="15"/>
  <c r="Z59" i="15"/>
  <c r="Z11" i="9"/>
  <c r="Z35" i="15"/>
  <c r="X61" i="15"/>
  <c r="AH89" i="15"/>
  <c r="X89" i="15"/>
  <c r="AH74" i="15"/>
  <c r="Y61" i="15"/>
  <c r="Z61" i="15"/>
  <c r="Z12" i="9"/>
  <c r="Z37" i="15"/>
  <c r="X62" i="15"/>
  <c r="AH90" i="15"/>
  <c r="X90" i="15"/>
  <c r="AH75" i="15"/>
  <c r="Y62" i="15"/>
  <c r="Z62" i="15"/>
  <c r="Z13" i="9"/>
  <c r="Z38" i="15"/>
  <c r="X63" i="15"/>
  <c r="AH91" i="15"/>
  <c r="X91" i="15"/>
  <c r="AH76" i="15"/>
  <c r="Y63" i="15"/>
  <c r="Z63" i="15"/>
  <c r="Z14" i="9"/>
  <c r="Z39" i="15"/>
  <c r="X64" i="15"/>
  <c r="AH92" i="15"/>
  <c r="X92" i="15"/>
  <c r="AH77" i="15"/>
  <c r="Y64" i="15"/>
  <c r="Z64" i="15"/>
  <c r="Z40" i="15"/>
  <c r="X66" i="15"/>
  <c r="Y66" i="15"/>
  <c r="Z66" i="15"/>
  <c r="Z16" i="9"/>
  <c r="Z42" i="15"/>
  <c r="Z43" i="15"/>
  <c r="Y24" i="15"/>
  <c r="Z24" i="15"/>
  <c r="Z30" i="15"/>
  <c r="Z46" i="15"/>
  <c r="AB60" i="11"/>
  <c r="Z47" i="15"/>
  <c r="Z48" i="15"/>
  <c r="Z49" i="15"/>
  <c r="Z86" i="15"/>
  <c r="Z87" i="15"/>
  <c r="Z88" i="15"/>
  <c r="Z89" i="15"/>
  <c r="Z90" i="15"/>
  <c r="Z91" i="15"/>
  <c r="Z92" i="15"/>
  <c r="Z93" i="15"/>
  <c r="Z94" i="15"/>
  <c r="Z95" i="15"/>
  <c r="Z16" i="15"/>
  <c r="AA13" i="15"/>
  <c r="AA14" i="15"/>
  <c r="AA58" i="15"/>
  <c r="AA10" i="9"/>
  <c r="AA34" i="15"/>
  <c r="AA26" i="15"/>
  <c r="AA31" i="15"/>
  <c r="AA18" i="15"/>
  <c r="AA32" i="15"/>
  <c r="AA59" i="15"/>
  <c r="AA11" i="9"/>
  <c r="AA35" i="15"/>
  <c r="AA61" i="15"/>
  <c r="AA12" i="9"/>
  <c r="AA37" i="15"/>
  <c r="AA62" i="15"/>
  <c r="AA13" i="9"/>
  <c r="AA38" i="15"/>
  <c r="AA63" i="15"/>
  <c r="AA14" i="9"/>
  <c r="AA39" i="15"/>
  <c r="AA64" i="15"/>
  <c r="AA40" i="15"/>
  <c r="AA66" i="15"/>
  <c r="AA16" i="9"/>
  <c r="AA42" i="15"/>
  <c r="AA43" i="15"/>
  <c r="AA24" i="15"/>
  <c r="AA30" i="15"/>
  <c r="AA46" i="15"/>
  <c r="AC60" i="11"/>
  <c r="AA47" i="15"/>
  <c r="AA48" i="15"/>
  <c r="AA49" i="15"/>
  <c r="AA86" i="15"/>
  <c r="AA87" i="15"/>
  <c r="AA88" i="15"/>
  <c r="AA89" i="15"/>
  <c r="AA90" i="15"/>
  <c r="AA91" i="15"/>
  <c r="AA92" i="15"/>
  <c r="AA93" i="15"/>
  <c r="AA94" i="15"/>
  <c r="AA95" i="15"/>
  <c r="AA16" i="15"/>
  <c r="AB13" i="15"/>
  <c r="AB14" i="15"/>
  <c r="AB58" i="15"/>
  <c r="AB10" i="9"/>
  <c r="AB34" i="15"/>
  <c r="AB26" i="15"/>
  <c r="AB31" i="15"/>
  <c r="AB18" i="15"/>
  <c r="AB32" i="15"/>
  <c r="AB59" i="15"/>
  <c r="AB11" i="9"/>
  <c r="AB35" i="15"/>
  <c r="AB61" i="15"/>
  <c r="AB12" i="9"/>
  <c r="AB37" i="15"/>
  <c r="AB62" i="15"/>
  <c r="AB13" i="9"/>
  <c r="AB38" i="15"/>
  <c r="AB63" i="15"/>
  <c r="AB14" i="9"/>
  <c r="AB39" i="15"/>
  <c r="AB64" i="15"/>
  <c r="AB40" i="15"/>
  <c r="AB66" i="15"/>
  <c r="AB16" i="9"/>
  <c r="AB42" i="15"/>
  <c r="AB43" i="15"/>
  <c r="AB24" i="15"/>
  <c r="AB30" i="15"/>
  <c r="AB46" i="15"/>
  <c r="AD60" i="11"/>
  <c r="AB47" i="15"/>
  <c r="AB48" i="15"/>
  <c r="AB49" i="15"/>
  <c r="AB86" i="15"/>
  <c r="AB87" i="15"/>
  <c r="AB88" i="15"/>
  <c r="AB89" i="15"/>
  <c r="AB90" i="15"/>
  <c r="AB91" i="15"/>
  <c r="AB92" i="15"/>
  <c r="AB93" i="15"/>
  <c r="AB94" i="15"/>
  <c r="AB95" i="15"/>
  <c r="AB16" i="15"/>
  <c r="AC58" i="15"/>
  <c r="AC13" i="15"/>
  <c r="AC14" i="15"/>
  <c r="AC10" i="9"/>
  <c r="AC34" i="15"/>
  <c r="AC26" i="15"/>
  <c r="AC31" i="15"/>
  <c r="AC18" i="15"/>
  <c r="AC32" i="15"/>
  <c r="AC59" i="15"/>
  <c r="AC11" i="9"/>
  <c r="AC35" i="15"/>
  <c r="AC61" i="15"/>
  <c r="AC12" i="9"/>
  <c r="AC37" i="15"/>
  <c r="AC62" i="15"/>
  <c r="AC13" i="9"/>
  <c r="AC38" i="15"/>
  <c r="AC63" i="15"/>
  <c r="AC14" i="9"/>
  <c r="AC39" i="15"/>
  <c r="AC64" i="15"/>
  <c r="AC40" i="15"/>
  <c r="AC66" i="15"/>
  <c r="AC16" i="9"/>
  <c r="AC42" i="15"/>
  <c r="AC43" i="15"/>
  <c r="AC24" i="15"/>
  <c r="AC30" i="15"/>
  <c r="AC46" i="15"/>
  <c r="AE60" i="11"/>
  <c r="AC47" i="15"/>
  <c r="AC48" i="15"/>
  <c r="AC49" i="15"/>
  <c r="AC86" i="15"/>
  <c r="AC87" i="15"/>
  <c r="AC88" i="15"/>
  <c r="AC89" i="15"/>
  <c r="AC90" i="15"/>
  <c r="AC91" i="15"/>
  <c r="AC92" i="15"/>
  <c r="AC93" i="15"/>
  <c r="AC94" i="15"/>
  <c r="AC95" i="15"/>
  <c r="AC16" i="15"/>
  <c r="AD58" i="15"/>
  <c r="AD13" i="15"/>
  <c r="AD14" i="15"/>
  <c r="AD10" i="9"/>
  <c r="AD34" i="15"/>
  <c r="AD26" i="15"/>
  <c r="AD31" i="15"/>
  <c r="AD18" i="15"/>
  <c r="AD32" i="15"/>
  <c r="AD59" i="15"/>
  <c r="AD11" i="9"/>
  <c r="AD35" i="15"/>
  <c r="AD61" i="15"/>
  <c r="AD12" i="9"/>
  <c r="AD37" i="15"/>
  <c r="AD62" i="15"/>
  <c r="AD13" i="9"/>
  <c r="AD38" i="15"/>
  <c r="AD63" i="15"/>
  <c r="AD14" i="9"/>
  <c r="AD39" i="15"/>
  <c r="AD64" i="15"/>
  <c r="AD40" i="15"/>
  <c r="AD66" i="15"/>
  <c r="AD16" i="9"/>
  <c r="AD42" i="15"/>
  <c r="AD43" i="15"/>
  <c r="AD24" i="15"/>
  <c r="AD30" i="15"/>
  <c r="AD46" i="15"/>
  <c r="AF60" i="11"/>
  <c r="AD47" i="15"/>
  <c r="AD48" i="15"/>
  <c r="AD49" i="15"/>
  <c r="AD86" i="15"/>
  <c r="AD87" i="15"/>
  <c r="AD88" i="15"/>
  <c r="AD89" i="15"/>
  <c r="AD90" i="15"/>
  <c r="AD91" i="15"/>
  <c r="AD92" i="15"/>
  <c r="AD93" i="15"/>
  <c r="AD94" i="15"/>
  <c r="AD95" i="15"/>
  <c r="AD16" i="15"/>
  <c r="AE58" i="15"/>
  <c r="AE13" i="15"/>
  <c r="AE14" i="15"/>
  <c r="AE10" i="9"/>
  <c r="AE34" i="15"/>
  <c r="AE26" i="15"/>
  <c r="AE31" i="15"/>
  <c r="AE18" i="15"/>
  <c r="AE32" i="15"/>
  <c r="AE59" i="15"/>
  <c r="AE11" i="9"/>
  <c r="AE35" i="15"/>
  <c r="AE61" i="15"/>
  <c r="AE12" i="9"/>
  <c r="AE37" i="15"/>
  <c r="AE62" i="15"/>
  <c r="AE13" i="9"/>
  <c r="AE38" i="15"/>
  <c r="AE63" i="15"/>
  <c r="AE14" i="9"/>
  <c r="AE39" i="15"/>
  <c r="AE64" i="15"/>
  <c r="AE40" i="15"/>
  <c r="AE66" i="15"/>
  <c r="AE16" i="9"/>
  <c r="AE42" i="15"/>
  <c r="AE43" i="15"/>
  <c r="AE24" i="15"/>
  <c r="AE30" i="15"/>
  <c r="AE46" i="15"/>
  <c r="AG60" i="11"/>
  <c r="AE47" i="15"/>
  <c r="AE48" i="15"/>
  <c r="AE49" i="15"/>
  <c r="AE86" i="15"/>
  <c r="AE87" i="15"/>
  <c r="AE88" i="15"/>
  <c r="AE89" i="15"/>
  <c r="AE90" i="15"/>
  <c r="AE91" i="15"/>
  <c r="AE92" i="15"/>
  <c r="AE93" i="15"/>
  <c r="AE94" i="15"/>
  <c r="AE95" i="15"/>
  <c r="AE16" i="15"/>
  <c r="AF58" i="15"/>
  <c r="AF13" i="15"/>
  <c r="AF14" i="15"/>
  <c r="AF10" i="9"/>
  <c r="AF34" i="15"/>
  <c r="AF26" i="15"/>
  <c r="AF31" i="15"/>
  <c r="AF18" i="15"/>
  <c r="AF32" i="15"/>
  <c r="AF59" i="15"/>
  <c r="AF11" i="9"/>
  <c r="AF35" i="15"/>
  <c r="AF61" i="15"/>
  <c r="AF12" i="9"/>
  <c r="AF37" i="15"/>
  <c r="AF62" i="15"/>
  <c r="AF13" i="9"/>
  <c r="AF38" i="15"/>
  <c r="AF63" i="15"/>
  <c r="AF14" i="9"/>
  <c r="AF39" i="15"/>
  <c r="AF64" i="15"/>
  <c r="AF40" i="15"/>
  <c r="AF66" i="15"/>
  <c r="AF16" i="9"/>
  <c r="AF42" i="15"/>
  <c r="AF43" i="15"/>
  <c r="AF24" i="15"/>
  <c r="AF30" i="15"/>
  <c r="AF46" i="15"/>
  <c r="AH60" i="11"/>
  <c r="AF47" i="15"/>
  <c r="AF48" i="15"/>
  <c r="AF49" i="15"/>
  <c r="AF86" i="15"/>
  <c r="AF87" i="15"/>
  <c r="AF88" i="15"/>
  <c r="AF89" i="15"/>
  <c r="AF90" i="15"/>
  <c r="AF91" i="15"/>
  <c r="AF92" i="15"/>
  <c r="AF93" i="15"/>
  <c r="AF94" i="15"/>
  <c r="AF95" i="15"/>
  <c r="AF16" i="15"/>
  <c r="AG58" i="15"/>
  <c r="AG13" i="15"/>
  <c r="AG14" i="15"/>
  <c r="AG10" i="9"/>
  <c r="AG34" i="15"/>
  <c r="AG26" i="15"/>
  <c r="AG31" i="15"/>
  <c r="AG18" i="15"/>
  <c r="AG32" i="15"/>
  <c r="AG59" i="15"/>
  <c r="AG11" i="9"/>
  <c r="AG35" i="15"/>
  <c r="AG61" i="15"/>
  <c r="AG12" i="9"/>
  <c r="AG37" i="15"/>
  <c r="AG62" i="15"/>
  <c r="AG13" i="9"/>
  <c r="AG38" i="15"/>
  <c r="AG63" i="15"/>
  <c r="AG14" i="9"/>
  <c r="AG39" i="15"/>
  <c r="AG64" i="15"/>
  <c r="AG40" i="15"/>
  <c r="AG66" i="15"/>
  <c r="AG16" i="9"/>
  <c r="AG42" i="15"/>
  <c r="AG43" i="15"/>
  <c r="AG24" i="15"/>
  <c r="AG30" i="15"/>
  <c r="AG46" i="15"/>
  <c r="AI60" i="11"/>
  <c r="AG47" i="15"/>
  <c r="AG48" i="15"/>
  <c r="AG49" i="15"/>
  <c r="AG86" i="15"/>
  <c r="AG87" i="15"/>
  <c r="AG88" i="15"/>
  <c r="AG89" i="15"/>
  <c r="AG90" i="15"/>
  <c r="AG91" i="15"/>
  <c r="AG92" i="15"/>
  <c r="AG93" i="15"/>
  <c r="AG94" i="15"/>
  <c r="AG95" i="15"/>
  <c r="AG16" i="15"/>
  <c r="Y13" i="15"/>
  <c r="Y14" i="15"/>
  <c r="Y10" i="9"/>
  <c r="Y34" i="15"/>
  <c r="Y31" i="15"/>
  <c r="Y32" i="15"/>
  <c r="Y11" i="9"/>
  <c r="Y35" i="15"/>
  <c r="Y12" i="9"/>
  <c r="Y37" i="15"/>
  <c r="Y13" i="9"/>
  <c r="Y38" i="15"/>
  <c r="Y14" i="9"/>
  <c r="Y39" i="15"/>
  <c r="Y40" i="15"/>
  <c r="Y16" i="9"/>
  <c r="Y42" i="15"/>
  <c r="Y43" i="15"/>
  <c r="Y30" i="15"/>
  <c r="Y46" i="15"/>
  <c r="AA60" i="11"/>
  <c r="Y47" i="15"/>
  <c r="Y48" i="15"/>
  <c r="Y49" i="15"/>
  <c r="Y86" i="15"/>
  <c r="Y87" i="15"/>
  <c r="Y88" i="15"/>
  <c r="Y89" i="15"/>
  <c r="Y90" i="15"/>
  <c r="Y91" i="15"/>
  <c r="Y92" i="15"/>
  <c r="Y93" i="15"/>
  <c r="Y94" i="15"/>
  <c r="Y95" i="15"/>
  <c r="Y16" i="15"/>
  <c r="G11" i="5"/>
  <c r="E11" i="5"/>
  <c r="G50" i="11"/>
  <c r="B58" i="11"/>
  <c r="C58" i="11"/>
  <c r="D58" i="11"/>
  <c r="E58" i="11"/>
  <c r="F58" i="11"/>
  <c r="X10" i="9"/>
  <c r="X11" i="9"/>
  <c r="X12" i="9"/>
  <c r="X13" i="9"/>
  <c r="X14" i="9"/>
  <c r="X16" i="9"/>
  <c r="X18" i="9"/>
  <c r="D12" i="5"/>
  <c r="E12" i="5"/>
  <c r="AH8" i="9"/>
  <c r="AH10" i="9"/>
  <c r="AH11" i="9"/>
  <c r="AH12" i="9"/>
  <c r="AH14" i="9"/>
  <c r="AH16" i="9"/>
  <c r="AH18" i="9"/>
  <c r="D13" i="5"/>
  <c r="E13" i="5"/>
  <c r="G13" i="5"/>
  <c r="G12" i="5"/>
  <c r="E60" i="11"/>
  <c r="F60" i="11"/>
  <c r="G60" i="11"/>
  <c r="H60" i="11"/>
  <c r="I60" i="11"/>
  <c r="K60" i="11"/>
  <c r="L60" i="11"/>
  <c r="M60" i="11"/>
  <c r="N60" i="11"/>
  <c r="O60" i="11"/>
  <c r="Q60" i="11"/>
  <c r="R60" i="11"/>
  <c r="S60" i="11"/>
  <c r="T60" i="11"/>
  <c r="U60" i="11"/>
  <c r="V60" i="11"/>
  <c r="W60" i="11"/>
  <c r="X60" i="11"/>
  <c r="Y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86" i="15"/>
  <c r="H32" i="15"/>
  <c r="H13" i="9"/>
  <c r="H38" i="15"/>
  <c r="H14" i="9"/>
  <c r="H39" i="15"/>
  <c r="H40"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42"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60"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50" i="15"/>
  <c r="H251" i="15"/>
  <c r="H253" i="15"/>
  <c r="H254"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H102" i="15"/>
  <c r="H129"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59" i="15"/>
  <c r="AH61" i="15"/>
  <c r="AH65" i="15"/>
  <c r="AH50" i="15"/>
  <c r="AH66" i="15"/>
  <c r="AH58" i="15"/>
  <c r="AH85" i="15"/>
  <c r="AH57" i="15"/>
  <c r="Z141" i="15"/>
  <c r="Z218" i="15"/>
  <c r="Z239" i="15"/>
  <c r="X241" i="15"/>
  <c r="X84" i="15"/>
  <c r="X50" i="15"/>
  <c r="X56" i="15"/>
  <c r="X88" i="15"/>
  <c r="X65"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07" i="15"/>
  <c r="H134" i="15"/>
  <c r="H67" i="15"/>
  <c r="H44" i="15"/>
  <c r="H45" i="15"/>
  <c r="H104" i="15"/>
  <c r="H115" i="15"/>
  <c r="H214" i="15"/>
  <c r="H131" i="15"/>
  <c r="H221" i="15"/>
  <c r="H242"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4" authorId="0">
      <text>
        <r>
          <rPr>
            <b/>
            <sz val="9"/>
            <color indexed="81"/>
            <rFont val="Tahoma"/>
            <family val="2"/>
          </rPr>
          <t>Max:</t>
        </r>
        <r>
          <rPr>
            <sz val="9"/>
            <color indexed="81"/>
            <rFont val="Tahoma"/>
            <family val="2"/>
          </rPr>
          <t xml:space="preserve">
Kammen04 and 08</t>
        </r>
      </text>
    </comment>
    <comment ref="G14" authorId="0">
      <text>
        <r>
          <rPr>
            <b/>
            <sz val="9"/>
            <color indexed="81"/>
            <rFont val="Tahoma"/>
            <family val="2"/>
          </rPr>
          <t>Max:</t>
        </r>
        <r>
          <rPr>
            <sz val="9"/>
            <color indexed="81"/>
            <rFont val="Tahoma"/>
            <family val="2"/>
          </rPr>
          <t xml:space="preserve">
not specified
</t>
        </r>
      </text>
    </comment>
    <comment ref="F15"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6" authorId="0">
      <text>
        <r>
          <rPr>
            <b/>
            <sz val="9"/>
            <color indexed="81"/>
            <rFont val="Tahoma"/>
            <family val="2"/>
          </rPr>
          <t>Max:</t>
        </r>
        <r>
          <rPr>
            <sz val="9"/>
            <color indexed="81"/>
            <rFont val="Tahoma"/>
            <family val="2"/>
          </rPr>
          <t xml:space="preserve">
not sure about this, conservative assumption for jobs
</t>
        </r>
      </text>
    </comment>
    <comment ref="C18" authorId="0">
      <text>
        <r>
          <rPr>
            <b/>
            <sz val="9"/>
            <color indexed="81"/>
            <rFont val="Tahoma"/>
            <family val="2"/>
          </rPr>
          <t>Max:</t>
        </r>
        <r>
          <rPr>
            <sz val="9"/>
            <color indexed="81"/>
            <rFont val="Tahoma"/>
            <family val="2"/>
          </rPr>
          <t xml:space="preserve">
EPRI 01 capacity 90%
</t>
        </r>
      </text>
    </comment>
    <comment ref="C19" authorId="0">
      <text>
        <r>
          <rPr>
            <b/>
            <sz val="9"/>
            <color indexed="81"/>
            <rFont val="Tahoma"/>
            <family val="2"/>
          </rPr>
          <t>Max:</t>
        </r>
        <r>
          <rPr>
            <sz val="9"/>
            <color indexed="81"/>
            <rFont val="Tahoma"/>
            <family val="2"/>
          </rPr>
          <t xml:space="preserve">
Kammen 08 presentation</t>
        </r>
      </text>
    </comment>
    <comment ref="C21" authorId="0">
      <text>
        <r>
          <rPr>
            <b/>
            <sz val="9"/>
            <color indexed="81"/>
            <rFont val="Tahoma"/>
            <family val="2"/>
          </rPr>
          <t>Max:</t>
        </r>
        <r>
          <rPr>
            <sz val="9"/>
            <color indexed="81"/>
            <rFont val="Tahoma"/>
            <family val="2"/>
          </rPr>
          <t xml:space="preserve">
EPRI 01 cap 55%
</t>
        </r>
      </text>
    </comment>
    <comment ref="O22" authorId="0">
      <text>
        <r>
          <rPr>
            <sz val="9"/>
            <color indexed="81"/>
            <rFont val="Tahoma"/>
            <family val="2"/>
          </rPr>
          <t xml:space="preserve">Karim:
New update from the solar foundation assuming that all other jobs are O&amp;M
</t>
        </r>
      </text>
    </comment>
    <comment ref="C23" authorId="0">
      <text>
        <r>
          <rPr>
            <b/>
            <sz val="9"/>
            <color indexed="81"/>
            <rFont val="Tahoma"/>
            <family val="2"/>
          </rPr>
          <t>Max:</t>
        </r>
        <r>
          <rPr>
            <sz val="9"/>
            <color indexed="81"/>
            <rFont val="Tahoma"/>
            <family val="2"/>
          </rPr>
          <t xml:space="preserve">
Kammen 08 presentation</t>
        </r>
      </text>
    </comment>
    <comment ref="C25" authorId="0">
      <text>
        <r>
          <rPr>
            <b/>
            <sz val="9"/>
            <color indexed="81"/>
            <rFont val="Tahoma"/>
            <family val="2"/>
          </rPr>
          <t>Max:</t>
        </r>
        <r>
          <rPr>
            <sz val="9"/>
            <color indexed="81"/>
            <rFont val="Tahoma"/>
            <family val="2"/>
          </rPr>
          <t xml:space="preserve">
NREL08 cap 40%</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A27" authorId="0">
      <text>
        <r>
          <rPr>
            <b/>
            <sz val="9"/>
            <color indexed="81"/>
            <rFont val="Tahoma"/>
            <family val="2"/>
          </rPr>
          <t>Max:</t>
        </r>
        <r>
          <rPr>
            <sz val="9"/>
            <color indexed="81"/>
            <rFont val="Tahoma"/>
            <family val="2"/>
          </rPr>
          <t xml:space="preserve">
100 MW parabolic trough plant with 6 hours of storage</t>
        </r>
      </text>
    </comment>
    <comment ref="E28" authorId="0">
      <text>
        <r>
          <rPr>
            <b/>
            <sz val="9"/>
            <color indexed="81"/>
            <rFont val="Tahoma"/>
            <family val="2"/>
          </rPr>
          <t>Max:</t>
        </r>
        <r>
          <rPr>
            <sz val="9"/>
            <color indexed="81"/>
            <rFont val="Tahoma"/>
            <family val="2"/>
          </rPr>
          <t xml:space="preserve">
direct CIM; Another 5 is indirect manufacturing
</t>
        </r>
      </text>
    </comment>
    <comment ref="F28" authorId="0">
      <text>
        <r>
          <rPr>
            <b/>
            <sz val="9"/>
            <color indexed="81"/>
            <rFont val="Tahoma"/>
            <family val="2"/>
          </rPr>
          <t>Max:</t>
        </r>
        <r>
          <rPr>
            <sz val="9"/>
            <color indexed="81"/>
            <rFont val="Tahoma"/>
            <family val="2"/>
          </rPr>
          <t xml:space="preserve">
includes 0.07 jobs/MWp for consultants, researchers, financial services</t>
        </r>
      </text>
    </comment>
    <comment ref="E29" authorId="0">
      <text>
        <r>
          <rPr>
            <b/>
            <sz val="9"/>
            <color indexed="81"/>
            <rFont val="Tahoma"/>
            <family val="2"/>
          </rPr>
          <t>Max:</t>
        </r>
        <r>
          <rPr>
            <sz val="9"/>
            <color indexed="81"/>
            <rFont val="Tahoma"/>
            <family val="2"/>
          </rPr>
          <t xml:space="preserve">
direct CIM; Another 5 is indirect manufacturing
</t>
        </r>
      </text>
    </comment>
    <comment ref="C33" authorId="0">
      <text>
        <r>
          <rPr>
            <b/>
            <sz val="9"/>
            <color indexed="81"/>
            <rFont val="Tahoma"/>
            <family val="2"/>
          </rPr>
          <t>Max:</t>
        </r>
        <r>
          <rPr>
            <sz val="9"/>
            <color indexed="81"/>
            <rFont val="Tahoma"/>
            <family val="2"/>
          </rPr>
          <t xml:space="preserve">
take same as Coal</t>
        </r>
      </text>
    </comment>
    <comment ref="C35" authorId="0">
      <text>
        <r>
          <rPr>
            <b/>
            <sz val="9"/>
            <color indexed="81"/>
            <rFont val="Tahoma"/>
            <family val="2"/>
          </rPr>
          <t>Max:</t>
        </r>
        <r>
          <rPr>
            <sz val="9"/>
            <color indexed="81"/>
            <rFont val="Tahoma"/>
            <family val="2"/>
          </rPr>
          <t xml:space="preserve">
kammen 08
</t>
        </r>
      </text>
    </comment>
    <comment ref="C36" authorId="0">
      <text>
        <r>
          <rPr>
            <b/>
            <sz val="9"/>
            <color indexed="81"/>
            <rFont val="Tahoma"/>
            <family val="2"/>
          </rPr>
          <t>Max:</t>
        </r>
        <r>
          <rPr>
            <sz val="9"/>
            <color indexed="81"/>
            <rFont val="Tahoma"/>
            <family val="2"/>
          </rPr>
          <t xml:space="preserve">
page 15
Also Kammen08 ref</t>
        </r>
      </text>
    </comment>
    <comment ref="F36" authorId="0">
      <text>
        <r>
          <rPr>
            <b/>
            <sz val="9"/>
            <color indexed="81"/>
            <rFont val="Tahoma"/>
            <family val="2"/>
          </rPr>
          <t>Max:</t>
        </r>
        <r>
          <rPr>
            <sz val="9"/>
            <color indexed="81"/>
            <rFont val="Tahoma"/>
            <family val="2"/>
          </rPr>
          <t xml:space="preserve">
Non-Fuel O&amp;M only
</t>
        </r>
      </text>
    </comment>
    <comment ref="C37"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<sst xmlns="http://schemas.openxmlformats.org/spreadsheetml/2006/main" count="1326" uniqueCount="761">
  <si>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</si>
  <si>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</si>
  <si>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</si>
  <si>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</si>
  <si>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</si>
  <si>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</si>
  <si>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</si>
  <si>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</si>
  <si>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</si>
  <si>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</si>
  <si>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</si>
  <si>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</si>
  <si>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</si>
  <si>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</si>
  <si>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</si>
  <si>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</si>
  <si>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</si>
  <si>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</si>
  <si>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</si>
  <si>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</si>
  <si>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</si>
  <si>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</si>
  <si>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</si>
  <si>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</si>
  <si>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</si>
  <si>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</si>
  <si>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</si>
  <si>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</si>
  <si>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</si>
  <si>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</si>
  <si>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</si>
  <si>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</si>
  <si>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</si>
  <si>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</si>
  <si>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</si>
  <si>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</si>
  <si>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</si>
  <si>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</si>
  <si>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</si>
  <si>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</si>
  <si>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</si>
  <si>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</si>
  <si>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</si>
  <si>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</si>
  <si>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</si>
  <si>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</si>
  <si>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</si>
  <si>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</si>
  <si>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</si>
  <si>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</si>
  <si>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</si>
  <si>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</si>
  <si>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</si>
  <si>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</si>
  <si>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</si>
  <si>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</si>
  <si>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</si>
  <si>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</si>
  <si>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</si>
  <si>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</si>
  <si>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</si>
  <si>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</si>
  <si>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</si>
  <si>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</si>
  <si>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</si>
  <si>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</si>
  <si>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</si>
  <si>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</si>
  <si>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</si>
  <si>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</si>
  <si>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</si>
  <si>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</si>
  <si>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</si>
  <si>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</si>
  <si>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</si>
  <si>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</si>
  <si>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</si>
  <si>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</si>
  <si>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</si>
  <si>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</si>
  <si>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</si>
  <si>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</si>
  <si>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</si>
  <si>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</si>
  <si>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</si>
  <si>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</si>
  <si>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</si>
  <si>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</si>
  <si>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</si>
  <si>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</si>
  <si>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</si>
  <si>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</si>
  <si>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</si>
  <si>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</si>
  <si>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</si>
  <si>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</si>
  <si>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</si>
  <si>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</si>
  <si>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</si>
  <si>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</si>
  <si>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</si>
  <si>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</si>
  <si>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</si>
  <si>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</si>
  <si>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</si>
  <si>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</si>
  <si>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</si>
  <si>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</si>
  <si>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</si>
  <si>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</si>
  <si>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</si>
  <si>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</si>
  <si>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</si>
  <si>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</si>
  <si>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</si>
  <si>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</si>
  <si>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</si>
  <si>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</si>
  <si>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</si>
  <si>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</si>
  <si>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</si>
  <si>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</si>
  <si>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</si>
  <si>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</si>
  <si>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</si>
  <si>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</si>
  <si>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</si>
  <si>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</si>
  <si>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</si>
  <si>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</si>
  <si>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</si>
  <si>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</si>
  <si>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</si>
  <si>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</si>
  <si>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</si>
  <si>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</si>
  <si>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</si>
  <si>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</si>
  <si>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</si>
  <si>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</si>
  <si>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</si>
  <si>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</si>
  <si>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</si>
  <si>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</si>
  <si>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</si>
  <si>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</si>
  <si>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</si>
  <si>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</si>
  <si>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</si>
  <si>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</si>
  <si>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</si>
  <si>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</si>
  <si>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</si>
  <si>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</si>
  <si>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</si>
  <si>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</si>
  <si>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</si>
  <si>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</si>
  <si>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</si>
  <si>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</si>
  <si>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</si>
  <si>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</si>
  <si>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</si>
  <si>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</si>
  <si>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</si>
  <si>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</si>
  <si>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</si>
  <si>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</si>
  <si>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</si>
  <si>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</si>
  <si>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</si>
  <si>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</si>
  <si>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</si>
  <si>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</si>
  <si>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</si>
  <si>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</si>
  <si>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</si>
  <si>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</si>
  <si>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</si>
  <si>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</si>
  <si>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</si>
  <si>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</si>
  <si>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</si>
  <si>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</si>
  <si>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</si>
  <si>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</si>
  <si>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</si>
  <si>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</si>
  <si>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</si>
  <si>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</si>
  <si>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</si>
  <si>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</si>
  <si>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</si>
  <si>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</si>
  <si>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</si>
  <si>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</si>
  <si>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</si>
  <si>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</si>
  <si>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</si>
  <si>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</si>
  <si>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</si>
  <si>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</si>
  <si>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</si>
  <si>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</si>
  <si>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</si>
  <si>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</si>
  <si>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</si>
  <si>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</si>
  <si>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</si>
  <si>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</si>
  <si>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</si>
  <si>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</si>
  <si>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</si>
  <si>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</si>
  <si>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</si>
  <si>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</si>
  <si>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</si>
  <si>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</si>
  <si>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</si>
  <si>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</si>
  <si>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</si>
  <si>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</si>
  <si>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</si>
  <si>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</si>
  <si>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</si>
  <si>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</si>
  <si>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</si>
  <si>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</si>
  <si>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</si>
  <si>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</si>
  <si>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</si>
  <si>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</si>
  <si>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</si>
  <si>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</si>
  <si>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</si>
  <si>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</si>
  <si>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</si>
  <si>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</si>
  <si>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</si>
  <si>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</si>
  <si>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</si>
  <si>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</si>
  <si>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</si>
  <si>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</si>
  <si>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</si>
  <si>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</si>
  <si>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</si>
  <si>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</si>
  <si>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</si>
  <si>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</si>
  <si>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</si>
  <si>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</si>
  <si>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</si>
  <si>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</si>
  <si>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</si>
  <si>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</si>
  <si>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</si>
  <si>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</si>
  <si>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</si>
  <si>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</si>
  <si>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</si>
  <si>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</si>
  <si>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</si>
  <si>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</si>
  <si>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</si>
  <si>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</si>
  <si>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</si>
  <si>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</si>
  <si>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</si>
  <si>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</si>
  <si>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</si>
  <si>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</si>
  <si>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</si>
  <si>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</si>
  <si>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</si>
  <si>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</si>
  <si>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</si>
  <si>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</si>
  <si>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</si>
  <si>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</si>
  <si>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</si>
  <si>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</si>
  <si>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</si>
  <si>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</si>
  <si>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</si>
  <si>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</si>
  <si>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</si>
  <si>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</si>
  <si>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</si>
  <si>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</si>
  <si>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</si>
  <si>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</si>
  <si>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</si>
  <si>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</si>
  <si>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</si>
  <si>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</si>
  <si>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</si>
  <si>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</si>
  <si>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</si>
  <si>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</si>
  <si>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</si>
  <si>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</si>
  <si>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</si>
  <si>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</si>
  <si>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</si>
  <si>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</si>
  <si>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</si>
  <si>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</si>
  <si>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</si>
  <si>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</si>
  <si>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</si>
  <si>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</si>
  <si>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</si>
  <si>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</si>
  <si>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</si>
  <si>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</si>
  <si>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</si>
  <si>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</si>
  <si>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</si>
  <si>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</si>
  <si>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</si>
  <si>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</si>
  <si>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</si>
  <si>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</si>
  <si>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</si>
  <si>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</si>
  <si>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</si>
  <si>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</si>
  <si>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</si>
  <si>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</si>
  <si>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</si>
  <si>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</si>
  <si>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</si>
  <si>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</si>
  <si>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</si>
  <si>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</si>
  <si>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</si>
  <si>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</si>
  <si>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</si>
  <si>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</si>
  <si>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</si>
  <si>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</si>
  <si>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</si>
  <si>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</si>
  <si>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</si>
  <si>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</si>
  <si>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</si>
  <si>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</si>
  <si>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</si>
  <si>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</si>
  <si>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[Solar total]</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</si>
  <si>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</si>
  <si>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</si>
  <si>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</si>
  <si>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</si>
  <si>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</si>
  <si>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</si>
  <si>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</si>
  <si>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</si>
  <si>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</si>
  <si>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</si>
  <si>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</si>
  <si>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</si>
  <si>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</si>
  <si>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</si>
  <si>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</si>
  <si>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</si>
  <si>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</si>
  <si>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</si>
  <si>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</si>
  <si>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</si>
  <si>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</si>
  <si>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</si>
  <si>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</si>
  <si>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</si>
  <si>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</si>
  <si>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</si>
  <si>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</si>
  <si>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</si>
  <si>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</si>
  <si>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</si>
  <si>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</si>
  <si>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</si>
  <si>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</si>
  <si>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</si>
  <si>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</si>
  <si>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</si>
  <si>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</si>
  <si>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</si>
  <si>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</si>
  <si>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</si>
  <si>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</si>
  <si>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</si>
  <si>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</si>
  <si>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</si>
  <si>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</si>
  <si>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</si>
  <si>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</si>
  <si>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</si>
  <si>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</si>
  <si>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</si>
  <si>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</si>
  <si>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</si>
  <si>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</si>
  <si>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</si>
  <si>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</si>
  <si>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</si>
  <si>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</si>
  <si>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</si>
  <si>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</si>
  <si>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</si>
  <si>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</si>
  <si>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</si>
  <si>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</si>
  <si>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</si>
  <si>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</si>
  <si>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</si>
  <si>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</si>
  <si>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</si>
  <si>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</si>
  <si>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</si>
  <si>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</si>
  <si>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</si>
  <si>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</si>
  <si>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</si>
  <si>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</si>
  <si>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</si>
  <si>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</si>
  <si>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</si>
  <si>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</si>
  <si>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</si>
  <si>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</si>
  <si>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</si>
  <si>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</si>
  <si>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</si>
  <si>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</si>
  <si>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</si>
  <si>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</si>
  <si>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</si>
  <si>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</si>
  <si>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</si>
  <si>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</si>
  <si>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</si>
  <si>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</si>
  <si>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</si>
  <si>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</si>
  <si>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</si>
  <si>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</si>
  <si>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</si>
  <si>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</si>
  <si>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</si>
  <si>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</si>
  <si>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</si>
  <si>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</si>
  <si>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</si>
  <si>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</si>
  <si>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</si>
  <si>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</si>
  <si>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</si>
  <si>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</si>
  <si>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</si>
  <si>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</si>
  <si>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</si>
  <si>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</si>
  <si>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</si>
  <si>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</si>
  <si>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</si>
  <si>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</si>
  <si>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</si>
  <si>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</si>
  <si>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</si>
  <si>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</si>
  <si>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</si>
  <si>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</si>
  <si>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</si>
  <si>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</si>
  <si>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</si>
  <si>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</si>
  <si>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</si>
  <si>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</si>
  <si>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</si>
  <si>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</si>
  <si>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</si>
  <si>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</si>
  <si>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</si>
  <si>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</si>
  <si>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</si>
  <si>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</si>
  <si>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</si>
  <si>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</si>
  <si>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</si>
  <si>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</si>
  <si>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</si>
  <si>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</si>
  <si>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</si>
  <si>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</si>
  <si>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</si>
  <si>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</si>
  <si>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</si>
  <si>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</si>
  <si>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</si>
  <si>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</si>
  <si>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</si>
  <si>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</si>
  <si>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</si>
  <si>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</si>
  <si>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</si>
  <si>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</si>
  <si>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</si>
  <si>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</si>
  <si>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</si>
  <si>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</si>
  <si>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</si>
  <si>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</si>
  <si>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</si>
  <si>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</si>
  <si>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</si>
  <si>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</si>
  <si>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</si>
  <si>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</si>
  <si>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</si>
  <si>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</si>
  <si>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</si>
  <si>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</si>
  <si>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</si>
  <si>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</si>
  <si>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</si>
  <si>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</si>
  <si>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</si>
  <si>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</si>
  <si>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</si>
  <si>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</si>
  <si>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</si>
  <si>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</si>
  <si>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</si>
  <si>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</si>
  <si>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</si>
  <si>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</si>
  <si>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</si>
  <si>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</si>
  <si>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</si>
  <si>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</si>
  <si>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</si>
  <si>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</si>
  <si>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</si>
  <si>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</si>
  <si>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</si>
  <si>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</si>
  <si>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</si>
  <si>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</si>
  <si>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</si>
  <si>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</si>
  <si>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</si>
  <si>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</si>
  <si>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</si>
  <si>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</si>
  <si>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</si>
  <si>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</si>
  <si>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CIM (person-years/
MWp)</t>
  </si>
  <si>
    <t>O&amp;M (jobs/
MWp)</t>
  </si>
  <si>
    <t>O&amp;M and fuel process-
ing</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</si>
  <si>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</si>
  <si>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</si>
  <si>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</si>
  <si>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</si>
  <si>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</si>
  <si>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</si>
  <si>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</si>
  <si>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</si>
  <si>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</si>
  <si>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</si>
  <si>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</si>
  <si>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</si>
  <si>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</si>
  <si>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</si>
  <si>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</si>
  <si>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</si>
  <si>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</si>
  <si>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</si>
  <si>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</si>
  <si>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</si>
  <si>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</si>
  <si>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</si>
  <si>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</si>
  <si>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</si>
  <si>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</si>
  <si>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</si>
  <si>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</si>
  <si>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</si>
  <si>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</si>
  <si>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</si>
  <si>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</si>
  <si>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</si>
  <si>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</si>
  <si>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</si>
  <si>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</si>
  <si>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</si>
  <si>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</si>
  <si>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</si>
  <si>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</si>
  <si>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</si>
  <si>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</si>
  <si>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</si>
  <si>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</si>
  <si>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</si>
  <si>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</si>
  <si>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</si>
  <si>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</si>
  <si>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</si>
  <si>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</si>
  <si>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</si>
  <si>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</si>
  <si>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</si>
  <si>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</si>
  <si>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</si>
  <si>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</si>
  <si>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</si>
  <si>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</si>
  <si>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</si>
  <si>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</si>
  <si>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</si>
  <si>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</si>
  <si>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</si>
  <si>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</si>
  <si>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</si>
  <si>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</si>
  <si>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</si>
  <si>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</si>
  <si>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</si>
  <si>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</si>
  <si>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</si>
  <si>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</si>
  <si>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</si>
  <si>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</si>
  <si>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</si>
  <si>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</si>
  <si>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</si>
  <si>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</si>
  <si>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</si>
  <si>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</si>
  <si>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</si>
  <si>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</si>
  <si>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</si>
  <si>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</si>
  <si>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</si>
  <si>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</si>
  <si>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</si>
  <si>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</si>
  <si>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</si>
  <si>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</si>
  <si>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</si>
  <si>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</si>
  <si>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</si>
  <si>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</si>
  <si>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</si>
  <si>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</si>
  <si>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</si>
  <si>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</si>
  <si>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</si>
  <si>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</si>
  <si>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</si>
  <si>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</si>
  <si>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</si>
  <si>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</si>
  <si>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</si>
  <si>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</si>
  <si>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</si>
  <si>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</si>
  <si>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</si>
  <si>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</si>
  <si>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</si>
  <si>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</si>
  <si>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</si>
  <si>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</si>
  <si>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</si>
  <si>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</si>
  <si>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</si>
  <si>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</si>
  <si>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</si>
  <si>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</si>
  <si>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</si>
  <si>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</si>
  <si>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</si>
  <si>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</si>
  <si>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</si>
  <si>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</si>
  <si>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</si>
  <si>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</si>
  <si>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</si>
  <si>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</si>
  <si>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</si>
  <si>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</si>
  <si>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</si>
  <si>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</si>
  <si>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</si>
  <si>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</si>
  <si>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</si>
  <si>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</si>
  <si>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</si>
  <si>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</si>
  <si>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</si>
  <si>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</si>
  <si>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</si>
  <si>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</si>
  <si>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</si>
  <si>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</si>
  <si>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</si>
  <si>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</si>
  <si>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</si>
  <si>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</si>
  <si>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</si>
  <si>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</si>
  <si>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</si>
  <si>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</si>
  <si>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</si>
  <si>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</si>
  <si>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</si>
  <si>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</si>
  <si>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</si>
  <si>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</si>
  <si>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</si>
  <si>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</si>
  <si>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</si>
  <si>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</si>
  <si>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</si>
  <si>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</si>
  <si>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</si>
  <si>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</si>
  <si>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</si>
  <si>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</si>
  <si>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</si>
  <si>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</si>
  <si>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</si>
  <si>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</si>
  <si>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</si>
  <si>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</si>
  <si>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</si>
  <si>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</si>
  <si>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</si>
  <si>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</si>
  <si>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</si>
  <si>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Energy</t>
  </si>
  <si>
    <t xml:space="preserve">    Other Gases</t>
  </si>
  <si>
    <t>Pumped Storage</t>
  </si>
  <si>
    <t>Other</t>
  </si>
  <si>
    <t>Generation from EIA Midwest region from EIA</t>
  </si>
  <si>
    <t xml:space="preserve">    Natural Ga0</t>
  </si>
  <si>
    <t>Wood/Wood Wa0te</t>
  </si>
  <si>
    <t>Fossil</t>
  </si>
  <si>
    <t xml:space="preserve">    Other Gase0</t>
  </si>
  <si>
    <t>Pumped storage</t>
  </si>
  <si>
    <t>Energy source</t>
  </si>
  <si>
    <t>MSW Biogenic/Landfill Ga0</t>
  </si>
  <si>
    <t>Other Biomass0</t>
  </si>
  <si>
    <t>Total Electricity Generation by Fuel from EIA for Pacific</t>
  </si>
  <si>
    <t>Energy Source</t>
  </si>
  <si>
    <t>Total Electricity Generation by Fuel by computation for Utah</t>
  </si>
  <si>
    <t>Contribution of Utah</t>
  </si>
  <si>
    <t>Proportion for Utah</t>
  </si>
  <si>
    <t>Solar PV 2015</t>
  </si>
  <si>
    <t>Solar Foundation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</si>
</sst>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3"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
      <sz val="10"/>
      <color rgb="FF000000"/>
      <name val="Calibri"/>
      <family val="2"/>
      <scheme val="minor"/>
    </font>
    <font>
      <b/>
      <sz val="10"/>
      <color rgb="FF000000"/>
      <name val="Calibri"/>
      <scheme val="minor"/>
    </font>
  </fonts>
  <fills count="10">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s>
  <cellStyleXfs count="28">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71">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0" fontId="15" fillId="5" borderId="14" xfId="6" applyFont="1" applyFill="1" applyBorder="1" applyAlignment="1">
      <alignment horizontal="center" vertical="center" wrapText="1"/>
    </xf>
    <xf numFmtId="0" fontId="15" fillId="5" borderId="1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6" xfId="6"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6" xfId="6" applyNumberFormat="1" applyFont="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9" fontId="14" fillId="0" borderId="1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1" fontId="14" fillId="0" borderId="15" xfId="6" applyNumberFormat="1" applyFont="1" applyBorder="1" applyAlignment="1">
      <alignment horizontal="center" vertical="center" wrapText="1"/>
    </xf>
    <xf numFmtId="0" fontId="14" fillId="0" borderId="20" xfId="6" applyFont="1" applyFill="1" applyBorder="1" applyAlignment="1">
      <alignment horizontal="center" vertical="center" wrapText="1"/>
    </xf>
    <xf numFmtId="9" fontId="14" fillId="0" borderId="20" xfId="6" quotePrefix="1" applyNumberFormat="1" applyFont="1" applyFill="1" applyBorder="1" applyAlignment="1">
      <alignment horizontal="center" vertical="center" wrapText="1"/>
    </xf>
    <xf numFmtId="1" fontId="14" fillId="0" borderId="20" xfId="6" applyNumberFormat="1" applyFont="1" applyFill="1" applyBorder="1" applyAlignment="1">
      <alignment horizontal="center" vertical="center" wrapText="1"/>
    </xf>
    <xf numFmtId="2" fontId="14" fillId="0" borderId="20" xfId="6" applyNumberFormat="1" applyFont="1" applyBorder="1" applyAlignment="1">
      <alignment horizontal="center" vertical="center" wrapText="1"/>
    </xf>
    <xf numFmtId="0" fontId="14" fillId="0" borderId="21" xfId="6" applyFont="1" applyBorder="1" applyAlignment="1">
      <alignment horizontal="center" vertical="center" wrapText="1"/>
    </xf>
    <xf numFmtId="9" fontId="14" fillId="0" borderId="21" xfId="6" applyNumberFormat="1" applyFont="1" applyBorder="1" applyAlignment="1">
      <alignment horizontal="center" vertical="center" wrapText="1"/>
    </xf>
    <xf numFmtId="1" fontId="14" fillId="0" borderId="21" xfId="6" applyNumberFormat="1" applyFont="1" applyBorder="1" applyAlignment="1">
      <alignment horizontal="center" vertical="center" wrapText="1"/>
    </xf>
    <xf numFmtId="2" fontId="14" fillId="0" borderId="21" xfId="6" applyNumberFormat="1" applyFont="1" applyBorder="1" applyAlignment="1">
      <alignment horizontal="center" vertical="center" wrapText="1"/>
    </xf>
    <xf numFmtId="0" fontId="14" fillId="0" borderId="22" xfId="6" applyFont="1" applyBorder="1" applyAlignment="1">
      <alignment horizontal="center" vertical="center" wrapText="1"/>
    </xf>
    <xf numFmtId="9" fontId="14" fillId="0" borderId="22" xfId="6" applyNumberFormat="1" applyFont="1" applyBorder="1" applyAlignment="1">
      <alignment horizontal="center" vertical="center" wrapText="1"/>
    </xf>
    <xf numFmtId="1" fontId="14" fillId="0" borderId="22" xfId="6" applyNumberFormat="1" applyFont="1" applyBorder="1" applyAlignment="1">
      <alignment horizontal="center" vertical="center" wrapText="1"/>
    </xf>
    <xf numFmtId="2" fontId="14" fillId="0" borderId="22" xfId="6" applyNumberFormat="1" applyFont="1" applyBorder="1" applyAlignment="1">
      <alignment horizontal="center" vertical="center" wrapText="1"/>
    </xf>
    <xf numFmtId="2" fontId="14" fillId="0" borderId="22" xfId="6" applyNumberFormat="1" applyFont="1" applyFill="1" applyBorder="1" applyAlignment="1">
      <alignment horizontal="center" vertical="center" wrapText="1"/>
    </xf>
    <xf numFmtId="0" fontId="14" fillId="0" borderId="21" xfId="4" applyFont="1" applyBorder="1" applyAlignment="1">
      <alignment horizontal="center" vertical="center" wrapText="1"/>
    </xf>
    <xf numFmtId="9" fontId="14" fillId="0" borderId="21" xfId="4" applyNumberFormat="1" applyFont="1" applyFill="1" applyBorder="1" applyAlignment="1">
      <alignment horizontal="center" vertical="center" wrapText="1"/>
    </xf>
    <xf numFmtId="1" fontId="14" fillId="0" borderId="21" xfId="4" applyNumberFormat="1" applyFont="1" applyBorder="1" applyAlignment="1">
      <alignment horizontal="center" vertical="center" wrapText="1"/>
    </xf>
    <xf numFmtId="2" fontId="14" fillId="0" borderId="21" xfId="4" applyNumberFormat="1" applyFont="1" applyBorder="1" applyAlignment="1">
      <alignment horizontal="center" vertical="center" wrapText="1"/>
    </xf>
    <xf numFmtId="9" fontId="14" fillId="0" borderId="21" xfId="6" applyNumberFormat="1"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22" xfId="6" applyFont="1" applyFill="1" applyBorder="1" applyAlignment="1">
      <alignment horizontal="center" vertical="center" wrapText="1"/>
    </xf>
    <xf numFmtId="9" fontId="14" fillId="0" borderId="22" xfId="6" applyNumberFormat="1" applyFont="1" applyFill="1" applyBorder="1" applyAlignment="1">
      <alignment horizontal="center" vertical="center" wrapText="1"/>
    </xf>
    <xf numFmtId="1" fontId="14" fillId="0" borderId="22" xfId="6" applyNumberFormat="1" applyFont="1" applyFill="1" applyBorder="1" applyAlignment="1">
      <alignment horizontal="center" vertical="center" wrapText="1"/>
    </xf>
    <xf numFmtId="9" fontId="14" fillId="0" borderId="15" xfId="11" applyFont="1" applyBorder="1" applyAlignment="1">
      <alignment horizontal="center" vertical="center" wrapText="1"/>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31"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31"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5" fillId="5" borderId="32" xfId="6" applyFont="1" applyFill="1" applyBorder="1" applyAlignment="1">
      <alignment horizontal="center" vertical="center" wrapText="1"/>
    </xf>
    <xf numFmtId="2" fontId="14" fillId="0" borderId="34" xfId="6" applyNumberFormat="1" applyFont="1" applyBorder="1" applyAlignment="1">
      <alignment horizontal="center" vertical="center" wrapText="1"/>
    </xf>
    <xf numFmtId="2" fontId="14" fillId="0" borderId="35" xfId="6" applyNumberFormat="1" applyFont="1" applyBorder="1" applyAlignment="1">
      <alignment horizontal="center" vertical="center" wrapText="1"/>
    </xf>
    <xf numFmtId="2" fontId="14" fillId="0" borderId="33" xfId="6" applyNumberFormat="1" applyFont="1" applyFill="1" applyBorder="1" applyAlignment="1">
      <alignment horizontal="center" vertical="center" wrapText="1"/>
    </xf>
    <xf numFmtId="2" fontId="14" fillId="0" borderId="24" xfId="6" applyNumberFormat="1" applyFont="1" applyFill="1" applyBorder="1" applyAlignment="1">
      <alignment horizontal="center" vertical="center" wrapText="1"/>
    </xf>
    <xf numFmtId="2" fontId="14" fillId="0" borderId="35" xfId="6" applyNumberFormat="1" applyFont="1" applyFill="1" applyBorder="1" applyAlignment="1">
      <alignment horizontal="center" vertical="center" wrapText="1"/>
    </xf>
    <xf numFmtId="0" fontId="1" fillId="0" borderId="0" xfId="6" applyFont="1" applyBorder="1"/>
    <xf numFmtId="2" fontId="14" fillId="0" borderId="6" xfId="6" applyNumberFormat="1" applyFont="1" applyFill="1" applyBorder="1" applyAlignment="1">
      <alignment horizontal="center" vertical="center" wrapText="1"/>
    </xf>
    <xf numFmtId="2" fontId="14" fillId="0" borderId="36" xfId="6" applyNumberFormat="1"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0" fontId="15" fillId="5" borderId="39" xfId="6" applyFont="1" applyFill="1" applyBorder="1" applyAlignment="1">
      <alignment horizontal="center" vertical="center" wrapText="1"/>
    </xf>
    <xf numFmtId="2" fontId="14" fillId="0" borderId="34" xfId="4" applyNumberFormat="1" applyFont="1" applyFill="1" applyBorder="1" applyAlignment="1">
      <alignment horizontal="center" vertical="center" wrapText="1"/>
    </xf>
    <xf numFmtId="2" fontId="14" fillId="0" borderId="34" xfId="6" applyNumberFormat="1" applyFont="1" applyFill="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40" xfId="6" applyNumberFormat="1" applyFont="1" applyFill="1" applyBorder="1" applyAlignment="1">
      <alignment horizontal="center" vertical="center" wrapText="1"/>
    </xf>
    <xf numFmtId="2" fontId="14" fillId="0" borderId="41" xfId="6" applyNumberFormat="1" applyFont="1" applyFill="1" applyBorder="1" applyAlignment="1">
      <alignment horizontal="center" vertical="center" wrapText="1"/>
    </xf>
    <xf numFmtId="2" fontId="14" fillId="0" borderId="25" xfId="6" applyNumberFormat="1" applyFont="1" applyFill="1" applyBorder="1" applyAlignment="1">
      <alignment horizontal="center" vertical="center" wrapText="1"/>
    </xf>
    <xf numFmtId="2" fontId="14" fillId="0" borderId="42" xfId="6" applyNumberFormat="1" applyFont="1" applyFill="1" applyBorder="1" applyAlignment="1">
      <alignment horizontal="center" vertical="center" wrapText="1"/>
    </xf>
    <xf numFmtId="2" fontId="14" fillId="0" borderId="41" xfId="4" applyNumberFormat="1" applyFont="1" applyFill="1" applyBorder="1" applyAlignment="1">
      <alignment horizontal="center" vertical="center" wrapText="1"/>
    </xf>
    <xf numFmtId="2" fontId="14" fillId="0" borderId="40" xfId="6" applyNumberFormat="1" applyFont="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0" fontId="15" fillId="5" borderId="45" xfId="6" applyFont="1" applyFill="1" applyBorder="1" applyAlignment="1">
      <alignment horizontal="center" vertical="center" wrapText="1"/>
    </xf>
    <xf numFmtId="0" fontId="14" fillId="0" borderId="46" xfId="6" applyFont="1" applyFill="1" applyBorder="1" applyAlignment="1">
      <alignment horizontal="center" vertical="center" wrapText="1"/>
    </xf>
    <xf numFmtId="1" fontId="14" fillId="0" borderId="46" xfId="6" applyNumberFormat="1" applyFont="1" applyFill="1" applyBorder="1" applyAlignment="1">
      <alignment horizontal="center" vertical="center" wrapText="1"/>
    </xf>
    <xf numFmtId="2" fontId="14" fillId="0" borderId="46" xfId="6" applyNumberFormat="1" applyFont="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9" xfId="6" applyNumberFormat="1" applyFont="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3" xfId="6" applyNumberFormat="1" applyFont="1" applyBorder="1" applyAlignment="1">
      <alignment horizontal="center" vertical="center" wrapText="1"/>
    </xf>
    <xf numFmtId="0" fontId="14" fillId="0" borderId="46" xfId="6" applyFont="1" applyBorder="1" applyAlignment="1">
      <alignment horizontal="center" vertical="center" wrapText="1"/>
    </xf>
    <xf numFmtId="9" fontId="14" fillId="0" borderId="46" xfId="6" applyNumberFormat="1" applyFont="1" applyBorder="1" applyAlignment="1">
      <alignment horizontal="center" vertical="center" wrapText="1"/>
    </xf>
    <xf numFmtId="1" fontId="14" fillId="0" borderId="46" xfId="6" applyNumberFormat="1" applyFont="1" applyBorder="1" applyAlignment="1">
      <alignment horizontal="center" vertical="center" wrapText="1"/>
    </xf>
    <xf numFmtId="2" fontId="14" fillId="0" borderId="47" xfId="6" applyNumberFormat="1" applyFont="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23"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42" xfId="6" applyNumberFormat="1" applyFont="1" applyBorder="1" applyAlignment="1">
      <alignment horizontal="center" vertical="center" wrapText="1"/>
    </xf>
    <xf numFmtId="9" fontId="14" fillId="0" borderId="46" xfId="6" applyNumberFormat="1" applyFont="1" applyFill="1" applyBorder="1" applyAlignment="1">
      <alignment horizontal="center" vertical="center" wrapText="1"/>
    </xf>
    <xf numFmtId="2" fontId="14" fillId="0" borderId="41" xfId="6" applyNumberFormat="1" applyFont="1" applyBorder="1" applyAlignment="1">
      <alignment horizontal="center" vertical="center" wrapText="1"/>
    </xf>
    <xf numFmtId="2" fontId="14" fillId="0" borderId="46" xfId="4"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41" xfId="4" applyNumberFormat="1" applyFont="1" applyBorder="1" applyAlignment="1">
      <alignment horizontal="center" vertical="center" wrapText="1"/>
    </xf>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53" xfId="0" applyFont="1" applyFill="1" applyBorder="1" applyAlignment="1">
      <alignment wrapText="1"/>
    </xf>
    <xf numFmtId="10" fontId="28" fillId="2" borderId="53" xfId="0" applyNumberFormat="1" applyFont="1" applyFill="1" applyBorder="1" applyAlignment="1">
      <alignment wrapText="1"/>
    </xf>
    <xf numFmtId="0" fontId="33" fillId="2" borderId="53" xfId="0" applyFont="1" applyFill="1" applyBorder="1" applyAlignment="1">
      <alignment wrapText="1"/>
    </xf>
    <xf numFmtId="10" fontId="33" fillId="2" borderId="53"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5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53" xfId="0" applyFont="1" applyBorder="1" applyAlignment="1">
      <alignment wrapText="1"/>
    </xf>
    <xf numFmtId="0" fontId="33" fillId="0" borderId="53"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2" fontId="43" fillId="2" borderId="52" xfId="0" applyNumberFormat="1" applyFont="1" applyFill="1" applyBorder="1" applyAlignment="1">
      <alignment horizontal="right" vertical="center"/>
    </xf>
    <xf numFmtId="2" fontId="43" fillId="2" borderId="55" xfId="0" applyNumberFormat="1" applyFont="1" applyFill="1" applyBorder="1" applyAlignment="1">
      <alignment horizontal="right" vertical="center"/>
    </xf>
    <xf numFmtId="2" fontId="2" fillId="2" borderId="0" xfId="4" applyNumberFormat="1" applyFont="1" applyFill="1" applyProtection="1"/>
    <xf numFmtId="0" fontId="43" fillId="0" borderId="56" xfId="0" applyFont="1" applyBorder="1" applyAlignment="1">
      <alignment horizontal="left" vertical="center"/>
    </xf>
    <xf numFmtId="0" fontId="44" fillId="0" borderId="0" xfId="0" applyFont="1" applyAlignment="1">
      <alignment horizontal="left" vertical="center"/>
    </xf>
    <xf numFmtId="0" fontId="0" fillId="0" borderId="53"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0" fontId="43" fillId="0" borderId="52" xfId="0" applyFont="1" applyBorder="1" applyAlignment="1">
      <alignment horizontal="left" vertical="center"/>
    </xf>
    <xf numFmtId="0" fontId="43" fillId="0" borderId="54" xfId="0" applyFont="1" applyBorder="1" applyAlignment="1">
      <alignment horizontal="left" vertical="center"/>
    </xf>
    <xf numFmtId="0" fontId="43" fillId="0" borderId="55" xfId="0" applyFont="1" applyBorder="1" applyAlignment="1">
      <alignment horizontal="left" vertical="center"/>
    </xf>
    <xf numFmtId="167" fontId="0" fillId="0" borderId="0" xfId="0" applyNumberFormat="1"/>
    <xf numFmtId="0" fontId="22" fillId="9" borderId="0" xfId="0" applyFont="1" applyFill="1"/>
    <xf numFmtId="0" fontId="22" fillId="9" borderId="0" xfId="0" applyFont="1" applyFill="1" applyAlignment="1">
      <alignment horizontal="center"/>
    </xf>
    <xf numFmtId="165" fontId="22" fillId="9" borderId="0" xfId="0" applyNumberFormat="1" applyFont="1" applyFill="1" applyAlignment="1">
      <alignment horizontal="center"/>
    </xf>
    <xf numFmtId="165" fontId="22" fillId="9" borderId="5" xfId="0" applyNumberFormat="1" applyFont="1" applyFill="1" applyBorder="1" applyAlignment="1">
      <alignment horizontal="center"/>
    </xf>
    <xf numFmtId="165" fontId="22" fillId="9" borderId="0" xfId="0" applyNumberFormat="1" applyFont="1" applyFill="1" applyBorder="1" applyAlignment="1">
      <alignment horizontal="center"/>
    </xf>
    <xf numFmtId="167" fontId="0" fillId="2" borderId="1" xfId="10" applyNumberFormat="1" applyFont="1" applyFill="1" applyBorder="1" applyAlignment="1">
      <alignment horizontal="center"/>
    </xf>
    <xf numFmtId="0" fontId="51" fillId="0" borderId="0" xfId="0" applyFont="1" applyAlignment="1">
      <alignment wrapText="1"/>
    </xf>
    <xf numFmtId="0" fontId="52" fillId="0" borderId="0" xfId="0" applyFont="1" applyAlignment="1">
      <alignment wrapText="1"/>
    </xf>
    <xf numFmtId="168" fontId="28" fillId="2" borderId="53" xfId="0" applyNumberFormat="1" applyFont="1" applyFill="1" applyBorder="1" applyAlignment="1">
      <alignment wrapText="1"/>
    </xf>
    <xf numFmtId="2" fontId="14" fillId="0" borderId="15"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1" xfId="4" applyNumberFormat="1" applyFont="1" applyFill="1" applyBorder="1" applyAlignment="1">
      <alignment horizontal="center" vertical="center" wrapText="1"/>
    </xf>
    <xf numFmtId="0" fontId="0" fillId="0" borderId="0" xfId="0" applyAlignment="1">
      <alignment horizontal="center"/>
    </xf>
    <xf numFmtId="0" fontId="1" fillId="0" borderId="0" xfId="6"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7"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8" xfId="6" applyFont="1" applyFill="1" applyBorder="1" applyAlignment="1">
      <alignment horizontal="center" vertical="center" textRotation="90" wrapText="1"/>
    </xf>
    <xf numFmtId="0" fontId="15" fillId="5" borderId="44" xfId="6" applyFont="1" applyFill="1" applyBorder="1" applyAlignment="1">
      <alignment horizontal="center" vertical="center" textRotation="90" wrapText="1"/>
    </xf>
    <xf numFmtId="0" fontId="15" fillId="5" borderId="29" xfId="6" applyFont="1" applyFill="1" applyBorder="1" applyAlignment="1">
      <alignment horizontal="center" vertical="center" wrapText="1"/>
    </xf>
    <xf numFmtId="0" fontId="15" fillId="5" borderId="30" xfId="6" applyFont="1" applyFill="1" applyBorder="1" applyAlignment="1">
      <alignment horizontal="center" vertical="center" wrapText="1"/>
    </xf>
    <xf numFmtId="0" fontId="15" fillId="5" borderId="23"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24" xfId="6" applyFont="1" applyFill="1" applyBorder="1" applyAlignment="1">
      <alignment horizontal="center"/>
    </xf>
    <xf numFmtId="0" fontId="15" fillId="5" borderId="25" xfId="6" applyFont="1" applyFill="1" applyBorder="1" applyAlignment="1">
      <alignment horizontal="center"/>
    </xf>
    <xf numFmtId="0" fontId="15" fillId="5" borderId="26" xfId="6" applyFont="1" applyFill="1" applyBorder="1" applyAlignment="1">
      <alignment horizontal="center"/>
    </xf>
    <xf numFmtId="2" fontId="14" fillId="0" borderId="23"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15"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0" fontId="28" fillId="0" borderId="0" xfId="0" applyFont="1" applyAlignment="1">
      <alignment horizontal="center" vertical="top"/>
    </xf>
    <xf numFmtId="0" fontId="0" fillId="0" borderId="0" xfId="0" applyAlignment="1">
      <alignment wrapText="1"/>
    </xf>
    <xf numFmtId="0" fontId="0" fillId="0" borderId="31" xfId="0" applyBorder="1" applyAlignment="1">
      <alignment wrapText="1"/>
    </xf>
    <xf numFmtId="2" fontId="14" fillId="2" borderId="2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20" xfId="4" applyNumberFormat="1" applyFont="1" applyFill="1" applyBorder="1" applyAlignment="1">
      <alignment horizontal="center" vertical="center" wrapText="1"/>
    </xf>
    <xf numFmtId="9" fontId="1" fillId="0" borderId="0" xfId="6" applyNumberFormat="1" applyFont="1"/>
    <xf numFmtId="2" fontId="1" fillId="0" borderId="0" xfId="6" applyNumberFormat="1" applyFont="1"/>
  </cellXfs>
  <cellStyles count="28">
    <cellStyle name="Comma" xfId="1" builtinId="3"/>
    <cellStyle name="Comma 2" xfId="2"/>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095674536"/>
        <c:axId val="2077693192"/>
      </c:lineChart>
      <c:catAx>
        <c:axId val="2095674536"/>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77693192"/>
        <c:crosses val="autoZero"/>
        <c:auto val="1"/>
        <c:lblAlgn val="ctr"/>
        <c:lblOffset val="100"/>
        <c:noMultiLvlLbl val="0"/>
      </c:catAx>
      <c:valAx>
        <c:axId val="2077693192"/>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95674536"/>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095420152"/>
        <c:axId val="2095234264"/>
      </c:lineChart>
      <c:catAx>
        <c:axId val="209542015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95234264"/>
        <c:crosses val="autoZero"/>
        <c:auto val="1"/>
        <c:lblAlgn val="ctr"/>
        <c:lblOffset val="100"/>
        <c:noMultiLvlLbl val="0"/>
      </c:catAx>
      <c:valAx>
        <c:axId val="2095234264"/>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95420152"/>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opLeftCell="A7" zoomScale="80" zoomScaleNormal="80" zoomScalePageLayoutView="80" workbookViewId="0">
      <selection activeCell="C55" sqref="C55"/>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35"/>
      <c r="B1" s="535"/>
      <c r="C1" s="535"/>
      <c r="D1" s="535"/>
      <c r="E1" s="535"/>
      <c r="F1" s="535"/>
      <c r="G1" s="535"/>
      <c r="H1" s="535"/>
      <c r="I1" s="535"/>
      <c r="J1" s="535"/>
      <c r="K1" s="535"/>
      <c r="L1" s="535"/>
      <c r="M1" s="535"/>
      <c r="N1" s="535"/>
      <c r="O1" s="535"/>
      <c r="P1" s="535"/>
      <c r="Q1" s="535"/>
      <c r="R1" s="535"/>
      <c r="S1" s="535"/>
      <c r="T1" s="535"/>
    </row>
    <row r="2" spans="1:20" ht="113.25" customHeight="1">
      <c r="A2" s="535"/>
      <c r="B2" s="535"/>
      <c r="C2" s="535"/>
      <c r="D2" s="535"/>
      <c r="E2" s="535"/>
      <c r="F2" s="535"/>
      <c r="G2" s="535"/>
      <c r="H2" s="535"/>
      <c r="I2" s="535"/>
      <c r="J2" s="535"/>
      <c r="K2" s="535"/>
      <c r="L2" s="535"/>
      <c r="M2" s="535"/>
      <c r="N2" s="535"/>
      <c r="O2" s="535"/>
      <c r="P2" s="119"/>
      <c r="Q2" s="119"/>
      <c r="R2" s="119"/>
      <c r="S2" s="119"/>
      <c r="T2" s="119"/>
    </row>
    <row r="3" spans="1:20" ht="15" thickBot="1">
      <c r="C3" s="110"/>
      <c r="D3"/>
      <c r="E3" s="110"/>
      <c r="F3" s="110"/>
      <c r="G3" s="110"/>
      <c r="H3" s="110"/>
      <c r="I3" s="247"/>
      <c r="J3" s="247"/>
      <c r="K3" s="247"/>
      <c r="L3" s="171"/>
      <c r="M3" s="7" t="s">
        <v>0</v>
      </c>
    </row>
    <row r="4" spans="1:20" ht="15" thickBot="1">
      <c r="C4" s="117" t="s">
        <v>141</v>
      </c>
      <c r="D4" s="124"/>
      <c r="E4" s="119"/>
      <c r="F4" s="110"/>
      <c r="G4" s="110"/>
      <c r="H4" s="162" t="s">
        <v>0</v>
      </c>
      <c r="I4" s="247"/>
      <c r="J4" s="247"/>
      <c r="K4" s="247"/>
      <c r="L4" s="171"/>
      <c r="M4" t="s">
        <v>0</v>
      </c>
      <c r="Q4" t="s">
        <v>0</v>
      </c>
      <c r="R4" t="s">
        <v>0</v>
      </c>
    </row>
    <row r="5" spans="1:20">
      <c r="B5" s="1" t="s">
        <v>1</v>
      </c>
      <c r="C5" s="110" t="s">
        <v>708</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383</v>
      </c>
      <c r="C7" s="210" t="s">
        <v>555</v>
      </c>
      <c r="D7" s="114">
        <f>'Output - Jobs vs Yr (BAU)'!X4/'Output - Jobs vs Yr (BAU)'!C4-1</f>
        <v>0.23886192264116457</v>
      </c>
      <c r="E7" s="92" t="s">
        <v>519</v>
      </c>
      <c r="F7" s="109"/>
      <c r="G7" s="109"/>
      <c r="H7" s="29" t="s">
        <v>0</v>
      </c>
      <c r="I7" s="29"/>
      <c r="J7" s="29"/>
      <c r="K7" s="29"/>
      <c r="L7" s="29"/>
      <c r="M7" s="7" t="s">
        <v>0</v>
      </c>
      <c r="N7" t="s">
        <v>0</v>
      </c>
      <c r="O7" t="s">
        <v>0</v>
      </c>
      <c r="P7" t="s">
        <v>0</v>
      </c>
    </row>
    <row r="8" spans="1:20" ht="15" thickBot="1">
      <c r="B8" s="1" t="s">
        <v>368</v>
      </c>
      <c r="C8" s="109"/>
      <c r="D8" s="104" t="s">
        <v>342</v>
      </c>
      <c r="E8" s="498" t="s">
        <v>718</v>
      </c>
      <c r="F8" s="109"/>
      <c r="G8" s="498" t="s">
        <v>719</v>
      </c>
      <c r="H8"/>
      <c r="I8"/>
      <c r="J8"/>
      <c r="K8"/>
      <c r="L8"/>
      <c r="M8" t="s">
        <v>0</v>
      </c>
      <c r="N8" t="s">
        <v>0</v>
      </c>
      <c r="O8" s="111" t="s">
        <v>0</v>
      </c>
      <c r="P8" s="31" t="s">
        <v>0</v>
      </c>
    </row>
    <row r="9" spans="1:20" ht="15.75" hidden="1" customHeight="1" thickBot="1">
      <c r="B9" s="43" t="s">
        <v>368</v>
      </c>
      <c r="C9" s="110"/>
      <c r="D9" s="114" t="e">
        <f>'Output - Jobs vs Yr (BAU)'!X6/'Output - Jobs vs Yr (BAU)'!C6-1</f>
        <v>#DIV/0!</v>
      </c>
      <c r="E9" s="109"/>
      <c r="F9" s="109"/>
      <c r="G9" s="109"/>
      <c r="H9"/>
      <c r="I9"/>
      <c r="J9"/>
      <c r="K9"/>
      <c r="L9"/>
      <c r="M9"/>
      <c r="O9" s="102"/>
    </row>
    <row r="10" spans="1:20" ht="15.75" hidden="1" customHeight="1" thickBot="1">
      <c r="B10" s="93" t="s">
        <v>352</v>
      </c>
      <c r="C10" s="110"/>
      <c r="D10" s="43"/>
      <c r="E10" s="109"/>
      <c r="F10" s="109"/>
      <c r="G10" s="109"/>
      <c r="H10"/>
      <c r="I10"/>
      <c r="J10"/>
      <c r="K10"/>
      <c r="L10"/>
      <c r="M10"/>
      <c r="O10" s="102"/>
    </row>
    <row r="11" spans="1:20" ht="15" thickBot="1">
      <c r="B11" t="s">
        <v>380</v>
      </c>
      <c r="C11" s="524">
        <v>0.1</v>
      </c>
      <c r="D11" s="125">
        <f>'Output - Jobs vs Yr (BAU)'!N18/'Output -Jobs vs Yr'!N14</f>
        <v>3.5599734974710494E-2</v>
      </c>
      <c r="E11" s="497">
        <f>(7.7/3)^(1/6)</f>
        <v>1.1701141873017888</v>
      </c>
      <c r="F11" s="109"/>
      <c r="G11" s="494">
        <f>(12.5/3)^(1/6)</f>
        <v>1.2685223586294079</v>
      </c>
      <c r="H11"/>
      <c r="I11"/>
      <c r="J11"/>
      <c r="K11"/>
      <c r="L11"/>
      <c r="M11" t="s">
        <v>0</v>
      </c>
      <c r="N11" t="s">
        <v>0</v>
      </c>
      <c r="O11" s="111" t="s">
        <v>0</v>
      </c>
      <c r="P11" s="31" t="s">
        <v>0</v>
      </c>
    </row>
    <row r="12" spans="1:20" ht="15" thickBot="1">
      <c r="B12" t="s">
        <v>381</v>
      </c>
      <c r="C12" s="209">
        <v>0.12</v>
      </c>
      <c r="D12" s="125">
        <f>'Output - Jobs vs Yr (BAU)'!X18/'Output -Jobs vs Yr'!X14</f>
        <v>4.6310258917629951E-2</v>
      </c>
      <c r="E12" s="497">
        <f>(D12/D11)^(1/10)</f>
        <v>1.0266514962356195</v>
      </c>
      <c r="F12" s="109"/>
      <c r="G12" s="495">
        <f>(C12/C11)^(1/10)</f>
        <v>1.0183993761470242</v>
      </c>
      <c r="H12"/>
      <c r="I12"/>
      <c r="J12"/>
      <c r="K12"/>
      <c r="L12"/>
      <c r="M12" t="s">
        <v>0</v>
      </c>
      <c r="N12" t="s">
        <v>0</v>
      </c>
      <c r="O12" s="111" t="s">
        <v>0</v>
      </c>
      <c r="P12" s="31" t="s">
        <v>0</v>
      </c>
    </row>
    <row r="13" spans="1:20" ht="15" thickBot="1">
      <c r="B13" t="s">
        <v>578</v>
      </c>
      <c r="C13" s="524">
        <v>0.15</v>
      </c>
      <c r="D13" s="172">
        <f>'Output - Jobs vs Yr (BAU)'!AH18/'Output -Jobs vs Yr'!AH14</f>
        <v>6.5046533221463879E-2</v>
      </c>
      <c r="E13" s="497">
        <f>(D13/D12)^(1/10)</f>
        <v>1.0345576456014285</v>
      </c>
      <c r="F13" s="109"/>
      <c r="G13" s="496">
        <f>(C13/C12)^(1/10)</f>
        <v>1.0225651825635729</v>
      </c>
      <c r="H13"/>
      <c r="I13"/>
      <c r="J13"/>
      <c r="K13"/>
      <c r="L13"/>
      <c r="M13"/>
      <c r="O13" s="111"/>
      <c r="P13" s="31"/>
    </row>
    <row r="14" spans="1:20">
      <c r="B14" t="s">
        <v>579</v>
      </c>
      <c r="C14" s="246"/>
      <c r="D14" s="172"/>
      <c r="E14" s="109"/>
      <c r="F14" s="109"/>
      <c r="G14" s="109"/>
      <c r="H14"/>
      <c r="I14"/>
      <c r="J14"/>
      <c r="K14"/>
      <c r="L14"/>
      <c r="M14"/>
      <c r="O14" s="111"/>
      <c r="P14" s="31"/>
    </row>
    <row r="15" spans="1:20" ht="15" thickBot="1">
      <c r="C15" s="4" t="s">
        <v>0</v>
      </c>
      <c r="D15" s="32"/>
      <c r="E15" s="4"/>
      <c r="F15" s="95" t="s">
        <v>0</v>
      </c>
      <c r="G15" s="95"/>
      <c r="H15" s="4"/>
      <c r="I15" s="4"/>
      <c r="J15" s="4"/>
      <c r="K15" s="4"/>
      <c r="L15" s="4"/>
      <c r="N15" t="s">
        <v>713</v>
      </c>
      <c r="O15" s="31" t="s">
        <v>713</v>
      </c>
      <c r="P15" s="31" t="s">
        <v>714</v>
      </c>
      <c r="Q15" t="s">
        <v>711</v>
      </c>
    </row>
    <row r="16" spans="1:20" ht="15" thickBot="1">
      <c r="B16" s="32" t="s">
        <v>363</v>
      </c>
      <c r="C16" s="106" t="s">
        <v>366</v>
      </c>
      <c r="D16" s="104" t="s">
        <v>535</v>
      </c>
      <c r="E16" s="104" t="s">
        <v>364</v>
      </c>
      <c r="F16" s="104" t="s">
        <v>359</v>
      </c>
      <c r="G16" s="104" t="s">
        <v>545</v>
      </c>
      <c r="H16" s="104" t="s">
        <v>364</v>
      </c>
      <c r="I16" s="104" t="s">
        <v>707</v>
      </c>
      <c r="J16" s="104" t="s">
        <v>706</v>
      </c>
      <c r="K16" s="104" t="s">
        <v>364</v>
      </c>
      <c r="L16" s="104"/>
      <c r="M16" s="44" t="s">
        <v>257</v>
      </c>
      <c r="N16" s="291">
        <v>2020</v>
      </c>
      <c r="O16" s="291">
        <v>2030</v>
      </c>
      <c r="P16" s="291">
        <v>2040</v>
      </c>
      <c r="Q16" s="198">
        <v>2031</v>
      </c>
    </row>
    <row r="17" spans="2:17" ht="15" thickBot="1">
      <c r="B17" t="s">
        <v>353</v>
      </c>
      <c r="C17" s="195">
        <f>D17*$C$11/$D$11</f>
        <v>2.5207462888744789E-4</v>
      </c>
      <c r="D17" s="126">
        <f>'Output - Jobs vs Yr (BAU)'!N10/'Output -Jobs vs Yr'!$N$14</f>
        <v>8.9737899822416473E-5</v>
      </c>
      <c r="E17" s="105">
        <f t="shared" ref="E17:E23" si="0">IF($C$24&lt;&gt;0,C17/$C$24,0)</f>
        <v>2.5207462888744789E-3</v>
      </c>
      <c r="F17" s="172">
        <f>C17*$C$12/$C$11</f>
        <v>3.0248955466493748E-4</v>
      </c>
      <c r="G17" s="105">
        <f>'Output - Jobs vs Yr (BAU)'!X10/'Output - Jobs vs Yr (BAU)'!X24</f>
        <v>1.0265883359535043E-4</v>
      </c>
      <c r="H17" s="105">
        <f t="shared" ref="H17:H23" si="1">G17/$G$24</f>
        <v>2.2167634801356305E-3</v>
      </c>
      <c r="I17" s="172">
        <f>F17*$C$13/$C$12</f>
        <v>3.7811194333117184E-4</v>
      </c>
      <c r="J17" s="105">
        <f>'Output - Jobs vs Yr (BAU)'!AH10/'Output - Jobs vs Yr (BAU)'!AH24</f>
        <v>1.2732099407764612E-4</v>
      </c>
      <c r="K17" s="105">
        <f>J17/$J$24</f>
        <v>1.9573842682866342E-3</v>
      </c>
      <c r="L17" s="105"/>
      <c r="M17" s="45" t="s">
        <v>259</v>
      </c>
      <c r="N17" s="86">
        <f>HLOOKUP(N16,'Output -Jobs vs Yr'!$H$175:$AH$184,9)</f>
        <v>285.41961395703674</v>
      </c>
      <c r="O17" s="86">
        <f>HLOOKUP(O16,'Output -Jobs vs Yr'!$H$175:$AH$184,9)</f>
        <v>326.08705244478006</v>
      </c>
      <c r="P17" s="86">
        <f>HLOOKUP(P16,'Output -Jobs vs Yr'!$H$175:$AH$184,9)</f>
        <v>366.61762036662822</v>
      </c>
      <c r="Q17" s="86">
        <f>HLOOKUP(Q16,'Output -Jobs vs Yr'!$H$175:$AH$184,9)</f>
        <v>320.72696934738269</v>
      </c>
    </row>
    <row r="18" spans="2:17" ht="15" thickBot="1">
      <c r="B18" s="4" t="s">
        <v>354</v>
      </c>
      <c r="C18" s="195">
        <f>D18*$C$11/$D$11</f>
        <v>5.8362524220789512E-7</v>
      </c>
      <c r="D18" s="126">
        <f>'Output - Jobs vs Yr (BAU)'!N15/'Output -Jobs vs Yr'!$N$14</f>
        <v>2.0776903947152286E-7</v>
      </c>
      <c r="E18" s="105">
        <f t="shared" si="0"/>
        <v>5.836252422078951E-6</v>
      </c>
      <c r="F18" s="172">
        <f t="shared" ref="F18:F23" si="2">C18*$C$12/$C$11</f>
        <v>7.0035029064947404E-7</v>
      </c>
      <c r="G18" s="105">
        <f>'Output - Jobs vs Yr (BAU)'!X15/'Output - Jobs vs Yr (BAU)'!X24</f>
        <v>1.8549741662251809E-7</v>
      </c>
      <c r="H18" s="105">
        <f t="shared" si="1"/>
        <v>4.0055383879495608E-6</v>
      </c>
      <c r="I18" s="172">
        <f t="shared" ref="I18:I24" si="3">F18*$C$13/$C$12</f>
        <v>8.7543786331184252E-7</v>
      </c>
      <c r="J18" s="105">
        <f>'Output - Jobs vs Yr (BAU)'!AH15/'Output - Jobs vs Yr (BAU)'!AH24</f>
        <v>1.7477242367135643E-7</v>
      </c>
      <c r="K18" s="105">
        <f t="shared" ref="K18:K24" si="4">J18/$J$24</f>
        <v>2.6868843987819753E-6</v>
      </c>
      <c r="L18" s="105"/>
      <c r="M18" s="46" t="s">
        <v>260</v>
      </c>
      <c r="N18" s="87">
        <f>HLOOKUP(N16,'Output -Jobs vs Yr'!$H$175:$AH$184,10)</f>
        <v>256.87689412872078</v>
      </c>
      <c r="O18" s="87">
        <f>HLOOKUP(O16,'Output -Jobs vs Yr'!$H$175:$AH$184,10)</f>
        <v>293.47732780889237</v>
      </c>
      <c r="P18" s="87">
        <f>HLOOKUP(P16,'Output -Jobs vs Yr'!$H$175:$AH$184,10)</f>
        <v>329.95450589636039</v>
      </c>
      <c r="Q18" s="87">
        <f>HLOOKUP(Q16,'Output -Jobs vs Yr'!$H$175:$AH$184,10)</f>
        <v>288.6532281484715</v>
      </c>
    </row>
    <row r="19" spans="2:17" ht="15" thickBot="1">
      <c r="B19" s="4" t="s">
        <v>355</v>
      </c>
      <c r="C19" s="195">
        <f>D19*$C$11/$D$11</f>
        <v>4.1698049328719712E-2</v>
      </c>
      <c r="D19" s="126">
        <f>'Output - Jobs vs Yr (BAU)'!N11/'Output -Jobs vs Yr'!$N$14</f>
        <v>1.4844395050648265E-2</v>
      </c>
      <c r="E19" s="105">
        <f t="shared" si="0"/>
        <v>0.41698049328719711</v>
      </c>
      <c r="F19" s="172">
        <f t="shared" si="2"/>
        <v>5.0037659194463652E-2</v>
      </c>
      <c r="G19" s="105">
        <f>'Output - Jobs vs Yr (BAU)'!X11/'Output - Jobs vs Yr (BAU)'!X24</f>
        <v>2.8024632889938731E-2</v>
      </c>
      <c r="H19" s="105">
        <f t="shared" si="1"/>
        <v>0.60514989854158763</v>
      </c>
      <c r="I19" s="172">
        <f t="shared" si="3"/>
        <v>6.2547073993079558E-2</v>
      </c>
      <c r="J19" s="105">
        <f>'Output - Jobs vs Yr (BAU)'!AH11/'Output - Jobs vs Yr (BAU)'!AH24</f>
        <v>4.3869625530805562E-2</v>
      </c>
      <c r="K19" s="105">
        <f t="shared" si="4"/>
        <v>0.67443484471427584</v>
      </c>
      <c r="L19" s="105"/>
      <c r="M19" s="46" t="s">
        <v>261</v>
      </c>
      <c r="N19" s="87">
        <f>HLOOKUP(N16,'Output -Jobs vs Yr'!$H$175:$AH$184,8)</f>
        <v>542.29650808575752</v>
      </c>
      <c r="O19" s="87">
        <f>HLOOKUP(O16,'Output -Jobs vs Yr'!$H$175:$AH$184,8)</f>
        <v>619.56438025367243</v>
      </c>
      <c r="P19" s="87">
        <f>HLOOKUP(P16,'Output -Jobs vs Yr'!$H$175:$AH$184,8)</f>
        <v>696.5721262629886</v>
      </c>
      <c r="Q19" s="87">
        <f>HLOOKUP(Q16,'Output -Jobs vs Yr'!$H$175:$AH$184,8)</f>
        <v>609.3801974958551</v>
      </c>
    </row>
    <row r="20" spans="2:17" ht="15" thickBot="1">
      <c r="B20" s="4" t="s">
        <v>51</v>
      </c>
      <c r="C20" s="195">
        <f>D20*$C$11/$D$11</f>
        <v>5.6774011675089055E-3</v>
      </c>
      <c r="D20" s="126">
        <f>'Output - Jobs vs Yr (BAU)'!N12/'Output -Jobs vs Yr'!$N$14</f>
        <v>2.0211397690842897E-3</v>
      </c>
      <c r="E20" s="105">
        <f t="shared" si="0"/>
        <v>5.6774011675089053E-2</v>
      </c>
      <c r="F20" s="172">
        <f t="shared" si="2"/>
        <v>6.8128814010106854E-3</v>
      </c>
      <c r="G20" s="105">
        <f>'Output - Jobs vs Yr (BAU)'!X12/'Output - Jobs vs Yr (BAU)'!X24</f>
        <v>1.4350734362867051E-3</v>
      </c>
      <c r="H20" s="105">
        <f t="shared" si="1"/>
        <v>3.098825764388187E-2</v>
      </c>
      <c r="I20" s="172">
        <f t="shared" si="3"/>
        <v>8.516101751263357E-3</v>
      </c>
      <c r="J20" s="105">
        <f>'Output - Jobs vs Yr (BAU)'!AH12/'Output - Jobs vs Yr (BAU)'!AH24</f>
        <v>1.3670444535397578E-3</v>
      </c>
      <c r="K20" s="105">
        <f t="shared" si="4"/>
        <v>2.1016418594527915E-2</v>
      </c>
      <c r="L20" s="105"/>
      <c r="M20" s="47" t="s">
        <v>459</v>
      </c>
      <c r="N20" s="88">
        <f>HLOOKUP(N16,'Output -Jobs vs Yr'!$H$175:$AH$188,11)-HLOOKUP(N16,'Output -Jobs vs Yr'!$H$175:$AH$188,14)</f>
        <v>1345.9305323285225</v>
      </c>
      <c r="O20" s="88">
        <f>HLOOKUP(O16,'Output -Jobs vs Yr'!$H$175:$AH$188,11)-HLOOKUP(O16,'Output -Jobs vs Yr'!$H$175:$AH$188,14)</f>
        <v>7020.3013412357959</v>
      </c>
      <c r="P20" s="88">
        <f>HLOOKUP(P16,'Output -Jobs vs Yr'!$H$175:$AH$188,11)-HLOOKUP(P16,'Output -Jobs vs Yr'!$H$175:$AH$188,14)</f>
        <v>13102.440063262698</v>
      </c>
      <c r="Q20" s="88">
        <f>HLOOKUP(Q16,'Output -Jobs vs Yr'!$H$175:$AH$188,11)-HLOOKUP(Q16,'Output -Jobs vs Yr'!$H$175:$AH$188,14)</f>
        <v>7629.681538731651</v>
      </c>
    </row>
    <row r="21" spans="2:17" ht="15" thickBot="1">
      <c r="B21" t="s">
        <v>356</v>
      </c>
      <c r="C21" s="195">
        <f t="shared" ref="C21:C23" si="5">D21*$C$11/$D$11</f>
        <v>1.1672504844157902E-6</v>
      </c>
      <c r="D21" s="126">
        <f>'Output - Jobs vs Yr (BAU)'!N13/'Output -Jobs vs Yr'!$N$14</f>
        <v>4.1553807894304571E-7</v>
      </c>
      <c r="E21" s="105">
        <f t="shared" si="0"/>
        <v>1.1672504844157902E-5</v>
      </c>
      <c r="F21" s="172">
        <f t="shared" si="2"/>
        <v>1.4007005812989481E-6</v>
      </c>
      <c r="G21" s="105">
        <f>'Output - Jobs vs Yr (BAU)'!X13/'Output - Jobs vs Yr (BAU)'!X24</f>
        <v>3.7099483324503617E-7</v>
      </c>
      <c r="H21" s="105">
        <f t="shared" si="1"/>
        <v>8.0110767758991216E-6</v>
      </c>
      <c r="I21" s="172">
        <f t="shared" si="3"/>
        <v>1.750875726623685E-6</v>
      </c>
      <c r="J21" s="105">
        <f>'Output - Jobs vs Yr (BAU)'!AH13/'Output - Jobs vs Yr (BAU)'!AH24</f>
        <v>3.4954484734271286E-7</v>
      </c>
      <c r="K21" s="105">
        <f t="shared" si="4"/>
        <v>5.3737687975639506E-6</v>
      </c>
      <c r="L21" s="105"/>
      <c r="N21" s="160"/>
    </row>
    <row r="22" spans="2:17" ht="15" thickBot="1">
      <c r="B22" s="4" t="s">
        <v>357</v>
      </c>
      <c r="C22" s="195">
        <f t="shared" si="5"/>
        <v>5.8362524220789512E-7</v>
      </c>
      <c r="D22" s="126">
        <f>'Output - Jobs vs Yr (BAU)'!N14/'Output -Jobs vs Yr'!$N$14</f>
        <v>2.0776903947152286E-7</v>
      </c>
      <c r="E22" s="105">
        <f t="shared" si="0"/>
        <v>5.836252422078951E-6</v>
      </c>
      <c r="F22" s="172">
        <f t="shared" si="2"/>
        <v>7.0035029064947404E-7</v>
      </c>
      <c r="G22" s="105">
        <f>'Output - Jobs vs Yr (BAU)'!X14/'Output - Jobs vs Yr (BAU)'!X24</f>
        <v>1.8549741662251809E-7</v>
      </c>
      <c r="H22" s="105">
        <f t="shared" si="1"/>
        <v>4.0055383879495608E-6</v>
      </c>
      <c r="I22" s="172">
        <f t="shared" si="3"/>
        <v>8.7543786331184252E-7</v>
      </c>
      <c r="J22" s="105">
        <f>'Output - Jobs vs Yr (BAU)'!AH14/'Output - Jobs vs Yr (BAU)'!AH24</f>
        <v>1.7477242367135643E-7</v>
      </c>
      <c r="K22" s="105">
        <f t="shared" si="4"/>
        <v>2.6868843987819753E-6</v>
      </c>
      <c r="L22" s="105"/>
      <c r="O22" t="s">
        <v>0</v>
      </c>
    </row>
    <row r="23" spans="2:17" ht="15" thickBot="1">
      <c r="B23" t="s">
        <v>358</v>
      </c>
      <c r="C23" s="195">
        <f t="shared" si="5"/>
        <v>5.2370140373915103E-2</v>
      </c>
      <c r="D23" s="126">
        <f>'Output - Jobs vs Yr (BAU)'!N16/'Output -Jobs vs Yr'!$N$14</f>
        <v>1.8643631178997633E-2</v>
      </c>
      <c r="E23" s="105">
        <f t="shared" si="0"/>
        <v>0.52370140373915097</v>
      </c>
      <c r="F23" s="172">
        <f t="shared" si="2"/>
        <v>6.2844168448698112E-2</v>
      </c>
      <c r="G23" s="105">
        <f>'Output - Jobs vs Yr (BAU)'!X16/'Output - Jobs vs Yr (BAU)'!X24</f>
        <v>1.6747125996842499E-2</v>
      </c>
      <c r="H23" s="105">
        <f t="shared" si="1"/>
        <v>0.36162905818084312</v>
      </c>
      <c r="I23" s="172">
        <f t="shared" si="3"/>
        <v>7.855521056087264E-2</v>
      </c>
      <c r="J23" s="105">
        <f>'Output - Jobs vs Yr (BAU)'!AH16/'Output - Jobs vs Yr (BAU)'!AH24</f>
        <v>1.9681809048325418E-2</v>
      </c>
      <c r="K23" s="105">
        <f t="shared" si="4"/>
        <v>0.30258060488531446</v>
      </c>
      <c r="L23" s="105"/>
      <c r="M23" s="44"/>
      <c r="N23" s="197"/>
      <c r="O23" t="s">
        <v>0</v>
      </c>
    </row>
    <row r="24" spans="2:17">
      <c r="B24" s="108" t="s">
        <v>370</v>
      </c>
      <c r="C24" s="137">
        <f t="shared" ref="C24:H24" si="6">SUM(C17:C23)</f>
        <v>0.1</v>
      </c>
      <c r="D24" s="205">
        <f t="shared" si="6"/>
        <v>3.5599734974710494E-2</v>
      </c>
      <c r="E24" s="200">
        <f t="shared" si="6"/>
        <v>1</v>
      </c>
      <c r="F24" s="200">
        <f t="shared" si="6"/>
        <v>0.11999999999999998</v>
      </c>
      <c r="G24" s="200">
        <f t="shared" si="6"/>
        <v>4.6310233146329774E-2</v>
      </c>
      <c r="H24" s="105">
        <f t="shared" si="6"/>
        <v>1</v>
      </c>
      <c r="I24" s="172">
        <f t="shared" si="3"/>
        <v>0.14999999999999997</v>
      </c>
      <c r="J24" s="105">
        <f>SUM(J17:J23)</f>
        <v>6.5046499116443071E-2</v>
      </c>
      <c r="K24" s="105">
        <f t="shared" si="4"/>
        <v>1</v>
      </c>
      <c r="L24" s="105"/>
      <c r="M24" s="44"/>
      <c r="N24" s="44"/>
      <c r="O24" t="s">
        <v>0</v>
      </c>
    </row>
    <row r="25" spans="2:17">
      <c r="B25" s="108"/>
      <c r="C25" s="137" t="str">
        <f>IF(ROUND(C24,3)=ROUND(C11,3),"Great, "&amp;ROUND(C24,3)*100&amp;"% agrees with 2020 RPS % entered above","Please re-adust RPS portfolio to total "&amp;ROUND(C11,3)*100&amp;"% or change 2020 RPS % entered above")</f>
        <v>Great, 10%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373</v>
      </c>
      <c r="C27" s="107"/>
      <c r="D27" s="200" t="s">
        <v>342</v>
      </c>
      <c r="E27" s="107"/>
      <c r="F27" s="98"/>
      <c r="G27" s="134" t="s">
        <v>0</v>
      </c>
      <c r="H27" s="135" t="s">
        <v>0</v>
      </c>
      <c r="I27" s="135"/>
      <c r="J27" s="135"/>
      <c r="K27" s="135"/>
      <c r="L27" s="135"/>
      <c r="M27"/>
    </row>
    <row r="28" spans="2:17" ht="15" thickBot="1">
      <c r="B28" t="s">
        <v>371</v>
      </c>
      <c r="C28" s="208">
        <f>D28</f>
        <v>1.4402652876017134E-2</v>
      </c>
      <c r="D28" s="105">
        <f>('Output - Jobs vs Yr (BAU)'!N8+'Output - Jobs vs Yr (BAU)'!N7)/'Output -Jobs vs Yr'!N14</f>
        <v>1.4402652876017134E-2</v>
      </c>
      <c r="E28" s="136" t="s">
        <v>0</v>
      </c>
      <c r="F28" s="98"/>
      <c r="G28" s="98" t="s">
        <v>0</v>
      </c>
      <c r="H28" s="135" t="s">
        <v>0</v>
      </c>
      <c r="I28" s="135"/>
      <c r="J28" s="135"/>
      <c r="K28" s="135"/>
      <c r="L28" s="135"/>
      <c r="M28"/>
    </row>
    <row r="29" spans="2:17" ht="15" thickBot="1">
      <c r="B29" t="s">
        <v>372</v>
      </c>
      <c r="C29" s="278">
        <f>D29</f>
        <v>1.3003346769872427E-2</v>
      </c>
      <c r="D29" s="105">
        <f>('Output - Jobs vs Yr (BAU)'!X8+'Output - Jobs vs Yr (BAU)'!X7)/'Output -Jobs vs Yr'!X14</f>
        <v>1.3003346769872427E-2</v>
      </c>
      <c r="E29" s="107"/>
      <c r="F29" s="98"/>
      <c r="G29" s="96"/>
      <c r="H29"/>
      <c r="I29"/>
      <c r="J29"/>
      <c r="K29"/>
      <c r="L29"/>
    </row>
    <row r="30" spans="2:17" ht="15" thickBot="1">
      <c r="B30" t="s">
        <v>580</v>
      </c>
      <c r="C30" s="210">
        <f>D30</f>
        <v>1.2347685997850874E-2</v>
      </c>
      <c r="D30" s="105">
        <f>('Output - Jobs vs Yr (BAU)'!AH8+'Output - Jobs vs Yr (BAU)'!AH7)/'Output -Jobs vs Yr'!AH14</f>
        <v>1.2347685997850874E-2</v>
      </c>
      <c r="E30" s="107"/>
      <c r="F30" s="98"/>
      <c r="G30" s="96"/>
      <c r="H30"/>
      <c r="I30"/>
      <c r="J30"/>
      <c r="K30"/>
      <c r="L30"/>
    </row>
    <row r="31" spans="2:17">
      <c r="B31" t="s">
        <v>581</v>
      </c>
      <c r="C31" s="246"/>
      <c r="D31" s="105"/>
      <c r="E31" s="107"/>
      <c r="F31" s="98"/>
      <c r="G31" s="96"/>
      <c r="H31"/>
      <c r="I31"/>
      <c r="J31"/>
      <c r="K31"/>
      <c r="L31"/>
    </row>
    <row r="32" spans="2:17">
      <c r="B32" s="108"/>
      <c r="C32" s="107" t="s">
        <v>0</v>
      </c>
      <c r="D32" s="107"/>
      <c r="E32" s="107"/>
      <c r="F32" s="98"/>
      <c r="G32" s="96"/>
      <c r="H32"/>
      <c r="I32"/>
      <c r="J32"/>
      <c r="K32"/>
      <c r="L32"/>
    </row>
    <row r="33" spans="1:18" ht="15" thickBot="1">
      <c r="B33" s="108" t="s">
        <v>374</v>
      </c>
      <c r="C33" s="107"/>
      <c r="D33" s="200" t="s">
        <v>342</v>
      </c>
      <c r="E33" s="200" t="s">
        <v>537</v>
      </c>
      <c r="F33" s="201" t="s">
        <v>359</v>
      </c>
      <c r="G33" s="202" t="s">
        <v>342</v>
      </c>
      <c r="H33" s="201" t="s">
        <v>707</v>
      </c>
      <c r="I33" s="202" t="s">
        <v>342</v>
      </c>
      <c r="J33" s="163"/>
      <c r="K33" s="163"/>
      <c r="L33" s="163"/>
      <c r="M33" s="7" t="s">
        <v>0</v>
      </c>
    </row>
    <row r="34" spans="1:18" ht="15" thickBot="1">
      <c r="B34" s="4" t="s">
        <v>367</v>
      </c>
      <c r="C34" s="209">
        <f>D34</f>
        <v>0</v>
      </c>
      <c r="D34" s="105">
        <v>0</v>
      </c>
      <c r="E34" s="203">
        <f>'Output -Jobs vs Yr'!N30/'Output -Jobs vs Yr'!N49</f>
        <v>0</v>
      </c>
      <c r="F34" s="200">
        <f>C34*$C$29/$C$28</f>
        <v>0</v>
      </c>
      <c r="G34" s="204">
        <v>0</v>
      </c>
      <c r="H34" s="200">
        <f>F34*$C$30/$C$29</f>
        <v>0</v>
      </c>
      <c r="I34" s="204">
        <v>0</v>
      </c>
      <c r="J34" s="138"/>
      <c r="K34" s="138"/>
      <c r="L34" s="138"/>
    </row>
    <row r="35" spans="1:18" ht="15" thickBot="1">
      <c r="B35" s="4" t="s">
        <v>49</v>
      </c>
      <c r="C35" s="209">
        <f>D35</f>
        <v>1.4402652876017134E-2</v>
      </c>
      <c r="D35" s="105">
        <f>'Output - Jobs vs Yr (BAU)'!N7/'Output -Jobs vs Yr'!N14</f>
        <v>1.4402652876017134E-2</v>
      </c>
      <c r="E35" s="203">
        <f>C35</f>
        <v>1.4402652876017134E-2</v>
      </c>
      <c r="F35" s="200">
        <f>C35*$C$29/$C$28</f>
        <v>1.3003346769872427E-2</v>
      </c>
      <c r="G35" s="204">
        <f>'Output - Jobs vs Yr (BAU)'!X7/'Output - Jobs vs Yr (BAU)'!X24</f>
        <v>1.3003339533610728E-2</v>
      </c>
      <c r="H35" s="200">
        <f>F35*$C$30/$C$29</f>
        <v>1.2347685997850874E-2</v>
      </c>
      <c r="I35" s="204">
        <f>'Output - Jobs vs Yr (BAU)'!AH7/'Output - Jobs vs Yr (BAU)'!AH24</f>
        <v>1.2347679523745846E-2</v>
      </c>
      <c r="J35"/>
      <c r="K35"/>
      <c r="L35"/>
    </row>
    <row r="36" spans="1:18" ht="15" thickBot="1">
      <c r="B36" s="4" t="s">
        <v>365</v>
      </c>
      <c r="C36" s="209">
        <f>D36</f>
        <v>0</v>
      </c>
      <c r="D36" s="105">
        <f>'Output - Jobs vs Yr (BAU)'!N8/'Output -Jobs vs Yr'!N14</f>
        <v>0</v>
      </c>
      <c r="E36" s="203">
        <f>C36</f>
        <v>0</v>
      </c>
      <c r="F36" s="200">
        <f>C36*$C$29/$C$28</f>
        <v>0</v>
      </c>
      <c r="G36" s="204">
        <f>'Output - Jobs vs Yr (BAU)'!X8/'Output - Jobs vs Yr (BAU)'!X24</f>
        <v>0</v>
      </c>
      <c r="H36" s="200">
        <f>F36*$C$30/$C$29</f>
        <v>0</v>
      </c>
      <c r="I36" s="204">
        <f>'Output - Jobs vs Yr (BAU)'!AH8/'Output - Jobs vs Yr (BAU)'!AH24</f>
        <v>0</v>
      </c>
      <c r="J36"/>
      <c r="K36"/>
      <c r="L36"/>
    </row>
    <row r="37" spans="1:18">
      <c r="B37" s="4" t="s">
        <v>369</v>
      </c>
      <c r="C37" s="138">
        <f>SUM(C35:C36)+'Output -Jobs vs Yr'!N30/'Output -Jobs vs Yr'!N49</f>
        <v>1.4402652876017134E-2</v>
      </c>
      <c r="D37" s="105">
        <f>SUM(D34:D36)</f>
        <v>1.4402652876017134E-2</v>
      </c>
      <c r="E37" s="203">
        <f>SUM(E34:E36)</f>
        <v>1.4402652876017134E-2</v>
      </c>
      <c r="F37" s="203">
        <f>SUM(F34:F36)</f>
        <v>1.3003346769872427E-2</v>
      </c>
      <c r="G37" s="203">
        <f>SUM(G34:G36)</f>
        <v>1.3003339533610728E-2</v>
      </c>
      <c r="H37" s="200">
        <f>C37*$C$30/$C$28</f>
        <v>1.2347685997850874E-2</v>
      </c>
      <c r="I37" s="203">
        <f>SUM(I34:I36)</f>
        <v>1.2347679523745846E-2</v>
      </c>
      <c r="J37" s="138"/>
      <c r="K37" s="138"/>
      <c r="L37" s="138"/>
    </row>
    <row r="38" spans="1:18">
      <c r="B38" s="4"/>
      <c r="C38" s="137" t="str">
        <f>IF(ROUND(C37,3)=ROUND(C28,3), "Great, " &amp; ROUND(C37,3)*100 &amp; "% agrees with 2020 Low Carbon % entered above", "Please re-adust Low Carbon portfolio to " &amp; ROUND(C28,3)*100 &amp; "% or change 2020 Low Carbon % above" )</f>
        <v>Great, 1,4%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376</v>
      </c>
      <c r="C40" s="105">
        <f>C24</f>
        <v>0.1</v>
      </c>
      <c r="D40" s="105" t="s">
        <v>0</v>
      </c>
      <c r="E40" s="105" t="s">
        <v>0</v>
      </c>
      <c r="F40" s="105" t="s">
        <v>0</v>
      </c>
      <c r="G40" s="103" t="s">
        <v>0</v>
      </c>
      <c r="H40"/>
      <c r="I40"/>
      <c r="J40"/>
      <c r="K40"/>
      <c r="L40"/>
    </row>
    <row r="41" spans="1:18">
      <c r="B41" s="4" t="s">
        <v>375</v>
      </c>
      <c r="C41" s="105">
        <f>C24+C37</f>
        <v>0.11440265287601714</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523</v>
      </c>
      <c r="F44" s="28"/>
      <c r="G44" s="1"/>
      <c r="H44" s="49">
        <v>9</v>
      </c>
      <c r="I44" s="277"/>
      <c r="J44" s="277"/>
      <c r="K44" s="277"/>
      <c r="L44"/>
      <c r="M44" s="12">
        <f t="shared" ref="M44:M61" si="7">C44+H44*C44</f>
        <v>0.37999999999999995</v>
      </c>
      <c r="N44" s="28" t="s">
        <v>523</v>
      </c>
    </row>
    <row r="45" spans="1:18" ht="15.75" hidden="1" customHeight="1" thickBot="1">
      <c r="B45" s="4" t="s">
        <v>210</v>
      </c>
      <c r="C45" s="41" t="e">
        <f>0.1*#REF!</f>
        <v>#REF!</v>
      </c>
      <c r="D45" s="4"/>
      <c r="E45" s="28" t="s">
        <v>206</v>
      </c>
      <c r="F45" s="28"/>
      <c r="G45" s="110"/>
      <c r="H45" s="49">
        <v>9</v>
      </c>
      <c r="I45" s="277"/>
      <c r="J45" s="277"/>
      <c r="K45" s="277"/>
      <c r="L45"/>
      <c r="M45" s="12" t="e">
        <f t="shared" si="7"/>
        <v>#REF!</v>
      </c>
      <c r="N45" s="28" t="s">
        <v>523</v>
      </c>
    </row>
    <row r="46" spans="1:18" s="1" customFormat="1" ht="15" thickBot="1">
      <c r="A46"/>
      <c r="B46" s="4" t="s">
        <v>121</v>
      </c>
      <c r="C46" s="84">
        <v>0.21</v>
      </c>
      <c r="D46" s="4" t="s">
        <v>0</v>
      </c>
      <c r="E46" s="28" t="s">
        <v>524</v>
      </c>
      <c r="F46" s="28"/>
      <c r="H46" s="49">
        <v>0.9</v>
      </c>
      <c r="I46" s="277"/>
      <c r="J46" s="277"/>
      <c r="K46" s="277"/>
      <c r="L46"/>
      <c r="M46" s="12">
        <f t="shared" si="7"/>
        <v>0.39900000000000002</v>
      </c>
      <c r="N46" s="28" t="s">
        <v>524</v>
      </c>
      <c r="O46"/>
      <c r="P46"/>
      <c r="Q46"/>
      <c r="R46"/>
    </row>
    <row r="47" spans="1:18" s="1" customFormat="1" ht="15" thickBot="1">
      <c r="A47"/>
      <c r="B47" s="4" t="s">
        <v>118</v>
      </c>
      <c r="C47" s="42">
        <v>0.18</v>
      </c>
      <c r="D47" s="4"/>
      <c r="E47" s="28" t="s">
        <v>524</v>
      </c>
      <c r="F47" s="28"/>
      <c r="H47" s="49">
        <v>0.9</v>
      </c>
      <c r="I47" s="277"/>
      <c r="J47" s="277"/>
      <c r="K47" s="277"/>
      <c r="L47"/>
      <c r="M47" s="12">
        <f t="shared" si="7"/>
        <v>0.34199999999999997</v>
      </c>
      <c r="N47" s="28" t="s">
        <v>524</v>
      </c>
      <c r="O47"/>
      <c r="P47"/>
      <c r="Q47"/>
    </row>
    <row r="48" spans="1:18" ht="15" thickBot="1">
      <c r="B48" s="4" t="s">
        <v>49</v>
      </c>
      <c r="C48" s="42">
        <v>0.15</v>
      </c>
      <c r="D48" s="4"/>
      <c r="E48" s="28" t="s">
        <v>524</v>
      </c>
      <c r="F48" s="28"/>
      <c r="G48" s="1"/>
      <c r="H48" s="49">
        <v>0.9</v>
      </c>
      <c r="I48" s="277"/>
      <c r="J48" s="277"/>
      <c r="K48" s="277"/>
      <c r="L48"/>
      <c r="M48" s="12">
        <f t="shared" si="7"/>
        <v>0.28500000000000003</v>
      </c>
      <c r="N48" s="28" t="s">
        <v>524</v>
      </c>
    </row>
    <row r="49" spans="1:17" s="1" customFormat="1" ht="15" thickBot="1">
      <c r="A49"/>
      <c r="B49" s="4" t="s">
        <v>50</v>
      </c>
      <c r="C49" s="42">
        <v>0.25</v>
      </c>
      <c r="D49" s="4" t="s">
        <v>0</v>
      </c>
      <c r="E49" s="28" t="s">
        <v>524</v>
      </c>
      <c r="F49" s="28"/>
      <c r="H49" s="49">
        <v>0.9</v>
      </c>
      <c r="I49" s="277"/>
      <c r="J49" s="277"/>
      <c r="K49" s="277"/>
      <c r="L49"/>
      <c r="M49" s="12">
        <f t="shared" si="7"/>
        <v>0.47499999999999998</v>
      </c>
      <c r="N49" s="28" t="s">
        <v>524</v>
      </c>
      <c r="O49" t="s">
        <v>0</v>
      </c>
      <c r="P49"/>
      <c r="Q49"/>
    </row>
    <row r="50" spans="1:17" s="1" customFormat="1" ht="15.75" hidden="1" customHeight="1" thickBot="1">
      <c r="A50"/>
      <c r="B50" s="4" t="s">
        <v>119</v>
      </c>
      <c r="C50" s="42">
        <v>0.11</v>
      </c>
      <c r="D50" s="4"/>
      <c r="E50" s="28" t="s">
        <v>524</v>
      </c>
      <c r="F50" s="28"/>
      <c r="G50" s="110"/>
      <c r="H50" s="49">
        <v>0.8</v>
      </c>
      <c r="I50" s="277"/>
      <c r="J50" s="277"/>
      <c r="K50" s="277"/>
      <c r="L50"/>
      <c r="M50" s="12">
        <f t="shared" si="7"/>
        <v>0.19800000000000001</v>
      </c>
      <c r="N50" s="28" t="s">
        <v>524</v>
      </c>
      <c r="O50" t="s">
        <v>0</v>
      </c>
      <c r="P50"/>
      <c r="Q50"/>
    </row>
    <row r="51" spans="1:17" s="1" customFormat="1" ht="15" thickBot="1">
      <c r="A51"/>
      <c r="B51" s="4" t="s">
        <v>343</v>
      </c>
      <c r="C51" s="42">
        <v>0.27</v>
      </c>
      <c r="D51" s="4"/>
      <c r="E51" s="28" t="s">
        <v>524</v>
      </c>
      <c r="F51" s="28"/>
      <c r="G51" s="110"/>
      <c r="H51" s="49">
        <v>0.9</v>
      </c>
      <c r="I51" s="277"/>
      <c r="J51" s="277"/>
      <c r="K51" s="277"/>
      <c r="L51"/>
      <c r="M51" s="12">
        <f t="shared" si="7"/>
        <v>0.51300000000000001</v>
      </c>
      <c r="N51" s="28" t="s">
        <v>524</v>
      </c>
      <c r="O51" t="s">
        <v>0</v>
      </c>
      <c r="P51"/>
      <c r="Q51"/>
    </row>
    <row r="52" spans="1:17" s="1" customFormat="1" ht="15" thickBot="1">
      <c r="A52"/>
      <c r="B52" s="4" t="s">
        <v>51</v>
      </c>
      <c r="C52" s="42">
        <v>0.15</v>
      </c>
      <c r="D52" s="4"/>
      <c r="E52" s="28" t="s">
        <v>524</v>
      </c>
      <c r="F52" s="28"/>
      <c r="G52" s="110"/>
      <c r="H52" s="49">
        <v>0.9</v>
      </c>
      <c r="I52" s="277"/>
      <c r="J52" s="277"/>
      <c r="K52" s="277"/>
      <c r="L52"/>
      <c r="M52" s="12">
        <f t="shared" si="7"/>
        <v>0.28500000000000003</v>
      </c>
      <c r="N52" s="28" t="s">
        <v>524</v>
      </c>
      <c r="O52" t="s">
        <v>0</v>
      </c>
      <c r="P52"/>
      <c r="Q52"/>
    </row>
    <row r="53" spans="1:17" ht="15" thickBot="1">
      <c r="B53" s="4" t="s">
        <v>59</v>
      </c>
      <c r="C53" s="42">
        <v>0.14000000000000001</v>
      </c>
      <c r="D53" s="4"/>
      <c r="E53" s="28" t="s">
        <v>524</v>
      </c>
      <c r="F53" s="28"/>
      <c r="G53" s="110"/>
      <c r="H53" s="49">
        <v>0.9</v>
      </c>
      <c r="I53" s="277"/>
      <c r="J53" s="277"/>
      <c r="K53" s="277"/>
      <c r="L53"/>
      <c r="M53" s="161">
        <f t="shared" si="7"/>
        <v>0.26600000000000001</v>
      </c>
      <c r="N53" s="28" t="s">
        <v>524</v>
      </c>
    </row>
    <row r="54" spans="1:17" ht="15" thickBot="1">
      <c r="B54" s="4" t="s">
        <v>347</v>
      </c>
      <c r="C54" s="84">
        <v>0.79</v>
      </c>
      <c r="D54" s="4" t="s">
        <v>0</v>
      </c>
      <c r="E54" s="28" t="s">
        <v>524</v>
      </c>
      <c r="F54" s="28"/>
      <c r="G54" s="110"/>
      <c r="H54" s="49">
        <v>0.9</v>
      </c>
      <c r="I54" s="277"/>
      <c r="J54" s="277"/>
      <c r="K54" s="277"/>
      <c r="L54"/>
      <c r="M54" s="12">
        <f t="shared" si="7"/>
        <v>1.5010000000000001</v>
      </c>
      <c r="N54" s="28" t="s">
        <v>524</v>
      </c>
    </row>
    <row r="55" spans="1:17" ht="15" thickBot="1">
      <c r="B55" s="4" t="s">
        <v>348</v>
      </c>
      <c r="C55" s="84">
        <v>0.23</v>
      </c>
      <c r="D55" s="4"/>
      <c r="E55" s="28" t="s">
        <v>524</v>
      </c>
      <c r="F55" s="28"/>
      <c r="G55" s="110"/>
      <c r="H55" s="49">
        <v>0.9</v>
      </c>
      <c r="I55" s="277"/>
      <c r="J55" s="277"/>
      <c r="K55" s="277"/>
      <c r="L55"/>
      <c r="M55" s="12">
        <f t="shared" si="7"/>
        <v>0.43700000000000006</v>
      </c>
      <c r="N55" s="28" t="s">
        <v>524</v>
      </c>
    </row>
    <row r="56" spans="1:17" ht="15.75" hidden="1" customHeight="1" thickBot="1">
      <c r="B56" s="4" t="s">
        <v>120</v>
      </c>
      <c r="C56" s="42">
        <v>0.11</v>
      </c>
      <c r="D56" s="4"/>
      <c r="E56" s="28" t="s">
        <v>524</v>
      </c>
      <c r="F56" s="28"/>
      <c r="G56" s="110"/>
      <c r="H56" s="49">
        <v>0.8</v>
      </c>
      <c r="I56" s="277"/>
      <c r="J56" s="277"/>
      <c r="K56" s="277"/>
      <c r="L56"/>
      <c r="M56" s="12">
        <f t="shared" si="7"/>
        <v>0.19800000000000001</v>
      </c>
      <c r="N56" s="28"/>
    </row>
    <row r="57" spans="1:17" ht="15" thickBot="1">
      <c r="B57" s="4" t="s">
        <v>53</v>
      </c>
      <c r="C57" s="84">
        <v>0.17</v>
      </c>
      <c r="D57" s="4" t="s">
        <v>0</v>
      </c>
      <c r="E57" s="28" t="s">
        <v>524</v>
      </c>
      <c r="F57" s="28"/>
      <c r="G57" s="110"/>
      <c r="H57" s="49">
        <v>0.9</v>
      </c>
      <c r="I57" s="277"/>
      <c r="J57" s="277"/>
      <c r="K57" s="277"/>
      <c r="L57"/>
      <c r="M57" s="12">
        <f t="shared" si="7"/>
        <v>0.32300000000000006</v>
      </c>
      <c r="N57" s="28" t="s">
        <v>524</v>
      </c>
    </row>
    <row r="58" spans="1:17" ht="15.75" hidden="1" customHeight="1" thickBot="1">
      <c r="B58" s="4" t="s">
        <v>191</v>
      </c>
      <c r="C58" s="41" t="e">
        <f xml:space="preserve"> 0.693 *#REF!</f>
        <v>#REF!</v>
      </c>
      <c r="D58" s="4"/>
      <c r="E58" s="28" t="s">
        <v>206</v>
      </c>
      <c r="F58" s="28"/>
      <c r="G58" s="110"/>
      <c r="H58" s="49">
        <v>0.8</v>
      </c>
      <c r="I58" s="277"/>
      <c r="J58" s="277"/>
      <c r="K58" s="277"/>
      <c r="L58"/>
      <c r="M58" s="12" t="e">
        <f t="shared" si="7"/>
        <v>#REF!</v>
      </c>
      <c r="N58" s="28" t="s">
        <v>524</v>
      </c>
    </row>
    <row r="59" spans="1:17" ht="15.75" hidden="1" customHeight="1" thickBot="1">
      <c r="B59" s="4" t="s">
        <v>246</v>
      </c>
      <c r="C59" s="49" t="e">
        <f xml:space="preserve"> (1/6) *#REF!</f>
        <v>#REF!</v>
      </c>
      <c r="D59" s="4"/>
      <c r="E59" s="28" t="s">
        <v>247</v>
      </c>
      <c r="F59" s="28"/>
      <c r="G59" s="110"/>
      <c r="H59" s="49">
        <v>0.8</v>
      </c>
      <c r="I59" s="277"/>
      <c r="J59" s="277"/>
      <c r="K59" s="277"/>
      <c r="L59"/>
      <c r="M59" s="12" t="e">
        <f t="shared" si="7"/>
        <v>#REF!</v>
      </c>
      <c r="N59" s="28" t="s">
        <v>206</v>
      </c>
    </row>
    <row r="60" spans="1:17" ht="15" thickBot="1">
      <c r="B60" s="4" t="s">
        <v>68</v>
      </c>
      <c r="C60" s="42">
        <v>0.11</v>
      </c>
      <c r="D60" s="4"/>
      <c r="E60" s="28" t="s">
        <v>524</v>
      </c>
      <c r="F60" s="28"/>
      <c r="G60" s="110"/>
      <c r="H60" s="49">
        <v>0.9</v>
      </c>
      <c r="I60" s="277"/>
      <c r="J60" s="277"/>
      <c r="K60" s="277"/>
      <c r="L60"/>
      <c r="M60" s="161">
        <f t="shared" si="7"/>
        <v>0.20900000000000002</v>
      </c>
      <c r="N60" s="28" t="s">
        <v>524</v>
      </c>
    </row>
    <row r="61" spans="1:17" ht="15" thickBot="1">
      <c r="B61" s="4" t="s">
        <v>76</v>
      </c>
      <c r="C61" s="42">
        <v>0.11</v>
      </c>
      <c r="D61" s="4"/>
      <c r="E61" s="28" t="s">
        <v>524</v>
      </c>
      <c r="F61" s="28"/>
      <c r="G61" s="110"/>
      <c r="H61" s="49">
        <v>0.9</v>
      </c>
      <c r="I61" s="277"/>
      <c r="J61" s="277"/>
      <c r="K61" s="277"/>
      <c r="L61"/>
      <c r="M61" s="12">
        <f t="shared" si="7"/>
        <v>0.20900000000000002</v>
      </c>
      <c r="N61" s="28" t="s">
        <v>524</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44"/>
    <col min="6" max="6" width="12.5" style="345"/>
    <col min="7" max="37" width="12.5" style="299"/>
    <col min="38" max="16384" width="12.5" style="5"/>
  </cols>
  <sheetData>
    <row r="1" spans="1:37">
      <c r="A1" s="272" t="s">
        <v>705</v>
      </c>
    </row>
    <row r="2" spans="1:37">
      <c r="A2" s="272" t="s">
        <v>657</v>
      </c>
    </row>
    <row r="3" spans="1:37">
      <c r="A3" s="272" t="s">
        <v>658</v>
      </c>
    </row>
    <row r="5" spans="1:37">
      <c r="A5" s="6" t="s">
        <v>185</v>
      </c>
    </row>
    <row r="6" spans="1:37">
      <c r="A6" s="6" t="s">
        <v>184</v>
      </c>
    </row>
    <row r="9" spans="1:37">
      <c r="AK9" s="300" t="s">
        <v>715</v>
      </c>
    </row>
    <row r="10" spans="1:37">
      <c r="B10" s="346" t="s">
        <v>7</v>
      </c>
      <c r="C10" s="346" t="s">
        <v>8</v>
      </c>
      <c r="D10" s="346" t="s">
        <v>9</v>
      </c>
      <c r="E10" s="346" t="s">
        <v>10</v>
      </c>
      <c r="F10" s="347" t="s">
        <v>11</v>
      </c>
      <c r="G10" s="300" t="s">
        <v>12</v>
      </c>
      <c r="H10" s="300" t="s">
        <v>13</v>
      </c>
      <c r="I10" s="300" t="s">
        <v>14</v>
      </c>
      <c r="J10" s="300" t="s">
        <v>15</v>
      </c>
      <c r="K10" s="300" t="s">
        <v>16</v>
      </c>
      <c r="L10" s="300" t="s">
        <v>17</v>
      </c>
      <c r="M10" s="300" t="s">
        <v>18</v>
      </c>
      <c r="N10" s="300" t="s">
        <v>19</v>
      </c>
      <c r="O10" s="300" t="s">
        <v>20</v>
      </c>
      <c r="P10" s="300" t="s">
        <v>21</v>
      </c>
      <c r="Q10" s="300" t="s">
        <v>22</v>
      </c>
      <c r="R10" s="300" t="s">
        <v>23</v>
      </c>
      <c r="S10" s="300" t="s">
        <v>24</v>
      </c>
      <c r="T10" s="300" t="s">
        <v>25</v>
      </c>
      <c r="U10" s="300" t="s">
        <v>26</v>
      </c>
      <c r="V10" s="300" t="s">
        <v>27</v>
      </c>
      <c r="W10" s="300" t="s">
        <v>28</v>
      </c>
      <c r="X10" s="300" t="s">
        <v>29</v>
      </c>
      <c r="Y10" s="300" t="s">
        <v>30</v>
      </c>
      <c r="Z10" s="300" t="s">
        <v>31</v>
      </c>
      <c r="AA10" s="300" t="s">
        <v>582</v>
      </c>
      <c r="AB10" s="300" t="s">
        <v>583</v>
      </c>
      <c r="AC10" s="300" t="s">
        <v>584</v>
      </c>
      <c r="AD10" s="300" t="s">
        <v>585</v>
      </c>
      <c r="AE10" s="300" t="s">
        <v>586</v>
      </c>
      <c r="AF10" s="300" t="s">
        <v>587</v>
      </c>
      <c r="AG10" s="300" t="s">
        <v>588</v>
      </c>
      <c r="AH10" s="300" t="s">
        <v>589</v>
      </c>
      <c r="AI10" s="300" t="s">
        <v>590</v>
      </c>
      <c r="AJ10" s="300" t="s">
        <v>591</v>
      </c>
      <c r="AK10" s="300">
        <v>2040</v>
      </c>
    </row>
    <row r="13" spans="1:37">
      <c r="A13" s="6" t="s">
        <v>183</v>
      </c>
    </row>
    <row r="14" spans="1:37">
      <c r="A14" s="6" t="s">
        <v>182</v>
      </c>
      <c r="B14" s="348">
        <v>5.1020002365112296</v>
      </c>
      <c r="C14" s="348">
        <v>5.0669999122619602</v>
      </c>
      <c r="D14" s="348">
        <v>4.9539995193481401</v>
      </c>
      <c r="E14" s="348">
        <v>5.3799490928649902</v>
      </c>
      <c r="F14" s="349">
        <v>5.6095256805419904</v>
      </c>
      <c r="G14" s="293">
        <v>5.6580000000000004</v>
      </c>
      <c r="H14" s="293">
        <v>6.4939989999999996</v>
      </c>
      <c r="I14" s="293">
        <v>7.7220000000000004</v>
      </c>
      <c r="J14" s="293">
        <v>8.5288000000000004</v>
      </c>
      <c r="K14" s="293">
        <v>9.0378019999999992</v>
      </c>
      <c r="L14" s="293">
        <v>9.5417810000000003</v>
      </c>
      <c r="M14" s="293">
        <v>9.5568039999999996</v>
      </c>
      <c r="N14" s="293">
        <v>9.5754859999999997</v>
      </c>
      <c r="O14" s="293">
        <v>9.6082459999999994</v>
      </c>
      <c r="P14" s="293">
        <v>9.5525409999999997</v>
      </c>
      <c r="Q14" s="293">
        <v>9.4165030000000005</v>
      </c>
      <c r="R14" s="293">
        <v>9.2888249999999992</v>
      </c>
      <c r="S14" s="293">
        <v>9.1907350000000001</v>
      </c>
      <c r="T14" s="293">
        <v>9.0728480000000005</v>
      </c>
      <c r="U14" s="293">
        <v>9.0041829999999994</v>
      </c>
      <c r="V14" s="293">
        <v>8.8329439999999995</v>
      </c>
      <c r="W14" s="293">
        <v>8.6696600000000004</v>
      </c>
      <c r="X14" s="293">
        <v>8.5159219999999998</v>
      </c>
      <c r="Y14" s="293">
        <v>8.3804160000000003</v>
      </c>
      <c r="Z14" s="293">
        <v>8.3047140000000006</v>
      </c>
      <c r="AA14" s="293">
        <v>8.1595440000000004</v>
      </c>
      <c r="AB14" s="293">
        <v>8.0727349999999998</v>
      </c>
      <c r="AC14" s="293">
        <v>8.0446790000000004</v>
      </c>
      <c r="AD14" s="293">
        <v>7.984591</v>
      </c>
      <c r="AE14" s="293">
        <v>7.8722690000000002</v>
      </c>
      <c r="AF14" s="293">
        <v>7.7546290000000004</v>
      </c>
      <c r="AG14" s="293">
        <v>7.6994870000000004</v>
      </c>
      <c r="AH14" s="293">
        <v>7.5588430000000004</v>
      </c>
      <c r="AI14" s="293">
        <v>7.5302829999999998</v>
      </c>
      <c r="AJ14" s="293">
        <v>7.4801669999999998</v>
      </c>
      <c r="AK14" s="294">
        <v>5.0000000000000001E-3</v>
      </c>
    </row>
    <row r="15" spans="1:37">
      <c r="A15" s="6" t="s">
        <v>181</v>
      </c>
      <c r="B15" s="348">
        <v>0.74099999666214</v>
      </c>
      <c r="C15" s="348">
        <v>0.71899998188018799</v>
      </c>
      <c r="D15" s="348">
        <v>0.68000000715255704</v>
      </c>
      <c r="E15" s="348">
        <v>0.73478877544403098</v>
      </c>
      <c r="F15" s="349">
        <v>0.68565064668655396</v>
      </c>
      <c r="G15" s="293">
        <v>0.57199999999999995</v>
      </c>
      <c r="H15" s="293">
        <v>0.53</v>
      </c>
      <c r="I15" s="293">
        <v>0.51</v>
      </c>
      <c r="J15" s="293">
        <v>0.4738</v>
      </c>
      <c r="K15" s="293">
        <v>0.462835</v>
      </c>
      <c r="L15" s="293">
        <v>0.46215800000000001</v>
      </c>
      <c r="M15" s="293">
        <v>0.46993800000000002</v>
      </c>
      <c r="N15" s="293">
        <v>0.47195500000000001</v>
      </c>
      <c r="O15" s="293">
        <v>0.45399899999999999</v>
      </c>
      <c r="P15" s="293">
        <v>0.43714199999999998</v>
      </c>
      <c r="Q15" s="293">
        <v>0.41283700000000001</v>
      </c>
      <c r="R15" s="293">
        <v>0.388714</v>
      </c>
      <c r="S15" s="293">
        <v>0.36631000000000002</v>
      </c>
      <c r="T15" s="293">
        <v>0.34568500000000002</v>
      </c>
      <c r="U15" s="293">
        <v>0.32666899999999999</v>
      </c>
      <c r="V15" s="293">
        <v>0.30766500000000002</v>
      </c>
      <c r="W15" s="293">
        <v>0.28877399999999998</v>
      </c>
      <c r="X15" s="293">
        <v>0.27134900000000001</v>
      </c>
      <c r="Y15" s="293">
        <v>0.25525500000000001</v>
      </c>
      <c r="Z15" s="293">
        <v>0.240371</v>
      </c>
      <c r="AA15" s="293">
        <v>0.22658700000000001</v>
      </c>
      <c r="AB15" s="293">
        <v>0.273065</v>
      </c>
      <c r="AC15" s="293">
        <v>0.34021099999999999</v>
      </c>
      <c r="AD15" s="293">
        <v>0.38843800000000001</v>
      </c>
      <c r="AE15" s="293">
        <v>0.378168</v>
      </c>
      <c r="AF15" s="293">
        <v>0.36859700000000001</v>
      </c>
      <c r="AG15" s="293">
        <v>0.35966500000000001</v>
      </c>
      <c r="AH15" s="293">
        <v>0.321691</v>
      </c>
      <c r="AI15" s="293">
        <v>0.28870200000000001</v>
      </c>
      <c r="AJ15" s="293">
        <v>0.25998700000000002</v>
      </c>
      <c r="AK15" s="294">
        <v>-2.5000000000000001E-2</v>
      </c>
    </row>
    <row r="16" spans="1:37">
      <c r="A16" s="6" t="s">
        <v>180</v>
      </c>
      <c r="B16" s="348">
        <v>4.3610000610351598</v>
      </c>
      <c r="C16" s="348">
        <v>4.34800004959106</v>
      </c>
      <c r="D16" s="348">
        <v>4.2739996910095197</v>
      </c>
      <c r="E16" s="348">
        <v>4.6451601982116699</v>
      </c>
      <c r="F16" s="349">
        <v>4.9238753318786603</v>
      </c>
      <c r="G16" s="293">
        <v>5.0860000000000003</v>
      </c>
      <c r="H16" s="293">
        <v>5.9640000000000004</v>
      </c>
      <c r="I16" s="293">
        <v>7.2119999999999997</v>
      </c>
      <c r="J16" s="293">
        <v>8.0549999999999997</v>
      </c>
      <c r="K16" s="293">
        <v>8.5749659999999999</v>
      </c>
      <c r="L16" s="293">
        <v>9.0796240000000008</v>
      </c>
      <c r="M16" s="293">
        <v>9.0868660000000006</v>
      </c>
      <c r="N16" s="293">
        <v>9.1035310000000003</v>
      </c>
      <c r="O16" s="293">
        <v>9.1542469999999998</v>
      </c>
      <c r="P16" s="293">
        <v>9.1153980000000008</v>
      </c>
      <c r="Q16" s="293">
        <v>9.0036670000000001</v>
      </c>
      <c r="R16" s="293">
        <v>8.9001110000000008</v>
      </c>
      <c r="S16" s="293">
        <v>8.8244249999999997</v>
      </c>
      <c r="T16" s="293">
        <v>8.7271629999999991</v>
      </c>
      <c r="U16" s="293">
        <v>8.6775140000000004</v>
      </c>
      <c r="V16" s="293">
        <v>8.5252789999999994</v>
      </c>
      <c r="W16" s="293">
        <v>8.3808860000000003</v>
      </c>
      <c r="X16" s="293">
        <v>8.2445730000000008</v>
      </c>
      <c r="Y16" s="293">
        <v>8.1251610000000003</v>
      </c>
      <c r="Z16" s="293">
        <v>8.0643429999999992</v>
      </c>
      <c r="AA16" s="293">
        <v>7.932957</v>
      </c>
      <c r="AB16" s="293">
        <v>7.7996699999999999</v>
      </c>
      <c r="AC16" s="293">
        <v>7.7044680000000003</v>
      </c>
      <c r="AD16" s="293">
        <v>7.5961540000000003</v>
      </c>
      <c r="AE16" s="293">
        <v>7.4941009999999997</v>
      </c>
      <c r="AF16" s="293">
        <v>7.3860330000000003</v>
      </c>
      <c r="AG16" s="293">
        <v>7.3398209999999997</v>
      </c>
      <c r="AH16" s="293">
        <v>7.2371509999999999</v>
      </c>
      <c r="AI16" s="293">
        <v>7.241581</v>
      </c>
      <c r="AJ16" s="293">
        <v>7.2201810000000002</v>
      </c>
      <c r="AK16" s="294">
        <v>7.0000000000000001E-3</v>
      </c>
    </row>
    <row r="17" spans="1:38">
      <c r="A17" s="6" t="s">
        <v>179</v>
      </c>
      <c r="B17" s="348">
        <v>10.093000411987299</v>
      </c>
      <c r="C17" s="348">
        <v>10.003999710083001</v>
      </c>
      <c r="D17" s="348">
        <v>9.7010002136230504</v>
      </c>
      <c r="E17" s="348">
        <v>8.9919996261596697</v>
      </c>
      <c r="F17" s="349">
        <v>8.3191394805908203</v>
      </c>
      <c r="G17" s="293">
        <v>8.8879999999999999</v>
      </c>
      <c r="H17" s="293">
        <v>8.4319989999999994</v>
      </c>
      <c r="I17" s="293">
        <v>7.3609999999999998</v>
      </c>
      <c r="J17" s="293">
        <v>6.452</v>
      </c>
      <c r="K17" s="293">
        <v>6.1656769999999996</v>
      </c>
      <c r="L17" s="293">
        <v>5.7677230000000002</v>
      </c>
      <c r="M17" s="293">
        <v>5.8143669999999998</v>
      </c>
      <c r="N17" s="293">
        <v>5.8087150000000003</v>
      </c>
      <c r="O17" s="293">
        <v>5.7589199999999998</v>
      </c>
      <c r="P17" s="293">
        <v>5.7870730000000004</v>
      </c>
      <c r="Q17" s="293">
        <v>5.8889449999999997</v>
      </c>
      <c r="R17" s="293">
        <v>5.9421790000000003</v>
      </c>
      <c r="S17" s="293">
        <v>5.9748789999999996</v>
      </c>
      <c r="T17" s="293">
        <v>6.0359290000000003</v>
      </c>
      <c r="U17" s="293">
        <v>6.0526869999999997</v>
      </c>
      <c r="V17" s="293">
        <v>6.1879960000000001</v>
      </c>
      <c r="W17" s="293">
        <v>6.3329610000000001</v>
      </c>
      <c r="X17" s="293">
        <v>6.455387</v>
      </c>
      <c r="Y17" s="293">
        <v>6.5668860000000002</v>
      </c>
      <c r="Z17" s="293">
        <v>6.635491</v>
      </c>
      <c r="AA17" s="293">
        <v>6.7795449999999997</v>
      </c>
      <c r="AB17" s="293">
        <v>6.8623289999999999</v>
      </c>
      <c r="AC17" s="293">
        <v>6.8977040000000001</v>
      </c>
      <c r="AD17" s="293">
        <v>6.9983430000000002</v>
      </c>
      <c r="AE17" s="293">
        <v>7.1493440000000001</v>
      </c>
      <c r="AF17" s="293">
        <v>7.303795</v>
      </c>
      <c r="AG17" s="293">
        <v>7.4063970000000001</v>
      </c>
      <c r="AH17" s="293">
        <v>7.6181229999999998</v>
      </c>
      <c r="AI17" s="293">
        <v>7.6624980000000003</v>
      </c>
      <c r="AJ17" s="293">
        <v>7.742801</v>
      </c>
      <c r="AK17" s="294">
        <v>-3.0000000000000001E-3</v>
      </c>
    </row>
    <row r="18" spans="1:38">
      <c r="A18" s="6" t="s">
        <v>178</v>
      </c>
      <c r="B18" s="348">
        <v>10.118000030517599</v>
      </c>
      <c r="C18" s="348">
        <v>10.0310001373291</v>
      </c>
      <c r="D18" s="348">
        <v>9.7280006408691406</v>
      </c>
      <c r="E18" s="348">
        <v>9.0190000534057599</v>
      </c>
      <c r="F18" s="349">
        <v>8.3490304946899396</v>
      </c>
      <c r="G18" s="293">
        <v>8.9350000000000005</v>
      </c>
      <c r="H18" s="293">
        <v>8.4920000000000009</v>
      </c>
      <c r="I18" s="293">
        <v>7.4809999999999999</v>
      </c>
      <c r="J18" s="293">
        <v>6.585</v>
      </c>
      <c r="K18" s="293">
        <v>6.3116139999999996</v>
      </c>
      <c r="L18" s="293">
        <v>5.9214209999999996</v>
      </c>
      <c r="M18" s="293">
        <v>5.9680070000000001</v>
      </c>
      <c r="N18" s="293">
        <v>5.9630130000000001</v>
      </c>
      <c r="O18" s="293">
        <v>5.9123679999999998</v>
      </c>
      <c r="P18" s="293">
        <v>5.9393659999999997</v>
      </c>
      <c r="Q18" s="293">
        <v>6.0361729999999998</v>
      </c>
      <c r="R18" s="293">
        <v>6.0801559999999997</v>
      </c>
      <c r="S18" s="293">
        <v>6.1090929999999997</v>
      </c>
      <c r="T18" s="293">
        <v>6.1684799999999997</v>
      </c>
      <c r="U18" s="293">
        <v>6.1836919999999997</v>
      </c>
      <c r="V18" s="293">
        <v>6.31792</v>
      </c>
      <c r="W18" s="293">
        <v>6.4623739999999996</v>
      </c>
      <c r="X18" s="293">
        <v>6.5838710000000003</v>
      </c>
      <c r="Y18" s="293">
        <v>6.6953279999999999</v>
      </c>
      <c r="Z18" s="293">
        <v>6.7654339999999999</v>
      </c>
      <c r="AA18" s="293">
        <v>6.9090009999999999</v>
      </c>
      <c r="AB18" s="293">
        <v>6.9898129999999998</v>
      </c>
      <c r="AC18" s="293">
        <v>7.0234620000000003</v>
      </c>
      <c r="AD18" s="293">
        <v>7.1230440000000002</v>
      </c>
      <c r="AE18" s="293">
        <v>7.2727890000000004</v>
      </c>
      <c r="AF18" s="293">
        <v>7.4277439999999997</v>
      </c>
      <c r="AG18" s="293">
        <v>7.5305350000000004</v>
      </c>
      <c r="AH18" s="293">
        <v>7.7422449999999996</v>
      </c>
      <c r="AI18" s="293">
        <v>7.7863189999999998</v>
      </c>
      <c r="AJ18" s="293">
        <v>7.866511</v>
      </c>
      <c r="AK18" s="294">
        <v>-3.0000000000000001E-3</v>
      </c>
    </row>
    <row r="19" spans="1:38">
      <c r="A19" s="6" t="s">
        <v>169</v>
      </c>
      <c r="B19" s="348">
        <v>2.5000000372528999E-2</v>
      </c>
      <c r="C19" s="348">
        <v>2.70000007003546E-2</v>
      </c>
      <c r="D19" s="348">
        <v>2.70000007003546E-2</v>
      </c>
      <c r="E19" s="348">
        <v>2.70000007003546E-2</v>
      </c>
      <c r="F19" s="349">
        <v>2.9890902340412102E-2</v>
      </c>
      <c r="G19" s="293">
        <v>4.7E-2</v>
      </c>
      <c r="H19" s="293">
        <v>0.06</v>
      </c>
      <c r="I19" s="293">
        <v>0.12</v>
      </c>
      <c r="J19" s="293">
        <v>0.13300000000000001</v>
      </c>
      <c r="K19" s="293">
        <v>0.14593700000000001</v>
      </c>
      <c r="L19" s="293">
        <v>0.153697</v>
      </c>
      <c r="M19" s="293">
        <v>0.15364</v>
      </c>
      <c r="N19" s="293">
        <v>0.15429799999999999</v>
      </c>
      <c r="O19" s="293">
        <v>0.153447</v>
      </c>
      <c r="P19" s="293">
        <v>0.15229300000000001</v>
      </c>
      <c r="Q19" s="293">
        <v>0.147228</v>
      </c>
      <c r="R19" s="293">
        <v>0.13797699999999999</v>
      </c>
      <c r="S19" s="293">
        <v>0.134215</v>
      </c>
      <c r="T19" s="293">
        <v>0.132551</v>
      </c>
      <c r="U19" s="293">
        <v>0.13100500000000001</v>
      </c>
      <c r="V19" s="293">
        <v>0.12992400000000001</v>
      </c>
      <c r="W19" s="293">
        <v>0.129414</v>
      </c>
      <c r="X19" s="293">
        <v>0.12848499999999999</v>
      </c>
      <c r="Y19" s="293">
        <v>0.128441</v>
      </c>
      <c r="Z19" s="293">
        <v>0.129943</v>
      </c>
      <c r="AA19" s="293">
        <v>0.12945599999999999</v>
      </c>
      <c r="AB19" s="293">
        <v>0.12748399999999999</v>
      </c>
      <c r="AC19" s="293">
        <v>0.12575900000000001</v>
      </c>
      <c r="AD19" s="293">
        <v>0.12470100000000001</v>
      </c>
      <c r="AE19" s="293">
        <v>0.123445</v>
      </c>
      <c r="AF19" s="293">
        <v>0.123949</v>
      </c>
      <c r="AG19" s="293">
        <v>0.124137</v>
      </c>
      <c r="AH19" s="293">
        <v>0.124122</v>
      </c>
      <c r="AI19" s="293">
        <v>0.123821</v>
      </c>
      <c r="AJ19" s="293">
        <v>0.12371</v>
      </c>
      <c r="AK19" s="294">
        <v>2.5999999999999999E-2</v>
      </c>
    </row>
    <row r="20" spans="1:38">
      <c r="A20" s="6" t="s">
        <v>177</v>
      </c>
      <c r="B20" s="348">
        <v>4.80000004172325E-2</v>
      </c>
      <c r="C20" s="348">
        <v>8.79999995231628E-2</v>
      </c>
      <c r="D20" s="348">
        <v>-2.9999997466802601E-2</v>
      </c>
      <c r="E20" s="348">
        <v>1.9999999552965199E-2</v>
      </c>
      <c r="F20" s="349">
        <v>0</v>
      </c>
      <c r="G20" s="293">
        <v>0.26600000000000001</v>
      </c>
      <c r="H20" s="293">
        <v>8.6999999999999994E-2</v>
      </c>
      <c r="I20" s="293">
        <v>0.23400000000000001</v>
      </c>
      <c r="J20" s="293">
        <v>0.161</v>
      </c>
      <c r="K20" s="293">
        <v>0</v>
      </c>
      <c r="L20" s="293">
        <v>0</v>
      </c>
      <c r="M20" s="293">
        <v>0</v>
      </c>
      <c r="N20" s="293">
        <v>0</v>
      </c>
      <c r="O20" s="293">
        <v>0</v>
      </c>
      <c r="P20" s="293">
        <v>0</v>
      </c>
      <c r="Q20" s="293">
        <v>0</v>
      </c>
      <c r="R20" s="293">
        <v>0</v>
      </c>
      <c r="S20" s="293">
        <v>0</v>
      </c>
      <c r="T20" s="293">
        <v>0</v>
      </c>
      <c r="U20" s="293">
        <v>0</v>
      </c>
      <c r="V20" s="293">
        <v>0</v>
      </c>
      <c r="W20" s="293">
        <v>0</v>
      </c>
      <c r="X20" s="293">
        <v>0</v>
      </c>
      <c r="Y20" s="293">
        <v>0</v>
      </c>
      <c r="Z20" s="293">
        <v>0</v>
      </c>
      <c r="AA20" s="293">
        <v>0</v>
      </c>
      <c r="AB20" s="293">
        <v>0</v>
      </c>
      <c r="AC20" s="293">
        <v>0</v>
      </c>
      <c r="AD20" s="293">
        <v>0</v>
      </c>
      <c r="AE20" s="293">
        <v>0</v>
      </c>
      <c r="AF20" s="293">
        <v>0</v>
      </c>
      <c r="AG20" s="293">
        <v>0</v>
      </c>
      <c r="AH20" s="293">
        <v>0</v>
      </c>
      <c r="AI20" s="293">
        <v>0</v>
      </c>
      <c r="AJ20" s="293">
        <v>0</v>
      </c>
      <c r="AK20" s="293" t="s">
        <v>41</v>
      </c>
    </row>
    <row r="21" spans="1:38">
      <c r="A21" s="6" t="s">
        <v>176</v>
      </c>
      <c r="B21" s="348">
        <v>15.2430009841919</v>
      </c>
      <c r="C21" s="348">
        <v>15.158999443054199</v>
      </c>
      <c r="D21" s="348">
        <v>14.625</v>
      </c>
      <c r="E21" s="348">
        <v>14.3919486999512</v>
      </c>
      <c r="F21" s="349">
        <v>13.9286651611328</v>
      </c>
      <c r="G21" s="248">
        <v>14.811999999999999</v>
      </c>
      <c r="H21" s="248">
        <v>15.012999000000001</v>
      </c>
      <c r="I21" s="248">
        <v>15.317</v>
      </c>
      <c r="J21" s="248">
        <v>15.141800999999999</v>
      </c>
      <c r="K21" s="248">
        <v>15.203478</v>
      </c>
      <c r="L21" s="248">
        <v>15.309505</v>
      </c>
      <c r="M21" s="248">
        <v>15.371171</v>
      </c>
      <c r="N21" s="248">
        <v>15.384200999999999</v>
      </c>
      <c r="O21" s="248">
        <v>15.367167</v>
      </c>
      <c r="P21" s="248">
        <v>15.339613999999999</v>
      </c>
      <c r="Q21" s="248">
        <v>15.305448999999999</v>
      </c>
      <c r="R21" s="248">
        <v>15.231005</v>
      </c>
      <c r="S21" s="248">
        <v>15.165613</v>
      </c>
      <c r="T21" s="248">
        <v>15.108777</v>
      </c>
      <c r="U21" s="248">
        <v>15.05687</v>
      </c>
      <c r="V21" s="248">
        <v>15.020941000000001</v>
      </c>
      <c r="W21" s="248">
        <v>15.002621</v>
      </c>
      <c r="X21" s="248">
        <v>14.971308000000001</v>
      </c>
      <c r="Y21" s="248">
        <v>14.947302000000001</v>
      </c>
      <c r="Z21" s="248">
        <v>14.940206</v>
      </c>
      <c r="AA21" s="248">
        <v>14.939088999999999</v>
      </c>
      <c r="AB21" s="248">
        <v>14.935063</v>
      </c>
      <c r="AC21" s="248">
        <v>14.942383</v>
      </c>
      <c r="AD21" s="248">
        <v>14.982934999999999</v>
      </c>
      <c r="AE21" s="248">
        <v>15.021611999999999</v>
      </c>
      <c r="AF21" s="248">
        <v>15.058424</v>
      </c>
      <c r="AG21" s="248">
        <v>15.105885000000001</v>
      </c>
      <c r="AH21" s="248">
        <v>15.176966</v>
      </c>
      <c r="AI21" s="248">
        <v>15.192781</v>
      </c>
      <c r="AJ21" s="248">
        <v>15.222968</v>
      </c>
      <c r="AK21" s="249">
        <v>0</v>
      </c>
    </row>
    <row r="23" spans="1:38">
      <c r="A23" s="6" t="s">
        <v>175</v>
      </c>
    </row>
    <row r="24" spans="1:38" s="251" customFormat="1">
      <c r="A24" s="250" t="s">
        <v>174</v>
      </c>
      <c r="B24" s="348">
        <v>1.7380001544952399</v>
      </c>
      <c r="C24" s="348">
        <v>1.7829999923706099</v>
      </c>
      <c r="D24" s="348">
        <v>1.82499992847443</v>
      </c>
      <c r="E24" s="348">
        <v>1.81299996376038</v>
      </c>
      <c r="F24" s="349">
        <v>1.86609554290771</v>
      </c>
      <c r="G24" s="295">
        <v>2.2160000000000002</v>
      </c>
      <c r="H24" s="295">
        <v>2.4</v>
      </c>
      <c r="I24" s="295">
        <v>2.4900000000000002</v>
      </c>
      <c r="J24" s="295">
        <v>2.5089999999999999</v>
      </c>
      <c r="K24" s="295">
        <v>2.5561180000000001</v>
      </c>
      <c r="L24" s="295">
        <v>2.6337290000000002</v>
      </c>
      <c r="M24" s="295">
        <v>2.6633930000000001</v>
      </c>
      <c r="N24" s="295">
        <v>2.6705079999999999</v>
      </c>
      <c r="O24" s="295">
        <v>2.669905</v>
      </c>
      <c r="P24" s="295">
        <v>2.6458759999999999</v>
      </c>
      <c r="Q24" s="295">
        <v>2.60798</v>
      </c>
      <c r="R24" s="295">
        <v>2.7045080000000001</v>
      </c>
      <c r="S24" s="295">
        <v>2.7930269999999999</v>
      </c>
      <c r="T24" s="295">
        <v>2.8390249999999999</v>
      </c>
      <c r="U24" s="295">
        <v>2.8728980000000002</v>
      </c>
      <c r="V24" s="295">
        <v>2.9033150000000001</v>
      </c>
      <c r="W24" s="295">
        <v>2.9228930000000002</v>
      </c>
      <c r="X24" s="295">
        <v>2.9406509999999999</v>
      </c>
      <c r="Y24" s="295">
        <v>2.9505080000000001</v>
      </c>
      <c r="Z24" s="295">
        <v>2.978853</v>
      </c>
      <c r="AA24" s="295">
        <v>3.0103460000000002</v>
      </c>
      <c r="AB24" s="295">
        <v>3.0288490000000001</v>
      </c>
      <c r="AC24" s="295">
        <v>3.0383969999999998</v>
      </c>
      <c r="AD24" s="295">
        <v>3.0546120000000001</v>
      </c>
      <c r="AE24" s="295">
        <v>3.0492400000000002</v>
      </c>
      <c r="AF24" s="295">
        <v>3.0289980000000001</v>
      </c>
      <c r="AG24" s="295">
        <v>3.058621</v>
      </c>
      <c r="AH24" s="295">
        <v>3.037477</v>
      </c>
      <c r="AI24" s="295">
        <v>3.013617</v>
      </c>
      <c r="AJ24" s="295">
        <v>2.983552</v>
      </c>
      <c r="AK24" s="296">
        <v>8.0000000000000002E-3</v>
      </c>
    </row>
    <row r="25" spans="1:38">
      <c r="A25" s="6" t="s">
        <v>173</v>
      </c>
      <c r="B25" s="348">
        <v>2.3140001296997101</v>
      </c>
      <c r="C25" s="348">
        <v>2.0869998931884801</v>
      </c>
      <c r="D25" s="348">
        <v>1.29999995231628</v>
      </c>
      <c r="E25" s="348">
        <v>1.3280000686645499</v>
      </c>
      <c r="F25" s="349">
        <v>1.6039888858795199</v>
      </c>
      <c r="G25" s="293">
        <v>-0.252</v>
      </c>
      <c r="H25" s="293">
        <v>-0.91600000000000004</v>
      </c>
      <c r="I25" s="293">
        <v>-0.98799999999999999</v>
      </c>
      <c r="J25" s="293">
        <v>-1.0289999999999999</v>
      </c>
      <c r="K25" s="293">
        <v>-0.96462499999999995</v>
      </c>
      <c r="L25" s="293">
        <v>-0.94448699999999997</v>
      </c>
      <c r="M25" s="293">
        <v>-0.93183700000000003</v>
      </c>
      <c r="N25" s="293">
        <v>-0.91123600000000005</v>
      </c>
      <c r="O25" s="293">
        <v>-0.88706300000000005</v>
      </c>
      <c r="P25" s="293">
        <v>-0.85573100000000002</v>
      </c>
      <c r="Q25" s="293">
        <v>-0.83163799999999999</v>
      </c>
      <c r="R25" s="293">
        <v>-0.89107099999999995</v>
      </c>
      <c r="S25" s="293">
        <v>-0.94251600000000002</v>
      </c>
      <c r="T25" s="293">
        <v>-0.97565599999999997</v>
      </c>
      <c r="U25" s="293">
        <v>-1.0068220000000001</v>
      </c>
      <c r="V25" s="293">
        <v>-1.068271</v>
      </c>
      <c r="W25" s="293">
        <v>-1.122708</v>
      </c>
      <c r="X25" s="293">
        <v>-1.1588719999999999</v>
      </c>
      <c r="Y25" s="293">
        <v>-1.2142729999999999</v>
      </c>
      <c r="Z25" s="293">
        <v>-1.293569</v>
      </c>
      <c r="AA25" s="293">
        <v>-1.3683129999999999</v>
      </c>
      <c r="AB25" s="293">
        <v>-1.4270320000000001</v>
      </c>
      <c r="AC25" s="293">
        <v>-1.482378</v>
      </c>
      <c r="AD25" s="293">
        <v>-1.563064</v>
      </c>
      <c r="AE25" s="293">
        <v>-1.613156</v>
      </c>
      <c r="AF25" s="293">
        <v>-1.650264</v>
      </c>
      <c r="AG25" s="293">
        <v>-1.716191</v>
      </c>
      <c r="AH25" s="293">
        <v>-1.7615620000000001</v>
      </c>
      <c r="AI25" s="293">
        <v>-1.7771790000000001</v>
      </c>
      <c r="AJ25" s="293">
        <v>-1.816797</v>
      </c>
      <c r="AK25" s="294">
        <v>2.5000000000000001E-2</v>
      </c>
    </row>
    <row r="26" spans="1:38">
      <c r="A26" s="6" t="s">
        <v>172</v>
      </c>
      <c r="B26" s="348">
        <v>2.1710000038146999</v>
      </c>
      <c r="C26" s="348">
        <v>1.93800008296967</v>
      </c>
      <c r="D26" s="348">
        <v>1.0240000486373899</v>
      </c>
      <c r="E26" s="348">
        <v>1.06200003623962</v>
      </c>
      <c r="F26" s="349">
        <v>1.54514491558075</v>
      </c>
      <c r="G26" s="293">
        <v>1.151</v>
      </c>
      <c r="H26" s="293">
        <v>0.84799999999999998</v>
      </c>
      <c r="I26" s="293">
        <v>0.70899999999999996</v>
      </c>
      <c r="J26" s="293">
        <v>0.72</v>
      </c>
      <c r="K26" s="293">
        <v>0.81863200000000003</v>
      </c>
      <c r="L26" s="293">
        <v>0.88173000000000001</v>
      </c>
      <c r="M26" s="293">
        <v>0.906914</v>
      </c>
      <c r="N26" s="293">
        <v>0.93180099999999999</v>
      </c>
      <c r="O26" s="293">
        <v>0.95816500000000004</v>
      </c>
      <c r="P26" s="293">
        <v>0.97589599999999999</v>
      </c>
      <c r="Q26" s="293">
        <v>0.98990599999999995</v>
      </c>
      <c r="R26" s="293">
        <v>1.006778</v>
      </c>
      <c r="S26" s="293">
        <v>1.0199199999999999</v>
      </c>
      <c r="T26" s="293">
        <v>1.03091</v>
      </c>
      <c r="U26" s="293">
        <v>1.05515</v>
      </c>
      <c r="V26" s="293">
        <v>1.0587679999999999</v>
      </c>
      <c r="W26" s="293">
        <v>1.0657570000000001</v>
      </c>
      <c r="X26" s="293">
        <v>1.0659179999999999</v>
      </c>
      <c r="Y26" s="293">
        <v>1.061431</v>
      </c>
      <c r="Z26" s="293">
        <v>1.0560160000000001</v>
      </c>
      <c r="AA26" s="293">
        <v>1.05697</v>
      </c>
      <c r="AB26" s="293">
        <v>1.0702149999999999</v>
      </c>
      <c r="AC26" s="293">
        <v>1.072165</v>
      </c>
      <c r="AD26" s="293">
        <v>1.0766100000000001</v>
      </c>
      <c r="AE26" s="293">
        <v>1.0822270000000001</v>
      </c>
      <c r="AF26" s="293">
        <v>1.093154</v>
      </c>
      <c r="AG26" s="293">
        <v>1.095712</v>
      </c>
      <c r="AH26" s="293">
        <v>1.0972550000000001</v>
      </c>
      <c r="AI26" s="293">
        <v>1.1087450000000001</v>
      </c>
      <c r="AJ26" s="293">
        <v>1.0974060000000001</v>
      </c>
      <c r="AK26" s="294">
        <v>8.9999999999999993E-3</v>
      </c>
    </row>
    <row r="27" spans="1:38">
      <c r="A27" s="6" t="s">
        <v>171</v>
      </c>
      <c r="B27" s="348">
        <v>0.68900001049041704</v>
      </c>
      <c r="C27" s="348">
        <v>0.71700000762939498</v>
      </c>
      <c r="D27" s="348">
        <v>0.60663330554962203</v>
      </c>
      <c r="E27" s="348">
        <v>0.60996818542480502</v>
      </c>
      <c r="F27" s="349">
        <v>0.60277581214904796</v>
      </c>
      <c r="G27" s="293">
        <v>0.68700000000000006</v>
      </c>
      <c r="H27" s="293">
        <v>0.60299999999999998</v>
      </c>
      <c r="I27" s="293">
        <v>0.58599999999999997</v>
      </c>
      <c r="J27" s="293">
        <v>0.54400000000000004</v>
      </c>
      <c r="K27" s="293">
        <v>0.540385</v>
      </c>
      <c r="L27" s="293">
        <v>0.53676900000000005</v>
      </c>
      <c r="M27" s="293">
        <v>0.53315299999999999</v>
      </c>
      <c r="N27" s="293">
        <v>0.52953899999999998</v>
      </c>
      <c r="O27" s="293">
        <v>0.52592300000000003</v>
      </c>
      <c r="P27" s="293">
        <v>0.52230699999999997</v>
      </c>
      <c r="Q27" s="293">
        <v>0.51869299999999996</v>
      </c>
      <c r="R27" s="293">
        <v>0.51507700000000001</v>
      </c>
      <c r="S27" s="293">
        <v>0.51146100000000005</v>
      </c>
      <c r="T27" s="293">
        <v>0.50784600000000002</v>
      </c>
      <c r="U27" s="293">
        <v>0.50423099999999998</v>
      </c>
      <c r="V27" s="293">
        <v>0.50061500000000003</v>
      </c>
      <c r="W27" s="293">
        <v>0.497</v>
      </c>
      <c r="X27" s="293">
        <v>0.49338500000000002</v>
      </c>
      <c r="Y27" s="293">
        <v>0.48976900000000001</v>
      </c>
      <c r="Z27" s="293">
        <v>0.48615399999999998</v>
      </c>
      <c r="AA27" s="293">
        <v>0.48253800000000002</v>
      </c>
      <c r="AB27" s="293">
        <v>0.47892299999999999</v>
      </c>
      <c r="AC27" s="293">
        <v>0.47530800000000001</v>
      </c>
      <c r="AD27" s="293">
        <v>0.471692</v>
      </c>
      <c r="AE27" s="293">
        <v>0.46807700000000002</v>
      </c>
      <c r="AF27" s="293">
        <v>0.46446199999999999</v>
      </c>
      <c r="AG27" s="293">
        <v>0.46084599999999998</v>
      </c>
      <c r="AH27" s="293">
        <v>0.45723000000000003</v>
      </c>
      <c r="AI27" s="293">
        <v>0.45361600000000002</v>
      </c>
      <c r="AJ27" s="293">
        <v>0.45</v>
      </c>
      <c r="AK27" s="294">
        <v>-0.01</v>
      </c>
    </row>
    <row r="28" spans="1:38">
      <c r="A28" s="6" t="s">
        <v>170</v>
      </c>
      <c r="B28" s="348">
        <v>0.67700004577636697</v>
      </c>
      <c r="C28" s="348">
        <v>0.75300002098083496</v>
      </c>
      <c r="D28" s="348">
        <v>0.73199999332428001</v>
      </c>
      <c r="E28" s="348">
        <v>0.71799999475479104</v>
      </c>
      <c r="F28" s="349">
        <v>0.62520116567611705</v>
      </c>
      <c r="G28" s="293">
        <v>0.71799999999999997</v>
      </c>
      <c r="H28" s="293">
        <v>0.61599999999999999</v>
      </c>
      <c r="I28" s="293">
        <v>0.61</v>
      </c>
      <c r="J28" s="293">
        <v>0.6</v>
      </c>
      <c r="K28" s="293">
        <v>0.67105999999999999</v>
      </c>
      <c r="L28" s="293">
        <v>0.66229499999999997</v>
      </c>
      <c r="M28" s="293">
        <v>0.65169100000000002</v>
      </c>
      <c r="N28" s="293">
        <v>0.64020900000000003</v>
      </c>
      <c r="O28" s="293">
        <v>0.62541100000000005</v>
      </c>
      <c r="P28" s="293">
        <v>0.61513700000000004</v>
      </c>
      <c r="Q28" s="293">
        <v>0.606742</v>
      </c>
      <c r="R28" s="293">
        <v>0.595522</v>
      </c>
      <c r="S28" s="293">
        <v>0.58620099999999997</v>
      </c>
      <c r="T28" s="293">
        <v>0.57591400000000004</v>
      </c>
      <c r="U28" s="293">
        <v>0.55055799999999999</v>
      </c>
      <c r="V28" s="293">
        <v>0.53803599999999996</v>
      </c>
      <c r="W28" s="293">
        <v>0.524864</v>
      </c>
      <c r="X28" s="293">
        <v>0.51505000000000001</v>
      </c>
      <c r="Y28" s="293">
        <v>0.50508799999999998</v>
      </c>
      <c r="Z28" s="293">
        <v>0.49612200000000001</v>
      </c>
      <c r="AA28" s="293">
        <v>0.48664200000000002</v>
      </c>
      <c r="AB28" s="293">
        <v>0.47747699999999998</v>
      </c>
      <c r="AC28" s="293">
        <v>0.46830300000000002</v>
      </c>
      <c r="AD28" s="293">
        <v>0.45679599999999998</v>
      </c>
      <c r="AE28" s="293">
        <v>0.44836500000000001</v>
      </c>
      <c r="AF28" s="293">
        <v>0.43787900000000002</v>
      </c>
      <c r="AG28" s="293">
        <v>0.42837799999999998</v>
      </c>
      <c r="AH28" s="293">
        <v>0.41841600000000001</v>
      </c>
      <c r="AI28" s="293">
        <v>0.40845399999999998</v>
      </c>
      <c r="AJ28" s="293">
        <v>0.39849099999999998</v>
      </c>
      <c r="AK28" s="294">
        <v>-1.4999999999999999E-2</v>
      </c>
    </row>
    <row r="29" spans="1:38">
      <c r="A29" s="6" t="s">
        <v>169</v>
      </c>
      <c r="B29" s="348">
        <v>1.2150000333786</v>
      </c>
      <c r="C29" s="348">
        <v>1.32100009918213</v>
      </c>
      <c r="D29" s="348">
        <v>1.2150000333786</v>
      </c>
      <c r="E29" s="348">
        <v>1.2150000333786</v>
      </c>
      <c r="F29" s="349">
        <v>1.16913342475891</v>
      </c>
      <c r="G29" s="293">
        <v>2.8079999999999998</v>
      </c>
      <c r="H29" s="293">
        <v>2.9830000000000001</v>
      </c>
      <c r="I29" s="293">
        <v>2.8929999999999998</v>
      </c>
      <c r="J29" s="293">
        <v>2.8929999999999998</v>
      </c>
      <c r="K29" s="293">
        <v>2.9947010000000001</v>
      </c>
      <c r="L29" s="293">
        <v>3.0252810000000001</v>
      </c>
      <c r="M29" s="293">
        <v>3.023596</v>
      </c>
      <c r="N29" s="293">
        <v>3.0127839999999999</v>
      </c>
      <c r="O29" s="293">
        <v>2.9965619999999999</v>
      </c>
      <c r="P29" s="293">
        <v>2.9690720000000002</v>
      </c>
      <c r="Q29" s="293">
        <v>2.9469789999999998</v>
      </c>
      <c r="R29" s="293">
        <v>3.0084490000000002</v>
      </c>
      <c r="S29" s="293">
        <v>3.0600990000000001</v>
      </c>
      <c r="T29" s="293">
        <v>3.090325</v>
      </c>
      <c r="U29" s="293">
        <v>3.1167609999999999</v>
      </c>
      <c r="V29" s="293">
        <v>3.1656900000000001</v>
      </c>
      <c r="W29" s="293">
        <v>3.2103290000000002</v>
      </c>
      <c r="X29" s="293">
        <v>3.2332260000000002</v>
      </c>
      <c r="Y29" s="293">
        <v>3.2705609999999998</v>
      </c>
      <c r="Z29" s="293">
        <v>3.331861</v>
      </c>
      <c r="AA29" s="293">
        <v>3.3944640000000001</v>
      </c>
      <c r="AB29" s="293">
        <v>3.4536470000000001</v>
      </c>
      <c r="AC29" s="293">
        <v>3.498154</v>
      </c>
      <c r="AD29" s="293">
        <v>3.5681620000000001</v>
      </c>
      <c r="AE29" s="293">
        <v>3.6118250000000001</v>
      </c>
      <c r="AF29" s="293">
        <v>3.6457579999999998</v>
      </c>
      <c r="AG29" s="293">
        <v>3.7011270000000001</v>
      </c>
      <c r="AH29" s="293">
        <v>3.7344629999999999</v>
      </c>
      <c r="AI29" s="293">
        <v>3.7479930000000001</v>
      </c>
      <c r="AJ29" s="293">
        <v>3.7626949999999999</v>
      </c>
      <c r="AK29" s="294">
        <v>8.0000000000000002E-3</v>
      </c>
    </row>
    <row r="30" spans="1:38">
      <c r="A30" s="6" t="s">
        <v>168</v>
      </c>
      <c r="B30" s="348">
        <v>0.99400001764297496</v>
      </c>
      <c r="C30" s="348">
        <v>0.99599999189376798</v>
      </c>
      <c r="D30" s="348">
        <v>0.99699997901916504</v>
      </c>
      <c r="E30" s="348">
        <v>0.97899997234344505</v>
      </c>
      <c r="F30" s="349">
        <v>0.97222220897674605</v>
      </c>
      <c r="G30" s="293">
        <v>1.0760000000000001</v>
      </c>
      <c r="H30" s="293">
        <v>1.077</v>
      </c>
      <c r="I30" s="293">
        <v>1.0620000000000001</v>
      </c>
      <c r="J30" s="293">
        <v>1.0549999999999999</v>
      </c>
      <c r="K30" s="293">
        <v>1.1173770000000001</v>
      </c>
      <c r="L30" s="293">
        <v>1.107977</v>
      </c>
      <c r="M30" s="293">
        <v>1.1068800000000001</v>
      </c>
      <c r="N30" s="293">
        <v>1.1013949999999999</v>
      </c>
      <c r="O30" s="293">
        <v>1.0899559999999999</v>
      </c>
      <c r="P30" s="293">
        <v>1.0810919999999999</v>
      </c>
      <c r="Q30" s="293">
        <v>1.070587</v>
      </c>
      <c r="R30" s="293">
        <v>1.0513539999999999</v>
      </c>
      <c r="S30" s="293">
        <v>1.032008</v>
      </c>
      <c r="T30" s="293">
        <v>1.0139609999999999</v>
      </c>
      <c r="U30" s="293">
        <v>0.99733000000000005</v>
      </c>
      <c r="V30" s="293">
        <v>0.98163100000000003</v>
      </c>
      <c r="W30" s="293">
        <v>0.97328499999999996</v>
      </c>
      <c r="X30" s="293">
        <v>0.96382100000000004</v>
      </c>
      <c r="Y30" s="293">
        <v>0.95674199999999998</v>
      </c>
      <c r="Z30" s="293">
        <v>0.95704199999999995</v>
      </c>
      <c r="AA30" s="293">
        <v>0.95328999999999997</v>
      </c>
      <c r="AB30" s="293">
        <v>0.95369499999999996</v>
      </c>
      <c r="AC30" s="293">
        <v>0.949291</v>
      </c>
      <c r="AD30" s="293">
        <v>0.94474999999999998</v>
      </c>
      <c r="AE30" s="293">
        <v>0.94433999999999996</v>
      </c>
      <c r="AF30" s="293">
        <v>0.94618999999999998</v>
      </c>
      <c r="AG30" s="293">
        <v>0.94669300000000001</v>
      </c>
      <c r="AH30" s="293">
        <v>0.95018899999999995</v>
      </c>
      <c r="AI30" s="293">
        <v>0.95436399999999999</v>
      </c>
      <c r="AJ30" s="293">
        <v>0.95464199999999999</v>
      </c>
      <c r="AK30" s="294">
        <v>-4.0000000000000001E-3</v>
      </c>
    </row>
    <row r="31" spans="1:38">
      <c r="A31" s="6" t="s">
        <v>691</v>
      </c>
      <c r="B31" s="348">
        <v>0.40835106372833302</v>
      </c>
      <c r="C31" s="348">
        <v>0.74303030967712402</v>
      </c>
      <c r="D31" s="348">
        <v>0.90019965171813998</v>
      </c>
      <c r="E31" s="348">
        <v>0.90936332941055298</v>
      </c>
      <c r="F31" s="349">
        <v>1.2169610261917101</v>
      </c>
      <c r="G31" s="293">
        <v>0.87458199999999997</v>
      </c>
      <c r="H31" s="293">
        <v>0.88629000000000002</v>
      </c>
      <c r="I31" s="293">
        <v>0.91131799999999996</v>
      </c>
      <c r="J31" s="293">
        <v>0.94543999999999995</v>
      </c>
      <c r="K31" s="293">
        <v>0.95931299999999997</v>
      </c>
      <c r="L31" s="293">
        <v>0.96406000000000003</v>
      </c>
      <c r="M31" s="293">
        <v>0.97751200000000005</v>
      </c>
      <c r="N31" s="293">
        <v>0.98974300000000004</v>
      </c>
      <c r="O31" s="293">
        <v>1.0016430000000001</v>
      </c>
      <c r="P31" s="293">
        <v>1.014486</v>
      </c>
      <c r="Q31" s="293">
        <v>1.026421</v>
      </c>
      <c r="R31" s="293">
        <v>1.04257</v>
      </c>
      <c r="S31" s="293">
        <v>1.0409060000000001</v>
      </c>
      <c r="T31" s="293">
        <v>1.042815</v>
      </c>
      <c r="U31" s="293">
        <v>1.0410189999999999</v>
      </c>
      <c r="V31" s="293">
        <v>1.0405869999999999</v>
      </c>
      <c r="W31" s="293">
        <v>1.0406690000000001</v>
      </c>
      <c r="X31" s="293">
        <v>1.0407820000000001</v>
      </c>
      <c r="Y31" s="293">
        <v>1.0402199999999999</v>
      </c>
      <c r="Z31" s="293">
        <v>1.0406690000000001</v>
      </c>
      <c r="AA31" s="293">
        <v>1.0418559999999999</v>
      </c>
      <c r="AB31" s="293">
        <v>1.0410980000000001</v>
      </c>
      <c r="AC31" s="293">
        <v>1.041115</v>
      </c>
      <c r="AD31" s="293">
        <v>1.0421020000000001</v>
      </c>
      <c r="AE31" s="293">
        <v>1.0415099999999999</v>
      </c>
      <c r="AF31" s="293">
        <v>1.039404</v>
      </c>
      <c r="AG31" s="293">
        <v>1.038624</v>
      </c>
      <c r="AH31" s="293">
        <v>1.041671</v>
      </c>
      <c r="AI31" s="293">
        <v>1.0532999999999999</v>
      </c>
      <c r="AJ31" s="293">
        <v>1.0676890000000001</v>
      </c>
      <c r="AK31" s="294">
        <v>7.0000000000000001E-3</v>
      </c>
    </row>
    <row r="32" spans="1:38" s="18" customFormat="1">
      <c r="A32" s="17" t="s">
        <v>167</v>
      </c>
      <c r="B32" s="350">
        <v>0.31900000572204601</v>
      </c>
      <c r="C32" s="350">
        <v>0.42500001192092901</v>
      </c>
      <c r="D32" s="350">
        <v>0.60299998521804798</v>
      </c>
      <c r="E32" s="350">
        <v>0.68500006198883101</v>
      </c>
      <c r="F32" s="351">
        <v>0.84147453308105502</v>
      </c>
      <c r="G32" s="293">
        <v>0.81834200000000001</v>
      </c>
      <c r="H32" s="293">
        <v>0.82725800000000005</v>
      </c>
      <c r="I32" s="293">
        <v>0.825187</v>
      </c>
      <c r="J32" s="293">
        <v>0.85004199999999996</v>
      </c>
      <c r="K32" s="293">
        <v>0.865282</v>
      </c>
      <c r="L32" s="293">
        <v>0.869251</v>
      </c>
      <c r="M32" s="293">
        <v>0.88145200000000001</v>
      </c>
      <c r="N32" s="293">
        <v>0.88586200000000004</v>
      </c>
      <c r="O32" s="293">
        <v>0.88890000000000002</v>
      </c>
      <c r="P32" s="293">
        <v>0.89585899999999996</v>
      </c>
      <c r="Q32" s="293">
        <v>0.89987200000000001</v>
      </c>
      <c r="R32" s="293">
        <v>0.91550900000000002</v>
      </c>
      <c r="S32" s="293">
        <v>0.91492399999999996</v>
      </c>
      <c r="T32" s="293">
        <v>0.91555299999999995</v>
      </c>
      <c r="U32" s="293">
        <v>0.91523600000000005</v>
      </c>
      <c r="V32" s="293">
        <v>0.91508800000000001</v>
      </c>
      <c r="W32" s="293">
        <v>0.91518600000000006</v>
      </c>
      <c r="X32" s="293">
        <v>0.91533399999999998</v>
      </c>
      <c r="Y32" s="293">
        <v>0.91476000000000002</v>
      </c>
      <c r="Z32" s="293">
        <v>0.91483099999999995</v>
      </c>
      <c r="AA32" s="293">
        <v>0.91463499999999998</v>
      </c>
      <c r="AB32" s="293">
        <v>0.91389500000000001</v>
      </c>
      <c r="AC32" s="293">
        <v>0.91388999999999998</v>
      </c>
      <c r="AD32" s="293">
        <v>0.91484699999999997</v>
      </c>
      <c r="AE32" s="293">
        <v>0.91425800000000002</v>
      </c>
      <c r="AF32" s="293">
        <v>0.91217999999999999</v>
      </c>
      <c r="AG32" s="293">
        <v>0.91165499999999999</v>
      </c>
      <c r="AH32" s="293">
        <v>0.91445399999999999</v>
      </c>
      <c r="AI32" s="293">
        <v>0.92887299999999995</v>
      </c>
      <c r="AJ32" s="293">
        <v>0.94600499999999998</v>
      </c>
      <c r="AK32" s="294">
        <v>5.0000000000000001E-3</v>
      </c>
      <c r="AL32" s="51">
        <f>C32*(1+AK32)^23</f>
        <v>0.4766596202229666</v>
      </c>
    </row>
    <row r="33" spans="1:38" s="18" customFormat="1">
      <c r="A33" s="17" t="s">
        <v>165</v>
      </c>
      <c r="B33" s="350">
        <v>0.273288995027542</v>
      </c>
      <c r="C33" s="350">
        <v>0.40336400270461997</v>
      </c>
      <c r="D33" s="350">
        <v>0.58252400159835804</v>
      </c>
      <c r="E33" s="350">
        <v>0.68972003459930398</v>
      </c>
      <c r="F33" s="351">
        <v>0.84179353713989302</v>
      </c>
      <c r="G33" s="293">
        <v>0.88597599999999999</v>
      </c>
      <c r="H33" s="293">
        <v>0.84365599999999996</v>
      </c>
      <c r="I33" s="293">
        <v>0.83595299999999995</v>
      </c>
      <c r="J33" s="293">
        <v>0.86998399999999998</v>
      </c>
      <c r="K33" s="293">
        <v>0.82013999999999998</v>
      </c>
      <c r="L33" s="293">
        <v>0.82233599999999996</v>
      </c>
      <c r="M33" s="293">
        <v>0.83316999999999997</v>
      </c>
      <c r="N33" s="293">
        <v>0.834866</v>
      </c>
      <c r="O33" s="293">
        <v>0.83494199999999996</v>
      </c>
      <c r="P33" s="293">
        <v>0.84040599999999999</v>
      </c>
      <c r="Q33" s="293">
        <v>0.83868500000000001</v>
      </c>
      <c r="R33" s="293">
        <v>0.84875</v>
      </c>
      <c r="S33" s="293">
        <v>0.85439200000000004</v>
      </c>
      <c r="T33" s="293">
        <v>0.85437700000000005</v>
      </c>
      <c r="U33" s="293">
        <v>0.85438800000000004</v>
      </c>
      <c r="V33" s="293">
        <v>0.85439200000000004</v>
      </c>
      <c r="W33" s="293">
        <v>0.85523000000000005</v>
      </c>
      <c r="X33" s="293">
        <v>0.85584700000000002</v>
      </c>
      <c r="Y33" s="293">
        <v>0.85583500000000001</v>
      </c>
      <c r="Z33" s="293">
        <v>0.85584700000000002</v>
      </c>
      <c r="AA33" s="293">
        <v>0.85584700000000002</v>
      </c>
      <c r="AB33" s="293">
        <v>0.85583500000000001</v>
      </c>
      <c r="AC33" s="293">
        <v>0.85583500000000001</v>
      </c>
      <c r="AD33" s="293">
        <v>0.85583500000000001</v>
      </c>
      <c r="AE33" s="293">
        <v>0.85358400000000001</v>
      </c>
      <c r="AF33" s="293">
        <v>0.84983299999999995</v>
      </c>
      <c r="AG33" s="293">
        <v>0.84757499999999997</v>
      </c>
      <c r="AH33" s="293">
        <v>0.84855400000000003</v>
      </c>
      <c r="AI33" s="293">
        <v>0.85902400000000001</v>
      </c>
      <c r="AJ33" s="293">
        <v>0.86278500000000002</v>
      </c>
      <c r="AK33" s="294">
        <v>1E-3</v>
      </c>
      <c r="AL33" s="51" t="s">
        <v>0</v>
      </c>
    </row>
    <row r="34" spans="1:38">
      <c r="A34" s="6" t="s">
        <v>164</v>
      </c>
      <c r="B34" s="348">
        <v>4.5710995793342597E-2</v>
      </c>
      <c r="C34" s="348">
        <v>2.1635998040437698E-2</v>
      </c>
      <c r="D34" s="348">
        <v>2.0475998520851101E-2</v>
      </c>
      <c r="E34" s="348">
        <v>-4.7199996188283001E-3</v>
      </c>
      <c r="F34" s="349">
        <v>-3.1897879671305402E-4</v>
      </c>
      <c r="G34" s="293">
        <v>-6.6753999999999994E-2</v>
      </c>
      <c r="H34" s="293">
        <v>-1.6397999999999999E-2</v>
      </c>
      <c r="I34" s="293">
        <v>-1.0766E-2</v>
      </c>
      <c r="J34" s="293">
        <v>-1.9942000000000001E-2</v>
      </c>
      <c r="K34" s="293">
        <v>4.5142000000000002E-2</v>
      </c>
      <c r="L34" s="293">
        <v>4.6915999999999999E-2</v>
      </c>
      <c r="M34" s="293">
        <v>4.8281999999999999E-2</v>
      </c>
      <c r="N34" s="293">
        <v>5.0996E-2</v>
      </c>
      <c r="O34" s="293">
        <v>5.3957999999999999E-2</v>
      </c>
      <c r="P34" s="293">
        <v>5.5452000000000001E-2</v>
      </c>
      <c r="Q34" s="293">
        <v>6.1186999999999998E-2</v>
      </c>
      <c r="R34" s="293">
        <v>6.6758999999999999E-2</v>
      </c>
      <c r="S34" s="293">
        <v>6.0532000000000002E-2</v>
      </c>
      <c r="T34" s="293">
        <v>6.1176000000000001E-2</v>
      </c>
      <c r="U34" s="293">
        <v>6.0847999999999999E-2</v>
      </c>
      <c r="V34" s="293">
        <v>6.0696E-2</v>
      </c>
      <c r="W34" s="293">
        <v>5.9957000000000003E-2</v>
      </c>
      <c r="X34" s="293">
        <v>5.9486999999999998E-2</v>
      </c>
      <c r="Y34" s="293">
        <v>5.8924999999999998E-2</v>
      </c>
      <c r="Z34" s="293">
        <v>5.8984000000000002E-2</v>
      </c>
      <c r="AA34" s="293">
        <v>5.8788E-2</v>
      </c>
      <c r="AB34" s="293">
        <v>5.806E-2</v>
      </c>
      <c r="AC34" s="293">
        <v>5.8056000000000003E-2</v>
      </c>
      <c r="AD34" s="293">
        <v>5.9012000000000002E-2</v>
      </c>
      <c r="AE34" s="293">
        <v>6.0673999999999999E-2</v>
      </c>
      <c r="AF34" s="293">
        <v>6.2348000000000001E-2</v>
      </c>
      <c r="AG34" s="293">
        <v>6.4079999999999998E-2</v>
      </c>
      <c r="AH34" s="293">
        <v>6.59E-2</v>
      </c>
      <c r="AI34" s="293">
        <v>6.9848999999999994E-2</v>
      </c>
      <c r="AJ34" s="293">
        <v>8.3220000000000002E-2</v>
      </c>
      <c r="AK34" s="293" t="s">
        <v>41</v>
      </c>
    </row>
    <row r="35" spans="1:38" s="18" customFormat="1">
      <c r="A35" s="17" t="s">
        <v>166</v>
      </c>
      <c r="B35" s="350">
        <v>1.6338998451829002E-2</v>
      </c>
      <c r="C35" s="350">
        <v>3.2029997557401699E-2</v>
      </c>
      <c r="D35" s="350">
        <v>5.1199223846197101E-2</v>
      </c>
      <c r="E35" s="350">
        <v>6.0358572751283597E-2</v>
      </c>
      <c r="F35" s="351">
        <v>6.3932694494724301E-2</v>
      </c>
      <c r="G35" s="293">
        <v>5.6239999999999998E-2</v>
      </c>
      <c r="H35" s="293">
        <v>5.9032000000000001E-2</v>
      </c>
      <c r="I35" s="293">
        <v>8.6099999999999996E-2</v>
      </c>
      <c r="J35" s="293">
        <v>9.0199000000000001E-2</v>
      </c>
      <c r="K35" s="293">
        <v>9.0070999999999998E-2</v>
      </c>
      <c r="L35" s="293">
        <v>8.6830000000000004E-2</v>
      </c>
      <c r="M35" s="293">
        <v>8.6858000000000005E-2</v>
      </c>
      <c r="N35" s="293">
        <v>8.5750999999999994E-2</v>
      </c>
      <c r="O35" s="293">
        <v>8.7317000000000006E-2</v>
      </c>
      <c r="P35" s="293">
        <v>8.8449E-2</v>
      </c>
      <c r="Q35" s="293">
        <v>8.8486999999999996E-2</v>
      </c>
      <c r="R35" s="293">
        <v>8.8999999999999996E-2</v>
      </c>
      <c r="S35" s="293">
        <v>8.8025000000000006E-2</v>
      </c>
      <c r="T35" s="293">
        <v>8.9304999999999995E-2</v>
      </c>
      <c r="U35" s="293">
        <v>8.7721999999999994E-2</v>
      </c>
      <c r="V35" s="293">
        <v>8.7541999999999995E-2</v>
      </c>
      <c r="W35" s="293">
        <v>8.7525000000000006E-2</v>
      </c>
      <c r="X35" s="293">
        <v>8.7489999999999998E-2</v>
      </c>
      <c r="Y35" s="293">
        <v>8.7501999999999996E-2</v>
      </c>
      <c r="Z35" s="293">
        <v>8.788E-2</v>
      </c>
      <c r="AA35" s="293">
        <v>8.9262999999999995E-2</v>
      </c>
      <c r="AB35" s="293">
        <v>8.9245000000000005E-2</v>
      </c>
      <c r="AC35" s="293">
        <v>8.9370000000000005E-2</v>
      </c>
      <c r="AD35" s="293">
        <v>8.9401999999999995E-2</v>
      </c>
      <c r="AE35" s="293">
        <v>8.9397000000000004E-2</v>
      </c>
      <c r="AF35" s="293">
        <v>8.9370000000000005E-2</v>
      </c>
      <c r="AG35" s="293">
        <v>8.9115E-2</v>
      </c>
      <c r="AH35" s="293">
        <v>8.9362999999999998E-2</v>
      </c>
      <c r="AI35" s="293">
        <v>8.9108000000000007E-2</v>
      </c>
      <c r="AJ35" s="293">
        <v>8.9448E-2</v>
      </c>
      <c r="AK35" s="293" t="s">
        <v>41</v>
      </c>
    </row>
    <row r="36" spans="1:38" s="18" customFormat="1">
      <c r="A36" s="17" t="s">
        <v>165</v>
      </c>
      <c r="B36" s="350">
        <v>1.6338998451829002E-2</v>
      </c>
      <c r="C36" s="350">
        <v>3.2029997557401699E-2</v>
      </c>
      <c r="D36" s="350">
        <v>5.1199223846197101E-2</v>
      </c>
      <c r="E36" s="350">
        <v>6.0358572751283597E-2</v>
      </c>
      <c r="F36" s="351">
        <v>6.3932694494724301E-2</v>
      </c>
      <c r="G36" s="293">
        <v>6.3100000000000003E-2</v>
      </c>
      <c r="H36" s="293">
        <v>6.3100000000000003E-2</v>
      </c>
      <c r="I36" s="293">
        <v>8.1100000000000005E-2</v>
      </c>
      <c r="J36" s="293">
        <v>8.7099999999999997E-2</v>
      </c>
      <c r="K36" s="293">
        <v>7.9580999999999999E-2</v>
      </c>
      <c r="L36" s="293">
        <v>7.6044E-2</v>
      </c>
      <c r="M36" s="293">
        <v>7.5939000000000006E-2</v>
      </c>
      <c r="N36" s="293">
        <v>7.4647000000000005E-2</v>
      </c>
      <c r="O36" s="293">
        <v>7.6071E-2</v>
      </c>
      <c r="P36" s="293">
        <v>7.6998999999999998E-2</v>
      </c>
      <c r="Q36" s="293">
        <v>7.6729000000000006E-2</v>
      </c>
      <c r="R36" s="293">
        <v>7.7030000000000001E-2</v>
      </c>
      <c r="S36" s="293">
        <v>7.5851000000000002E-2</v>
      </c>
      <c r="T36" s="293">
        <v>7.7146000000000006E-2</v>
      </c>
      <c r="U36" s="293">
        <v>7.5544E-2</v>
      </c>
      <c r="V36" s="293">
        <v>7.5385999999999995E-2</v>
      </c>
      <c r="W36" s="293">
        <v>7.5385999999999995E-2</v>
      </c>
      <c r="X36" s="293">
        <v>7.5385999999999995E-2</v>
      </c>
      <c r="Y36" s="293">
        <v>7.5385999999999995E-2</v>
      </c>
      <c r="Z36" s="293">
        <v>7.5749999999999998E-2</v>
      </c>
      <c r="AA36" s="293">
        <v>7.7146000000000006E-2</v>
      </c>
      <c r="AB36" s="293">
        <v>7.7146000000000006E-2</v>
      </c>
      <c r="AC36" s="293">
        <v>7.7260999999999996E-2</v>
      </c>
      <c r="AD36" s="293">
        <v>7.7260999999999996E-2</v>
      </c>
      <c r="AE36" s="293">
        <v>7.7260999999999996E-2</v>
      </c>
      <c r="AF36" s="293">
        <v>7.7260999999999996E-2</v>
      </c>
      <c r="AG36" s="293">
        <v>7.7010999999999996E-2</v>
      </c>
      <c r="AH36" s="293">
        <v>7.7260999999999996E-2</v>
      </c>
      <c r="AI36" s="293">
        <v>7.7010999999999996E-2</v>
      </c>
      <c r="AJ36" s="293">
        <v>7.7376E-2</v>
      </c>
      <c r="AK36" s="294">
        <v>7.0000000000000001E-3</v>
      </c>
    </row>
    <row r="37" spans="1:38">
      <c r="A37" s="6" t="s">
        <v>164</v>
      </c>
      <c r="B37" s="348">
        <v>0</v>
      </c>
      <c r="C37" s="348">
        <v>0</v>
      </c>
      <c r="D37" s="348">
        <v>0</v>
      </c>
      <c r="E37" s="348">
        <v>0</v>
      </c>
      <c r="F37" s="349">
        <v>0</v>
      </c>
      <c r="G37" s="293">
        <v>-3.4629999999999999E-3</v>
      </c>
      <c r="H37" s="293">
        <v>-4.0679999999999996E-3</v>
      </c>
      <c r="I37" s="293">
        <v>5.0000000000000001E-3</v>
      </c>
      <c r="J37" s="293">
        <v>3.0990000000000002E-3</v>
      </c>
      <c r="K37" s="293">
        <v>1.0489999999999999E-2</v>
      </c>
      <c r="L37" s="293">
        <v>1.0786E-2</v>
      </c>
      <c r="M37" s="293">
        <v>1.0919E-2</v>
      </c>
      <c r="N37" s="293">
        <v>1.1103999999999999E-2</v>
      </c>
      <c r="O37" s="293">
        <v>1.1247E-2</v>
      </c>
      <c r="P37" s="293">
        <v>1.145E-2</v>
      </c>
      <c r="Q37" s="293">
        <v>1.1757999999999999E-2</v>
      </c>
      <c r="R37" s="293">
        <v>1.197E-2</v>
      </c>
      <c r="S37" s="293">
        <v>1.2174000000000001E-2</v>
      </c>
      <c r="T37" s="293">
        <v>1.2159E-2</v>
      </c>
      <c r="U37" s="293">
        <v>1.2178E-2</v>
      </c>
      <c r="V37" s="293">
        <v>1.2154999999999999E-2</v>
      </c>
      <c r="W37" s="293">
        <v>1.2139E-2</v>
      </c>
      <c r="X37" s="293">
        <v>1.2104E-2</v>
      </c>
      <c r="Y37" s="293">
        <v>1.2116E-2</v>
      </c>
      <c r="Z37" s="293">
        <v>1.2130999999999999E-2</v>
      </c>
      <c r="AA37" s="293">
        <v>1.2118E-2</v>
      </c>
      <c r="AB37" s="293">
        <v>1.21E-2</v>
      </c>
      <c r="AC37" s="293">
        <v>1.2109999999999999E-2</v>
      </c>
      <c r="AD37" s="293">
        <v>1.2141000000000001E-2</v>
      </c>
      <c r="AE37" s="293">
        <v>1.2137E-2</v>
      </c>
      <c r="AF37" s="293">
        <v>1.2109E-2</v>
      </c>
      <c r="AG37" s="293">
        <v>1.2102999999999999E-2</v>
      </c>
      <c r="AH37" s="293">
        <v>1.2102E-2</v>
      </c>
      <c r="AI37" s="293">
        <v>1.2096000000000001E-2</v>
      </c>
      <c r="AJ37" s="293">
        <v>1.2071999999999999E-2</v>
      </c>
      <c r="AK37" s="293" t="s">
        <v>41</v>
      </c>
    </row>
    <row r="38" spans="1:38">
      <c r="A38" s="6" t="s">
        <v>163</v>
      </c>
      <c r="B38" s="348">
        <v>0</v>
      </c>
      <c r="C38" s="348">
        <v>0</v>
      </c>
      <c r="D38" s="348">
        <v>0</v>
      </c>
      <c r="E38" s="348">
        <v>0</v>
      </c>
      <c r="F38" s="349">
        <v>0</v>
      </c>
      <c r="G38" s="293">
        <v>2.2160000000000002</v>
      </c>
      <c r="H38" s="293">
        <v>2.4</v>
      </c>
      <c r="I38" s="293">
        <v>2.4900000000000002</v>
      </c>
      <c r="J38" s="293">
        <v>2.5089999999999999</v>
      </c>
      <c r="K38" s="293">
        <v>2.5561180000000001</v>
      </c>
      <c r="L38" s="293">
        <v>2.6337290000000002</v>
      </c>
      <c r="M38" s="293">
        <v>2.6633930000000001</v>
      </c>
      <c r="N38" s="293">
        <v>2.6705079999999999</v>
      </c>
      <c r="O38" s="293">
        <v>2.669905</v>
      </c>
      <c r="P38" s="293">
        <v>2.6458759999999999</v>
      </c>
      <c r="Q38" s="293">
        <v>2.60798</v>
      </c>
      <c r="R38" s="293">
        <v>2.7045080000000001</v>
      </c>
      <c r="S38" s="293">
        <v>2.7930269999999999</v>
      </c>
      <c r="T38" s="293">
        <v>2.8390249999999999</v>
      </c>
      <c r="U38" s="293">
        <v>2.8728980000000002</v>
      </c>
      <c r="V38" s="293">
        <v>2.9033150000000001</v>
      </c>
      <c r="W38" s="293">
        <v>2.9228930000000002</v>
      </c>
      <c r="X38" s="293">
        <v>2.9406509999999999</v>
      </c>
      <c r="Y38" s="293">
        <v>2.9505080000000001</v>
      </c>
      <c r="Z38" s="293">
        <v>2.978853</v>
      </c>
      <c r="AA38" s="293">
        <v>3.0103460000000002</v>
      </c>
      <c r="AB38" s="293">
        <v>3.0288490000000001</v>
      </c>
      <c r="AC38" s="293">
        <v>3.0383969999999998</v>
      </c>
      <c r="AD38" s="293">
        <v>3.0546120000000001</v>
      </c>
      <c r="AE38" s="293">
        <v>3.0492400000000002</v>
      </c>
      <c r="AF38" s="293">
        <v>3.0289980000000001</v>
      </c>
      <c r="AG38" s="293">
        <v>3.058621</v>
      </c>
      <c r="AH38" s="293">
        <v>3.037477</v>
      </c>
      <c r="AI38" s="293">
        <v>3.013617</v>
      </c>
      <c r="AJ38" s="293">
        <v>2.983552</v>
      </c>
      <c r="AK38" s="294">
        <v>8.0000000000000002E-3</v>
      </c>
    </row>
    <row r="39" spans="1:38">
      <c r="A39" s="6" t="s">
        <v>162</v>
      </c>
      <c r="B39" s="348">
        <v>0</v>
      </c>
      <c r="C39" s="348">
        <v>0</v>
      </c>
      <c r="D39" s="348">
        <v>0</v>
      </c>
      <c r="E39" s="348">
        <v>0</v>
      </c>
      <c r="F39" s="349">
        <v>0</v>
      </c>
      <c r="G39" s="293">
        <v>0</v>
      </c>
      <c r="H39" s="293">
        <v>0</v>
      </c>
      <c r="I39" s="293">
        <v>0</v>
      </c>
      <c r="J39" s="293">
        <v>0</v>
      </c>
      <c r="K39" s="293">
        <v>0</v>
      </c>
      <c r="L39" s="293">
        <v>0</v>
      </c>
      <c r="M39" s="293">
        <v>0</v>
      </c>
      <c r="N39" s="293">
        <v>0</v>
      </c>
      <c r="O39" s="293">
        <v>0</v>
      </c>
      <c r="P39" s="293">
        <v>0</v>
      </c>
      <c r="Q39" s="293">
        <v>0</v>
      </c>
      <c r="R39" s="293">
        <v>0</v>
      </c>
      <c r="S39" s="293">
        <v>0</v>
      </c>
      <c r="T39" s="293">
        <v>0</v>
      </c>
      <c r="U39" s="293">
        <v>0</v>
      </c>
      <c r="V39" s="293">
        <v>0</v>
      </c>
      <c r="W39" s="293">
        <v>0</v>
      </c>
      <c r="X39" s="293">
        <v>0</v>
      </c>
      <c r="Y39" s="293">
        <v>0</v>
      </c>
      <c r="Z39" s="293">
        <v>0</v>
      </c>
      <c r="AA39" s="293">
        <v>0</v>
      </c>
      <c r="AB39" s="293">
        <v>0</v>
      </c>
      <c r="AC39" s="293">
        <v>0</v>
      </c>
      <c r="AD39" s="293">
        <v>0</v>
      </c>
      <c r="AE39" s="293">
        <v>0</v>
      </c>
      <c r="AF39" s="293">
        <v>0</v>
      </c>
      <c r="AG39" s="293">
        <v>0</v>
      </c>
      <c r="AH39" s="293">
        <v>0</v>
      </c>
      <c r="AI39" s="293">
        <v>0</v>
      </c>
      <c r="AJ39" s="293">
        <v>0</v>
      </c>
      <c r="AK39" s="293" t="s">
        <v>41</v>
      </c>
    </row>
    <row r="40" spans="1:38" s="270" customFormat="1">
      <c r="A40" s="269" t="s">
        <v>161</v>
      </c>
      <c r="B40" s="350">
        <v>0</v>
      </c>
      <c r="C40" s="350">
        <v>0</v>
      </c>
      <c r="D40" s="350">
        <v>0</v>
      </c>
      <c r="E40" s="350">
        <v>0</v>
      </c>
      <c r="F40" s="351">
        <v>0</v>
      </c>
      <c r="G40" s="301">
        <v>0</v>
      </c>
      <c r="H40" s="301">
        <v>3.4809526987373799E-3</v>
      </c>
      <c r="I40" s="301">
        <v>5.2319555543363103E-3</v>
      </c>
      <c r="J40" s="301">
        <v>7.8436248004436493E-3</v>
      </c>
      <c r="K40" s="301">
        <v>1.17142805829644E-2</v>
      </c>
      <c r="L40" s="301">
        <v>1.7396988347172699E-2</v>
      </c>
      <c r="M40" s="301">
        <v>2.5625614449381801E-2</v>
      </c>
      <c r="N40" s="301">
        <v>3.7305567413568497E-2</v>
      </c>
      <c r="O40" s="301">
        <v>5.34236840903759E-2</v>
      </c>
      <c r="P40" s="301">
        <v>7.4822284281253801E-2</v>
      </c>
      <c r="Q40" s="301">
        <v>0.10181753337383299</v>
      </c>
      <c r="R40" s="301">
        <v>0.133762747049332</v>
      </c>
      <c r="S40" s="301">
        <v>0.16882437467575101</v>
      </c>
      <c r="T40" s="301">
        <v>0.204265296459198</v>
      </c>
      <c r="U40" s="301">
        <v>0.237230360507965</v>
      </c>
      <c r="V40" s="301">
        <v>0.26560345292091397</v>
      </c>
      <c r="W40" s="301">
        <v>0.28843852877616899</v>
      </c>
      <c r="X40" s="301">
        <v>0.30584391951561002</v>
      </c>
      <c r="Y40" s="301">
        <v>0.31856861710548401</v>
      </c>
      <c r="Z40" s="301">
        <v>0.32759037613868702</v>
      </c>
      <c r="AA40" s="301"/>
      <c r="AB40" s="301"/>
      <c r="AC40" s="301"/>
      <c r="AD40" s="301"/>
      <c r="AE40" s="301"/>
      <c r="AF40" s="301"/>
      <c r="AG40" s="301"/>
      <c r="AH40" s="301"/>
      <c r="AI40" s="301"/>
      <c r="AJ40" s="301"/>
      <c r="AK40" s="302" t="s">
        <v>41</v>
      </c>
    </row>
    <row r="41" spans="1:38">
      <c r="A41" s="6" t="s">
        <v>692</v>
      </c>
      <c r="B41" s="348">
        <v>7.3012053966522203E-2</v>
      </c>
      <c r="C41" s="348">
        <v>0.28600034117698703</v>
      </c>
      <c r="D41" s="348">
        <v>0.24600045382976499</v>
      </c>
      <c r="E41" s="348">
        <v>0.16400466859340701</v>
      </c>
      <c r="F41" s="349">
        <v>0.31155380606651301</v>
      </c>
      <c r="G41" s="293">
        <v>0.182</v>
      </c>
      <c r="H41" s="293">
        <v>0.191</v>
      </c>
      <c r="I41" s="293">
        <v>0.193</v>
      </c>
      <c r="J41" s="293">
        <v>0.193</v>
      </c>
      <c r="K41" s="293">
        <v>0.28578500000000001</v>
      </c>
      <c r="L41" s="293">
        <v>0.28816599999999998</v>
      </c>
      <c r="M41" s="293">
        <v>0.290412</v>
      </c>
      <c r="N41" s="293">
        <v>0.29299799999999998</v>
      </c>
      <c r="O41" s="293">
        <v>0.293852</v>
      </c>
      <c r="P41" s="293">
        <v>0.29503000000000001</v>
      </c>
      <c r="Q41" s="293">
        <v>0.298292</v>
      </c>
      <c r="R41" s="293">
        <v>0.29944399999999999</v>
      </c>
      <c r="S41" s="293">
        <v>0.29972700000000002</v>
      </c>
      <c r="T41" s="293">
        <v>0.301095</v>
      </c>
      <c r="U41" s="293">
        <v>0.30102299999999999</v>
      </c>
      <c r="V41" s="293">
        <v>0.30064000000000002</v>
      </c>
      <c r="W41" s="293">
        <v>0.30251600000000001</v>
      </c>
      <c r="X41" s="293">
        <v>0.30219699999999999</v>
      </c>
      <c r="Y41" s="293">
        <v>0.30013899999999999</v>
      </c>
      <c r="Z41" s="293">
        <v>0.30297200000000002</v>
      </c>
      <c r="AA41" s="293">
        <v>0.30451</v>
      </c>
      <c r="AB41" s="293">
        <v>0.306419</v>
      </c>
      <c r="AC41" s="293">
        <v>0.30664000000000002</v>
      </c>
      <c r="AD41" s="293">
        <v>0.30698399999999998</v>
      </c>
      <c r="AE41" s="293">
        <v>0.308342</v>
      </c>
      <c r="AF41" s="293">
        <v>0.30915900000000002</v>
      </c>
      <c r="AG41" s="293">
        <v>0.30972699999999997</v>
      </c>
      <c r="AH41" s="293">
        <v>0.31073899999999999</v>
      </c>
      <c r="AI41" s="293">
        <v>0.31163999999999997</v>
      </c>
      <c r="AJ41" s="293">
        <v>0.31290899999999999</v>
      </c>
      <c r="AK41" s="294">
        <v>1.7999999999999999E-2</v>
      </c>
    </row>
    <row r="42" spans="1:38">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row>
    <row r="43" spans="1:38" s="18" customFormat="1">
      <c r="A43" s="17" t="s">
        <v>693</v>
      </c>
      <c r="B43" s="350">
        <v>20.697353363037099</v>
      </c>
      <c r="C43" s="350">
        <v>20.768030166626001</v>
      </c>
      <c r="D43" s="350">
        <v>19.647199630737301</v>
      </c>
      <c r="E43" s="350">
        <v>19.421310424804702</v>
      </c>
      <c r="F43" s="351">
        <v>19.587932586669901</v>
      </c>
      <c r="G43" s="248">
        <v>18.938583000000001</v>
      </c>
      <c r="H43" s="248">
        <v>18.592289000000001</v>
      </c>
      <c r="I43" s="248">
        <v>18.985319</v>
      </c>
      <c r="J43" s="248">
        <v>18.815241</v>
      </c>
      <c r="K43" s="248">
        <v>19.157446</v>
      </c>
      <c r="L43" s="248">
        <v>19.35895</v>
      </c>
      <c r="M43" s="248">
        <v>19.477530000000002</v>
      </c>
      <c r="N43" s="248">
        <v>19.527609000000002</v>
      </c>
      <c r="O43" s="248">
        <v>19.535461000000002</v>
      </c>
      <c r="P43" s="248">
        <v>19.520367</v>
      </c>
      <c r="Q43" s="248">
        <v>19.477088999999999</v>
      </c>
      <c r="R43" s="248">
        <v>19.437809000000001</v>
      </c>
      <c r="S43" s="248">
        <v>19.388767000000001</v>
      </c>
      <c r="T43" s="248">
        <v>19.330017000000002</v>
      </c>
      <c r="U43" s="248">
        <v>19.262318</v>
      </c>
      <c r="V43" s="248">
        <v>19.178843000000001</v>
      </c>
      <c r="W43" s="248">
        <v>19.119274000000001</v>
      </c>
      <c r="X43" s="248">
        <v>19.059887</v>
      </c>
      <c r="Y43" s="248">
        <v>18.980637000000002</v>
      </c>
      <c r="Z43" s="248">
        <v>18.926172000000001</v>
      </c>
      <c r="AA43" s="248">
        <v>18.880776999999998</v>
      </c>
      <c r="AB43" s="248">
        <v>18.838093000000001</v>
      </c>
      <c r="AC43" s="248">
        <v>18.795445999999998</v>
      </c>
      <c r="AD43" s="248">
        <v>18.768318000000001</v>
      </c>
      <c r="AE43" s="248">
        <v>18.751888000000001</v>
      </c>
      <c r="AF43" s="248">
        <v>18.731911</v>
      </c>
      <c r="AG43" s="248">
        <v>18.743359000000002</v>
      </c>
      <c r="AH43" s="248">
        <v>18.755479999999999</v>
      </c>
      <c r="AI43" s="248">
        <v>18.748524</v>
      </c>
      <c r="AJ43" s="248">
        <v>18.724962000000001</v>
      </c>
      <c r="AK43" s="249">
        <v>0</v>
      </c>
    </row>
    <row r="44" spans="1:38" s="259" customFormat="1">
      <c r="A44" s="258" t="s">
        <v>196</v>
      </c>
      <c r="B44" s="352">
        <f t="shared" ref="B44:H44" si="0">B43*365</f>
        <v>7554.5339775085413</v>
      </c>
      <c r="C44" s="352">
        <f t="shared" si="0"/>
        <v>7580.3310108184905</v>
      </c>
      <c r="D44" s="352">
        <f t="shared" si="0"/>
        <v>7171.2278652191153</v>
      </c>
      <c r="E44" s="352">
        <f t="shared" si="0"/>
        <v>7088.7783050537164</v>
      </c>
      <c r="F44" s="353">
        <f t="shared" si="0"/>
        <v>7149.5953941345133</v>
      </c>
      <c r="G44" s="303">
        <f t="shared" si="0"/>
        <v>6912.5827950000003</v>
      </c>
      <c r="H44" s="303">
        <f t="shared" si="0"/>
        <v>6786.185485</v>
      </c>
      <c r="I44" s="303">
        <f t="shared" ref="I44:AJ44" si="1">I43*365</f>
        <v>6929.6414350000005</v>
      </c>
      <c r="J44" s="303">
        <f t="shared" si="1"/>
        <v>6867.5629650000001</v>
      </c>
      <c r="K44" s="303">
        <f t="shared" si="1"/>
        <v>6992.4677899999997</v>
      </c>
      <c r="L44" s="303">
        <f t="shared" si="1"/>
        <v>7066.0167499999998</v>
      </c>
      <c r="M44" s="303">
        <f t="shared" si="1"/>
        <v>7109.2984500000002</v>
      </c>
      <c r="N44" s="303">
        <f t="shared" si="1"/>
        <v>7127.5772850000003</v>
      </c>
      <c r="O44" s="303">
        <f t="shared" si="1"/>
        <v>7130.4432650000008</v>
      </c>
      <c r="P44" s="303">
        <f t="shared" si="1"/>
        <v>7124.9339550000004</v>
      </c>
      <c r="Q44" s="303">
        <f t="shared" si="1"/>
        <v>7109.1374850000002</v>
      </c>
      <c r="R44" s="303">
        <f t="shared" si="1"/>
        <v>7094.8002850000003</v>
      </c>
      <c r="S44" s="303">
        <f t="shared" si="1"/>
        <v>7076.8999550000008</v>
      </c>
      <c r="T44" s="303">
        <f t="shared" si="1"/>
        <v>7055.4562050000004</v>
      </c>
      <c r="U44" s="303">
        <f t="shared" si="1"/>
        <v>7030.7460700000001</v>
      </c>
      <c r="V44" s="303">
        <f t="shared" si="1"/>
        <v>7000.2776949999998</v>
      </c>
      <c r="W44" s="303">
        <f t="shared" si="1"/>
        <v>6978.5350100000005</v>
      </c>
      <c r="X44" s="303">
        <f t="shared" si="1"/>
        <v>6956.8587550000002</v>
      </c>
      <c r="Y44" s="303">
        <f t="shared" si="1"/>
        <v>6927.9325050000007</v>
      </c>
      <c r="Z44" s="303">
        <f t="shared" si="1"/>
        <v>6908.05278</v>
      </c>
      <c r="AA44" s="303">
        <f t="shared" si="1"/>
        <v>6891.4836049999994</v>
      </c>
      <c r="AB44" s="303">
        <f t="shared" si="1"/>
        <v>6875.903945</v>
      </c>
      <c r="AC44" s="303">
        <f t="shared" si="1"/>
        <v>6860.3377899999996</v>
      </c>
      <c r="AD44" s="303">
        <f t="shared" si="1"/>
        <v>6850.4360700000007</v>
      </c>
      <c r="AE44" s="303">
        <f t="shared" si="1"/>
        <v>6844.43912</v>
      </c>
      <c r="AF44" s="303">
        <f t="shared" si="1"/>
        <v>6837.1475149999997</v>
      </c>
      <c r="AG44" s="303">
        <f t="shared" si="1"/>
        <v>6841.326035000001</v>
      </c>
      <c r="AH44" s="303">
        <f t="shared" si="1"/>
        <v>6845.7501999999995</v>
      </c>
      <c r="AI44" s="303">
        <f t="shared" si="1"/>
        <v>6843.21126</v>
      </c>
      <c r="AJ44" s="303">
        <f t="shared" si="1"/>
        <v>6834.6111300000002</v>
      </c>
      <c r="AK44" s="304"/>
    </row>
    <row r="45" spans="1:38" s="263" customFormat="1">
      <c r="A45" s="262" t="s">
        <v>187</v>
      </c>
      <c r="B45" s="354">
        <f>SUM(B33,B36,B40)</f>
        <v>0.28962799347937102</v>
      </c>
      <c r="C45" s="354">
        <f t="shared" ref="C45:AJ45" si="2">SUM(C33,C36,C40)</f>
        <v>0.43539400026202169</v>
      </c>
      <c r="D45" s="354">
        <f t="shared" si="2"/>
        <v>0.63372322544455517</v>
      </c>
      <c r="E45" s="354">
        <f t="shared" si="2"/>
        <v>0.75007860735058762</v>
      </c>
      <c r="F45" s="355">
        <f t="shared" si="2"/>
        <v>0.9057262316346173</v>
      </c>
      <c r="G45" s="305">
        <f t="shared" si="2"/>
        <v>0.94907600000000003</v>
      </c>
      <c r="H45" s="305">
        <f t="shared" si="2"/>
        <v>0.91023695269873739</v>
      </c>
      <c r="I45" s="305">
        <f t="shared" si="2"/>
        <v>0.92228495555433621</v>
      </c>
      <c r="J45" s="305">
        <f t="shared" si="2"/>
        <v>0.96492762480044358</v>
      </c>
      <c r="K45" s="305">
        <f t="shared" si="2"/>
        <v>0.91143528058296441</v>
      </c>
      <c r="L45" s="305">
        <f t="shared" si="2"/>
        <v>0.91577698834717269</v>
      </c>
      <c r="M45" s="305">
        <f t="shared" si="2"/>
        <v>0.93473461444938177</v>
      </c>
      <c r="N45" s="305">
        <f t="shared" si="2"/>
        <v>0.94681856741356851</v>
      </c>
      <c r="O45" s="305">
        <f t="shared" si="2"/>
        <v>0.96443668409037586</v>
      </c>
      <c r="P45" s="305">
        <f t="shared" si="2"/>
        <v>0.99222728428125384</v>
      </c>
      <c r="Q45" s="305">
        <f t="shared" si="2"/>
        <v>1.0172315333738331</v>
      </c>
      <c r="R45" s="305">
        <f t="shared" si="2"/>
        <v>1.0595427470493322</v>
      </c>
      <c r="S45" s="305">
        <f t="shared" si="2"/>
        <v>1.0990673746757511</v>
      </c>
      <c r="T45" s="305">
        <f t="shared" si="2"/>
        <v>1.1357882964591981</v>
      </c>
      <c r="U45" s="305">
        <f t="shared" si="2"/>
        <v>1.1671623605079651</v>
      </c>
      <c r="V45" s="305">
        <f t="shared" si="2"/>
        <v>1.1953814529209139</v>
      </c>
      <c r="W45" s="305">
        <f t="shared" si="2"/>
        <v>1.2190545287761689</v>
      </c>
      <c r="X45" s="305">
        <f t="shared" si="2"/>
        <v>1.2370769195156099</v>
      </c>
      <c r="Y45" s="305">
        <f t="shared" si="2"/>
        <v>1.2497896171054839</v>
      </c>
      <c r="Z45" s="305">
        <f t="shared" si="2"/>
        <v>1.2591873761386871</v>
      </c>
      <c r="AA45" s="305">
        <f t="shared" si="2"/>
        <v>0.93299300000000007</v>
      </c>
      <c r="AB45" s="305">
        <f t="shared" si="2"/>
        <v>0.93298100000000006</v>
      </c>
      <c r="AC45" s="305">
        <f t="shared" si="2"/>
        <v>0.93309600000000004</v>
      </c>
      <c r="AD45" s="305">
        <f t="shared" si="2"/>
        <v>0.93309600000000004</v>
      </c>
      <c r="AE45" s="305">
        <f t="shared" si="2"/>
        <v>0.93084500000000003</v>
      </c>
      <c r="AF45" s="305">
        <f t="shared" si="2"/>
        <v>0.92709399999999997</v>
      </c>
      <c r="AG45" s="305">
        <f t="shared" si="2"/>
        <v>0.92458599999999991</v>
      </c>
      <c r="AH45" s="305">
        <f t="shared" si="2"/>
        <v>0.92581500000000005</v>
      </c>
      <c r="AI45" s="305">
        <f t="shared" si="2"/>
        <v>0.93603499999999995</v>
      </c>
      <c r="AJ45" s="305">
        <f t="shared" si="2"/>
        <v>0.94016100000000002</v>
      </c>
      <c r="AK45" s="306"/>
    </row>
    <row r="46" spans="1:38" s="259" customFormat="1">
      <c r="A46" s="264" t="s">
        <v>193</v>
      </c>
      <c r="B46" s="350">
        <f>B45*365</f>
        <v>105.71421761997043</v>
      </c>
      <c r="C46" s="350">
        <f t="shared" ref="C46:AJ46" si="3">C45*365</f>
        <v>158.91881009563792</v>
      </c>
      <c r="D46" s="350">
        <f t="shared" si="3"/>
        <v>231.30897728726265</v>
      </c>
      <c r="E46" s="350">
        <f t="shared" si="3"/>
        <v>273.77869168296451</v>
      </c>
      <c r="F46" s="351">
        <f t="shared" si="3"/>
        <v>330.59007454663532</v>
      </c>
      <c r="G46" s="307">
        <f t="shared" si="3"/>
        <v>346.41273999999999</v>
      </c>
      <c r="H46" s="307">
        <f t="shared" si="3"/>
        <v>332.23648773503913</v>
      </c>
      <c r="I46" s="307">
        <f t="shared" si="3"/>
        <v>336.63400877733272</v>
      </c>
      <c r="J46" s="307">
        <f t="shared" si="3"/>
        <v>352.19858305216189</v>
      </c>
      <c r="K46" s="307">
        <f t="shared" si="3"/>
        <v>332.67387741278202</v>
      </c>
      <c r="L46" s="307">
        <f t="shared" si="3"/>
        <v>334.25860074671806</v>
      </c>
      <c r="M46" s="307">
        <f t="shared" si="3"/>
        <v>341.17813427402433</v>
      </c>
      <c r="N46" s="307">
        <f t="shared" si="3"/>
        <v>345.58877710595249</v>
      </c>
      <c r="O46" s="307">
        <f t="shared" si="3"/>
        <v>352.0193896929872</v>
      </c>
      <c r="P46" s="307">
        <f t="shared" si="3"/>
        <v>362.16295876265764</v>
      </c>
      <c r="Q46" s="307">
        <f t="shared" si="3"/>
        <v>371.28950968144909</v>
      </c>
      <c r="R46" s="307">
        <f t="shared" si="3"/>
        <v>386.73310267300621</v>
      </c>
      <c r="S46" s="307">
        <f t="shared" si="3"/>
        <v>401.15959175664915</v>
      </c>
      <c r="T46" s="307">
        <f t="shared" si="3"/>
        <v>414.56272820760728</v>
      </c>
      <c r="U46" s="307">
        <f t="shared" si="3"/>
        <v>426.01426158540727</v>
      </c>
      <c r="V46" s="307">
        <f t="shared" si="3"/>
        <v>436.3142303161336</v>
      </c>
      <c r="W46" s="307">
        <f t="shared" si="3"/>
        <v>444.95490300330164</v>
      </c>
      <c r="X46" s="307">
        <f t="shared" si="3"/>
        <v>451.53307562319765</v>
      </c>
      <c r="Y46" s="307">
        <f t="shared" si="3"/>
        <v>456.17321024350161</v>
      </c>
      <c r="Z46" s="307">
        <f t="shared" si="3"/>
        <v>459.60339229062083</v>
      </c>
      <c r="AA46" s="307">
        <f t="shared" si="3"/>
        <v>340.54244500000004</v>
      </c>
      <c r="AB46" s="307">
        <f t="shared" si="3"/>
        <v>340.53806500000002</v>
      </c>
      <c r="AC46" s="307">
        <f t="shared" si="3"/>
        <v>340.58004</v>
      </c>
      <c r="AD46" s="307">
        <f t="shared" si="3"/>
        <v>340.58004</v>
      </c>
      <c r="AE46" s="307">
        <f t="shared" si="3"/>
        <v>339.75842499999999</v>
      </c>
      <c r="AF46" s="307">
        <f t="shared" si="3"/>
        <v>338.38930999999997</v>
      </c>
      <c r="AG46" s="307">
        <f t="shared" si="3"/>
        <v>337.47388999999998</v>
      </c>
      <c r="AH46" s="307">
        <f t="shared" si="3"/>
        <v>337.92247500000002</v>
      </c>
      <c r="AI46" s="307">
        <f t="shared" si="3"/>
        <v>341.65277499999996</v>
      </c>
      <c r="AJ46" s="307">
        <f t="shared" si="3"/>
        <v>343.15876500000002</v>
      </c>
      <c r="AK46" s="304"/>
    </row>
    <row r="47" spans="1:38" s="259" customFormat="1">
      <c r="A47" s="264" t="s">
        <v>192</v>
      </c>
      <c r="B47" s="350"/>
      <c r="C47" s="356">
        <f>C46/B46-1</f>
        <v>0.50328700976562524</v>
      </c>
      <c r="D47" s="356">
        <f t="shared" ref="D47:Z47" si="4">D46/C46-1</f>
        <v>0.45551667010381003</v>
      </c>
      <c r="E47" s="356">
        <f t="shared" si="4"/>
        <v>0.1836059927019551</v>
      </c>
      <c r="F47" s="357">
        <f t="shared" si="4"/>
        <v>0.20750841679621423</v>
      </c>
      <c r="G47" s="308"/>
      <c r="H47" s="308">
        <f t="shared" si="4"/>
        <v>-4.0923010698050155E-2</v>
      </c>
      <c r="I47" s="308">
        <f t="shared" si="4"/>
        <v>1.32361170570785E-2</v>
      </c>
      <c r="J47" s="308">
        <f t="shared" si="4"/>
        <v>4.6235893786727766E-2</v>
      </c>
      <c r="K47" s="308">
        <f t="shared" si="4"/>
        <v>-5.5436638813757488E-2</v>
      </c>
      <c r="L47" s="308">
        <f t="shared" si="4"/>
        <v>4.7635941428900708E-3</v>
      </c>
      <c r="M47" s="308">
        <f t="shared" si="4"/>
        <v>2.0701138315807999E-2</v>
      </c>
      <c r="N47" s="308">
        <f t="shared" si="4"/>
        <v>1.2927683191988004E-2</v>
      </c>
      <c r="O47" s="308">
        <f t="shared" si="4"/>
        <v>1.8607700866001275E-2</v>
      </c>
      <c r="P47" s="308">
        <f t="shared" si="4"/>
        <v>2.8815370308201249E-2</v>
      </c>
      <c r="Q47" s="308">
        <f t="shared" si="4"/>
        <v>2.5200122480699472E-2</v>
      </c>
      <c r="R47" s="308">
        <f t="shared" si="4"/>
        <v>4.1594477055942436E-2</v>
      </c>
      <c r="S47" s="308">
        <f t="shared" si="4"/>
        <v>3.730347618016272E-2</v>
      </c>
      <c r="T47" s="308">
        <f t="shared" si="4"/>
        <v>3.3410983375137038E-2</v>
      </c>
      <c r="U47" s="308">
        <f t="shared" si="4"/>
        <v>2.762316194538661E-2</v>
      </c>
      <c r="V47" s="308">
        <f t="shared" si="4"/>
        <v>2.4177520941188968E-2</v>
      </c>
      <c r="W47" s="308">
        <f t="shared" si="4"/>
        <v>1.9803783802575969E-2</v>
      </c>
      <c r="X47" s="308">
        <f t="shared" si="4"/>
        <v>1.4783908606232909E-2</v>
      </c>
      <c r="Y47" s="308">
        <f t="shared" si="4"/>
        <v>1.0276400270123665E-2</v>
      </c>
      <c r="Z47" s="308">
        <f t="shared" si="4"/>
        <v>7.5194728013252554E-3</v>
      </c>
      <c r="AA47" s="308">
        <f t="shared" ref="AA47:AJ47" si="5">AA46/Z46-1</f>
        <v>-0.25905149806930716</v>
      </c>
      <c r="AB47" s="308">
        <f t="shared" si="5"/>
        <v>-1.2861832832666842E-5</v>
      </c>
      <c r="AC47" s="308">
        <f t="shared" si="5"/>
        <v>1.2326081667257682E-4</v>
      </c>
      <c r="AD47" s="308">
        <f t="shared" si="5"/>
        <v>0</v>
      </c>
      <c r="AE47" s="308">
        <f t="shared" si="5"/>
        <v>-2.412399152927458E-3</v>
      </c>
      <c r="AF47" s="308">
        <f t="shared" si="5"/>
        <v>-4.0296719647202606E-3</v>
      </c>
      <c r="AG47" s="308">
        <f t="shared" si="5"/>
        <v>-2.7052273016543449E-3</v>
      </c>
      <c r="AH47" s="308">
        <f t="shared" si="5"/>
        <v>1.3292435749623355E-3</v>
      </c>
      <c r="AI47" s="308">
        <f t="shared" si="5"/>
        <v>1.1038922462910827E-2</v>
      </c>
      <c r="AJ47" s="308">
        <f t="shared" si="5"/>
        <v>4.4079548307489613E-3</v>
      </c>
      <c r="AK47" s="304"/>
    </row>
    <row r="48" spans="1:38" s="265" customFormat="1">
      <c r="A48" s="262" t="s">
        <v>195</v>
      </c>
      <c r="B48" s="358">
        <f>SUM(B33,B36,B40)/B43</f>
        <v>1.3993479668594277E-2</v>
      </c>
      <c r="C48" s="358">
        <f t="shared" ref="C48:AJ48" si="6">SUM(C33,C36,C40)/C43</f>
        <v>2.0964626725248844E-2</v>
      </c>
      <c r="D48" s="358">
        <f t="shared" si="6"/>
        <v>3.2255142582921545E-2</v>
      </c>
      <c r="E48" s="358">
        <f t="shared" si="6"/>
        <v>3.8621421054708789E-2</v>
      </c>
      <c r="F48" s="359">
        <f t="shared" si="6"/>
        <v>4.6238990645239793E-2</v>
      </c>
      <c r="G48" s="309">
        <f t="shared" si="6"/>
        <v>5.0113358533740354E-2</v>
      </c>
      <c r="H48" s="309">
        <f t="shared" si="6"/>
        <v>4.8957766991398283E-2</v>
      </c>
      <c r="I48" s="309">
        <f t="shared" si="6"/>
        <v>4.8578849560248959E-2</v>
      </c>
      <c r="J48" s="309">
        <f t="shared" si="6"/>
        <v>5.1284361693822764E-2</v>
      </c>
      <c r="K48" s="309">
        <f t="shared" si="6"/>
        <v>4.7576032869045506E-2</v>
      </c>
      <c r="L48" s="309">
        <f t="shared" si="6"/>
        <v>4.7305096007127075E-2</v>
      </c>
      <c r="M48" s="309">
        <f t="shared" si="6"/>
        <v>4.7990408149769591E-2</v>
      </c>
      <c r="N48" s="309">
        <f t="shared" si="6"/>
        <v>4.8486149400757073E-2</v>
      </c>
      <c r="O48" s="309">
        <f t="shared" si="6"/>
        <v>4.9368514215783074E-2</v>
      </c>
      <c r="P48" s="309">
        <f t="shared" si="6"/>
        <v>5.0830360119830421E-2</v>
      </c>
      <c r="Q48" s="309">
        <f t="shared" si="6"/>
        <v>5.2227082464624625E-2</v>
      </c>
      <c r="R48" s="310">
        <f t="shared" si="6"/>
        <v>5.4509371249060634E-2</v>
      </c>
      <c r="S48" s="309">
        <f t="shared" si="6"/>
        <v>5.6685779692733994E-2</v>
      </c>
      <c r="T48" s="309">
        <f t="shared" si="6"/>
        <v>5.8757749486676503E-2</v>
      </c>
      <c r="U48" s="309">
        <f t="shared" si="6"/>
        <v>6.059303768673973E-2</v>
      </c>
      <c r="V48" s="309">
        <f t="shared" si="6"/>
        <v>6.2328131729370427E-2</v>
      </c>
      <c r="W48" s="309">
        <f t="shared" si="6"/>
        <v>6.3760503080617439E-2</v>
      </c>
      <c r="X48" s="309">
        <f t="shared" si="6"/>
        <v>6.4904735244002754E-2</v>
      </c>
      <c r="Y48" s="309">
        <f t="shared" si="6"/>
        <v>6.5845504400378327E-2</v>
      </c>
      <c r="Z48" s="310">
        <f t="shared" si="6"/>
        <v>6.6531540352623181E-2</v>
      </c>
      <c r="AA48" s="310">
        <f t="shared" si="6"/>
        <v>4.9414968462367842E-2</v>
      </c>
      <c r="AB48" s="310">
        <f t="shared" si="6"/>
        <v>4.9526297592861444E-2</v>
      </c>
      <c r="AC48" s="310">
        <f t="shared" si="6"/>
        <v>4.9644791616011673E-2</v>
      </c>
      <c r="AD48" s="310">
        <f t="shared" si="6"/>
        <v>4.9716548920366761E-2</v>
      </c>
      <c r="AE48" s="310">
        <f t="shared" si="6"/>
        <v>4.9640068242728409E-2</v>
      </c>
      <c r="AF48" s="310">
        <f t="shared" si="6"/>
        <v>4.9492761309831122E-2</v>
      </c>
      <c r="AG48" s="310">
        <f t="shared" si="6"/>
        <v>4.932872490998011E-2</v>
      </c>
      <c r="AH48" s="310">
        <f t="shared" si="6"/>
        <v>4.9362373023777592E-2</v>
      </c>
      <c r="AI48" s="310">
        <f t="shared" si="6"/>
        <v>4.9925796825392763E-2</v>
      </c>
      <c r="AJ48" s="310">
        <f t="shared" si="6"/>
        <v>5.0208967046234856E-2</v>
      </c>
      <c r="AK48" s="311"/>
    </row>
    <row r="49" spans="1:37" s="265" customFormat="1">
      <c r="A49" s="265" t="s">
        <v>186</v>
      </c>
      <c r="B49" s="360">
        <f>B33*365 * 42/1000</f>
        <v>4.1895202937722189</v>
      </c>
      <c r="C49" s="360">
        <f t="shared" ref="C49:AJ49" si="7">C33*365 * 42/1000</f>
        <v>6.1835701614618239</v>
      </c>
      <c r="D49" s="360">
        <f t="shared" si="7"/>
        <v>8.9300929445028281</v>
      </c>
      <c r="E49" s="360">
        <f t="shared" si="7"/>
        <v>10.57340813040733</v>
      </c>
      <c r="F49" s="361">
        <f t="shared" si="7"/>
        <v>12.90469492435456</v>
      </c>
      <c r="G49" s="312">
        <f t="shared" si="7"/>
        <v>13.58201208</v>
      </c>
      <c r="H49" s="312">
        <f t="shared" si="7"/>
        <v>12.933246479999999</v>
      </c>
      <c r="I49" s="312">
        <f t="shared" si="7"/>
        <v>12.815159489999999</v>
      </c>
      <c r="J49" s="312">
        <f t="shared" si="7"/>
        <v>13.33685472</v>
      </c>
      <c r="K49" s="312">
        <f t="shared" si="7"/>
        <v>12.572746199999999</v>
      </c>
      <c r="L49" s="312">
        <f t="shared" si="7"/>
        <v>12.606410879999997</v>
      </c>
      <c r="M49" s="312">
        <f t="shared" si="7"/>
        <v>12.7724961</v>
      </c>
      <c r="N49" s="312">
        <f t="shared" si="7"/>
        <v>12.79849578</v>
      </c>
      <c r="O49" s="312">
        <f t="shared" si="7"/>
        <v>12.799660859999999</v>
      </c>
      <c r="P49" s="312">
        <f t="shared" si="7"/>
        <v>12.883423980000002</v>
      </c>
      <c r="Q49" s="312">
        <f t="shared" si="7"/>
        <v>12.857041049999999</v>
      </c>
      <c r="R49" s="312">
        <f t="shared" si="7"/>
        <v>13.0113375</v>
      </c>
      <c r="S49" s="312">
        <f t="shared" si="7"/>
        <v>13.097829360000002</v>
      </c>
      <c r="T49" s="312">
        <f t="shared" si="7"/>
        <v>13.097599410000003</v>
      </c>
      <c r="U49" s="312">
        <f t="shared" si="7"/>
        <v>13.09776804</v>
      </c>
      <c r="V49" s="312">
        <f t="shared" si="7"/>
        <v>13.097829360000002</v>
      </c>
      <c r="W49" s="312">
        <f t="shared" si="7"/>
        <v>13.1106759</v>
      </c>
      <c r="X49" s="312">
        <f t="shared" si="7"/>
        <v>13.120134510000002</v>
      </c>
      <c r="Y49" s="312">
        <f t="shared" si="7"/>
        <v>13.11995055</v>
      </c>
      <c r="Z49" s="312">
        <f t="shared" si="7"/>
        <v>13.120134510000002</v>
      </c>
      <c r="AA49" s="312">
        <f t="shared" si="7"/>
        <v>13.120134510000002</v>
      </c>
      <c r="AB49" s="312">
        <f t="shared" si="7"/>
        <v>13.11995055</v>
      </c>
      <c r="AC49" s="312">
        <f t="shared" si="7"/>
        <v>13.11995055</v>
      </c>
      <c r="AD49" s="312">
        <f t="shared" si="7"/>
        <v>13.11995055</v>
      </c>
      <c r="AE49" s="312">
        <f t="shared" si="7"/>
        <v>13.08544272</v>
      </c>
      <c r="AF49" s="312">
        <f t="shared" si="7"/>
        <v>13.027939889999997</v>
      </c>
      <c r="AG49" s="312">
        <f t="shared" si="7"/>
        <v>12.993324749999999</v>
      </c>
      <c r="AH49" s="312">
        <f t="shared" si="7"/>
        <v>13.008332820000001</v>
      </c>
      <c r="AI49" s="312">
        <f t="shared" si="7"/>
        <v>13.168837920000001</v>
      </c>
      <c r="AJ49" s="312">
        <f t="shared" si="7"/>
        <v>13.226494050000001</v>
      </c>
      <c r="AK49" s="313"/>
    </row>
    <row r="50" spans="1:37">
      <c r="A50" s="6" t="s">
        <v>160</v>
      </c>
      <c r="R50" s="299" t="s">
        <v>0</v>
      </c>
    </row>
    <row r="51" spans="1:37">
      <c r="A51" s="6" t="s">
        <v>159</v>
      </c>
    </row>
    <row r="52" spans="1:37">
      <c r="A52" s="6" t="s">
        <v>695</v>
      </c>
      <c r="B52" s="348">
        <v>2.0520000457763699</v>
      </c>
      <c r="C52" s="348">
        <v>2.08500003814697</v>
      </c>
      <c r="D52" s="348">
        <v>2.02300000190735</v>
      </c>
      <c r="E52" s="348">
        <v>1.9900000095367401</v>
      </c>
      <c r="F52" s="349">
        <v>1.9984494447708101</v>
      </c>
      <c r="G52" s="293">
        <v>2.3039999999999998</v>
      </c>
      <c r="H52" s="293">
        <v>2.3239999999999998</v>
      </c>
      <c r="I52" s="293">
        <v>2.407</v>
      </c>
      <c r="J52" s="293">
        <v>2.4159999999999999</v>
      </c>
      <c r="K52" s="293">
        <v>2.4498690000000001</v>
      </c>
      <c r="L52" s="293">
        <v>2.5403880000000001</v>
      </c>
      <c r="M52" s="293">
        <v>2.599494</v>
      </c>
      <c r="N52" s="293">
        <v>2.6464240000000001</v>
      </c>
      <c r="O52" s="293">
        <v>2.693587</v>
      </c>
      <c r="P52" s="293">
        <v>2.7283230000000001</v>
      </c>
      <c r="Q52" s="293">
        <v>2.742324</v>
      </c>
      <c r="R52" s="293">
        <v>2.7799209999999999</v>
      </c>
      <c r="S52" s="293">
        <v>2.8150529999999998</v>
      </c>
      <c r="T52" s="293">
        <v>2.8347359999999999</v>
      </c>
      <c r="U52" s="293">
        <v>2.8433090000000001</v>
      </c>
      <c r="V52" s="293">
        <v>2.840814</v>
      </c>
      <c r="W52" s="293">
        <v>2.844868</v>
      </c>
      <c r="X52" s="293">
        <v>2.8578079999999999</v>
      </c>
      <c r="Y52" s="293">
        <v>2.8486820000000002</v>
      </c>
      <c r="Z52" s="293">
        <v>2.8402569999999998</v>
      </c>
      <c r="AA52" s="293">
        <v>2.8361179999999999</v>
      </c>
      <c r="AB52" s="293">
        <v>2.8308490000000002</v>
      </c>
      <c r="AC52" s="293">
        <v>2.8180170000000002</v>
      </c>
      <c r="AD52" s="293">
        <v>2.7924669999999998</v>
      </c>
      <c r="AE52" s="293">
        <v>2.7826710000000001</v>
      </c>
      <c r="AF52" s="293">
        <v>2.76675</v>
      </c>
      <c r="AG52" s="293">
        <v>2.7715809999999999</v>
      </c>
      <c r="AH52" s="293">
        <v>2.7629000000000001</v>
      </c>
      <c r="AI52" s="293">
        <v>2.7495129999999999</v>
      </c>
      <c r="AJ52" s="293">
        <v>2.7286790000000001</v>
      </c>
      <c r="AK52" s="294">
        <v>6.0000000000000001E-3</v>
      </c>
    </row>
    <row r="53" spans="1:37">
      <c r="A53" s="6" t="s">
        <v>694</v>
      </c>
      <c r="B53" s="348">
        <v>8.6600880604237296E-4</v>
      </c>
      <c r="C53" s="348">
        <v>1.0510511929169299E-3</v>
      </c>
      <c r="D53" s="348">
        <v>8.0768426414579196E-4</v>
      </c>
      <c r="E53" s="348">
        <v>4.3171385186724403E-4</v>
      </c>
      <c r="F53" s="349">
        <v>1.8219171324744801E-3</v>
      </c>
      <c r="G53" s="293">
        <v>1.882E-3</v>
      </c>
      <c r="H53" s="293">
        <v>9.8740000000000008E-3</v>
      </c>
      <c r="I53" s="293">
        <v>1.3136999999999999E-2</v>
      </c>
      <c r="J53" s="293">
        <v>1.4973999999999999E-2</v>
      </c>
      <c r="K53" s="293">
        <v>1.2047E-2</v>
      </c>
      <c r="L53" s="293">
        <v>2.5141E-2</v>
      </c>
      <c r="M53" s="293">
        <v>5.3563E-2</v>
      </c>
      <c r="N53" s="293">
        <v>8.0305000000000001E-2</v>
      </c>
      <c r="O53" s="293">
        <v>0.10901</v>
      </c>
      <c r="P53" s="293">
        <v>0.13106100000000001</v>
      </c>
      <c r="Q53" s="293">
        <v>0.162138</v>
      </c>
      <c r="R53" s="293">
        <v>0.20447299999999999</v>
      </c>
      <c r="S53" s="293">
        <v>0.22256600000000001</v>
      </c>
      <c r="T53" s="293">
        <v>0.242672</v>
      </c>
      <c r="U53" s="293">
        <v>0.26248500000000002</v>
      </c>
      <c r="V53" s="293">
        <v>0.279335</v>
      </c>
      <c r="W53" s="293">
        <v>0.29406700000000002</v>
      </c>
      <c r="X53" s="293">
        <v>0.30546400000000001</v>
      </c>
      <c r="Y53" s="293">
        <v>0.31323699999999999</v>
      </c>
      <c r="Z53" s="293">
        <v>0.31872699999999998</v>
      </c>
      <c r="AA53" s="293">
        <v>0.321052</v>
      </c>
      <c r="AB53" s="293">
        <v>0.31902700000000001</v>
      </c>
      <c r="AC53" s="293">
        <v>0.31467200000000001</v>
      </c>
      <c r="AD53" s="293">
        <v>0.30996699999999999</v>
      </c>
      <c r="AE53" s="293">
        <v>0.29748400000000003</v>
      </c>
      <c r="AF53" s="293">
        <v>0.28148600000000001</v>
      </c>
      <c r="AG53" s="293">
        <v>0.26450099999999999</v>
      </c>
      <c r="AH53" s="293">
        <v>0.245667</v>
      </c>
      <c r="AI53" s="293">
        <v>0.23741399999999999</v>
      </c>
      <c r="AJ53" s="293">
        <v>0.22813</v>
      </c>
      <c r="AK53" s="294">
        <v>0.11899999999999999</v>
      </c>
    </row>
    <row r="54" spans="1:37">
      <c r="A54" s="6" t="s">
        <v>696</v>
      </c>
      <c r="B54" s="348">
        <v>9.2527751922607404</v>
      </c>
      <c r="C54" s="348">
        <v>9.2857265472412092</v>
      </c>
      <c r="D54" s="348">
        <v>9.0097904205322301</v>
      </c>
      <c r="E54" s="348">
        <v>8.9638872146606392</v>
      </c>
      <c r="F54" s="349">
        <v>9.3608798980712908</v>
      </c>
      <c r="G54" s="293">
        <v>8.7543939999999996</v>
      </c>
      <c r="H54" s="293">
        <v>8.7103070000000002</v>
      </c>
      <c r="I54" s="293">
        <v>8.7047209999999993</v>
      </c>
      <c r="J54" s="293">
        <v>8.6720810000000004</v>
      </c>
      <c r="K54" s="293">
        <v>8.7711889999999997</v>
      </c>
      <c r="L54" s="293">
        <v>8.7249210000000001</v>
      </c>
      <c r="M54" s="293">
        <v>8.665521</v>
      </c>
      <c r="N54" s="293">
        <v>8.5782380000000007</v>
      </c>
      <c r="O54" s="293">
        <v>8.4654989999999994</v>
      </c>
      <c r="P54" s="293">
        <v>8.3493230000000001</v>
      </c>
      <c r="Q54" s="293">
        <v>8.2274130000000003</v>
      </c>
      <c r="R54" s="293">
        <v>8.1002519999999993</v>
      </c>
      <c r="S54" s="293">
        <v>7.9630890000000001</v>
      </c>
      <c r="T54" s="293">
        <v>7.8215009999999996</v>
      </c>
      <c r="U54" s="293">
        <v>7.6724129999999997</v>
      </c>
      <c r="V54" s="293">
        <v>7.5382249999999997</v>
      </c>
      <c r="W54" s="293">
        <v>7.4181600000000003</v>
      </c>
      <c r="X54" s="293">
        <v>7.3157300000000003</v>
      </c>
      <c r="Y54" s="293">
        <v>7.224996</v>
      </c>
      <c r="Z54" s="293">
        <v>7.1462729999999999</v>
      </c>
      <c r="AA54" s="293">
        <v>7.080946</v>
      </c>
      <c r="AB54" s="293">
        <v>7.0268600000000001</v>
      </c>
      <c r="AC54" s="293">
        <v>6.9825390000000001</v>
      </c>
      <c r="AD54" s="293">
        <v>6.943378</v>
      </c>
      <c r="AE54" s="293">
        <v>6.9093359999999997</v>
      </c>
      <c r="AF54" s="293">
        <v>6.8818789999999996</v>
      </c>
      <c r="AG54" s="293">
        <v>6.8622290000000001</v>
      </c>
      <c r="AH54" s="293">
        <v>6.8497510000000004</v>
      </c>
      <c r="AI54" s="293">
        <v>6.8444979999999997</v>
      </c>
      <c r="AJ54" s="293">
        <v>6.8408179999999996</v>
      </c>
      <c r="AK54" s="294">
        <v>-8.9999999999999993E-3</v>
      </c>
    </row>
    <row r="55" spans="1:37">
      <c r="A55" s="6" t="s">
        <v>697</v>
      </c>
      <c r="B55" s="348">
        <v>1.63300001621246</v>
      </c>
      <c r="C55" s="348">
        <v>1.6219999790191699</v>
      </c>
      <c r="D55" s="348">
        <v>1.5329999923706099</v>
      </c>
      <c r="E55" s="348">
        <v>1.47300004959106</v>
      </c>
      <c r="F55" s="349">
        <v>1.45558297634125</v>
      </c>
      <c r="G55" s="293">
        <v>1.425</v>
      </c>
      <c r="H55" s="293">
        <v>1.399</v>
      </c>
      <c r="I55" s="293">
        <v>1.4039999999999999</v>
      </c>
      <c r="J55" s="293">
        <v>1.4059999999999999</v>
      </c>
      <c r="K55" s="293">
        <v>1.459821</v>
      </c>
      <c r="L55" s="293">
        <v>1.466666</v>
      </c>
      <c r="M55" s="293">
        <v>1.4738910000000001</v>
      </c>
      <c r="N55" s="293">
        <v>1.4802960000000001</v>
      </c>
      <c r="O55" s="293">
        <v>1.4860789999999999</v>
      </c>
      <c r="P55" s="293">
        <v>1.491026</v>
      </c>
      <c r="Q55" s="293">
        <v>1.496483</v>
      </c>
      <c r="R55" s="293">
        <v>1.5023390000000001</v>
      </c>
      <c r="S55" s="293">
        <v>1.5080819999999999</v>
      </c>
      <c r="T55" s="293">
        <v>1.514818</v>
      </c>
      <c r="U55" s="293">
        <v>1.5222910000000001</v>
      </c>
      <c r="V55" s="293">
        <v>1.529134</v>
      </c>
      <c r="W55" s="293">
        <v>1.5350699999999999</v>
      </c>
      <c r="X55" s="293">
        <v>1.540705</v>
      </c>
      <c r="Y55" s="293">
        <v>1.5457909999999999</v>
      </c>
      <c r="Z55" s="293">
        <v>1.550583</v>
      </c>
      <c r="AA55" s="293">
        <v>1.555024</v>
      </c>
      <c r="AB55" s="293">
        <v>1.559142</v>
      </c>
      <c r="AC55" s="293">
        <v>1.562889</v>
      </c>
      <c r="AD55" s="293">
        <v>1.5661639999999999</v>
      </c>
      <c r="AE55" s="293">
        <v>1.5691090000000001</v>
      </c>
      <c r="AF55" s="293">
        <v>1.5733360000000001</v>
      </c>
      <c r="AG55" s="293">
        <v>1.577515</v>
      </c>
      <c r="AH55" s="293">
        <v>1.5816300000000001</v>
      </c>
      <c r="AI55" s="293">
        <v>1.585529</v>
      </c>
      <c r="AJ55" s="293">
        <v>1.5896079999999999</v>
      </c>
      <c r="AK55" s="294">
        <v>5.0000000000000001E-3</v>
      </c>
    </row>
    <row r="56" spans="1:37">
      <c r="A56" s="6" t="s">
        <v>698</v>
      </c>
      <c r="B56" s="348">
        <v>4.1690001487731898</v>
      </c>
      <c r="C56" s="348">
        <v>4.1960000991821298</v>
      </c>
      <c r="D56" s="348">
        <v>3.9430000782012899</v>
      </c>
      <c r="E56" s="348">
        <v>3.90199995040894</v>
      </c>
      <c r="F56" s="349">
        <v>4.0923304557800302</v>
      </c>
      <c r="G56" s="293">
        <v>3.899</v>
      </c>
      <c r="H56" s="293">
        <v>3.7429999999999999</v>
      </c>
      <c r="I56" s="293">
        <v>3.859</v>
      </c>
      <c r="J56" s="293">
        <v>3.9089999999999998</v>
      </c>
      <c r="K56" s="293">
        <v>4.0858679999999996</v>
      </c>
      <c r="L56" s="293">
        <v>4.177359</v>
      </c>
      <c r="M56" s="293">
        <v>4.228364</v>
      </c>
      <c r="N56" s="293">
        <v>4.2508220000000003</v>
      </c>
      <c r="O56" s="293">
        <v>4.2730649999999999</v>
      </c>
      <c r="P56" s="293">
        <v>4.295331</v>
      </c>
      <c r="Q56" s="293">
        <v>4.319947</v>
      </c>
      <c r="R56" s="293">
        <v>4.3484850000000002</v>
      </c>
      <c r="S56" s="293">
        <v>4.3784619999999999</v>
      </c>
      <c r="T56" s="293">
        <v>4.4044730000000003</v>
      </c>
      <c r="U56" s="293">
        <v>4.436998</v>
      </c>
      <c r="V56" s="293">
        <v>4.460839</v>
      </c>
      <c r="W56" s="293">
        <v>4.4796500000000004</v>
      </c>
      <c r="X56" s="293">
        <v>4.4870289999999997</v>
      </c>
      <c r="Y56" s="293">
        <v>4.4989540000000003</v>
      </c>
      <c r="Z56" s="293">
        <v>4.5163840000000004</v>
      </c>
      <c r="AA56" s="293">
        <v>4.5280180000000003</v>
      </c>
      <c r="AB56" s="293">
        <v>4.5344899999999999</v>
      </c>
      <c r="AC56" s="293">
        <v>4.5444589999999998</v>
      </c>
      <c r="AD56" s="293">
        <v>4.5662190000000002</v>
      </c>
      <c r="AE56" s="293">
        <v>4.5865479999999996</v>
      </c>
      <c r="AF56" s="293">
        <v>4.5978500000000002</v>
      </c>
      <c r="AG56" s="293">
        <v>4.6070399999999996</v>
      </c>
      <c r="AH56" s="293">
        <v>4.6156879999999996</v>
      </c>
      <c r="AI56" s="293">
        <v>4.6224400000000001</v>
      </c>
      <c r="AJ56" s="293">
        <v>4.6207630000000002</v>
      </c>
      <c r="AK56" s="294">
        <v>8.0000000000000002E-3</v>
      </c>
    </row>
    <row r="57" spans="1:37">
      <c r="A57" s="6" t="s">
        <v>158</v>
      </c>
      <c r="B57" s="348">
        <v>3.21000003814697</v>
      </c>
      <c r="C57" s="348">
        <v>3.4670000076293901</v>
      </c>
      <c r="D57" s="348">
        <v>3.46799993515015</v>
      </c>
      <c r="E57" s="348">
        <v>3.4189999103546098</v>
      </c>
      <c r="F57" s="349">
        <v>3.47832202911377</v>
      </c>
      <c r="G57" s="293">
        <v>3.5059999999999998</v>
      </c>
      <c r="H57" s="293">
        <v>3.448</v>
      </c>
      <c r="I57" s="293">
        <v>3.5550000000000002</v>
      </c>
      <c r="J57" s="293">
        <v>3.601</v>
      </c>
      <c r="K57" s="293">
        <v>3.6780590000000002</v>
      </c>
      <c r="L57" s="293">
        <v>3.788999</v>
      </c>
      <c r="M57" s="293">
        <v>3.841418</v>
      </c>
      <c r="N57" s="293">
        <v>3.888255</v>
      </c>
      <c r="O57" s="293">
        <v>3.9148960000000002</v>
      </c>
      <c r="P57" s="293">
        <v>3.942434</v>
      </c>
      <c r="Q57" s="293">
        <v>3.9721639999999998</v>
      </c>
      <c r="R57" s="293">
        <v>4.005528</v>
      </c>
      <c r="S57" s="293">
        <v>4.0400039999999997</v>
      </c>
      <c r="T57" s="293">
        <v>4.0698509999999999</v>
      </c>
      <c r="U57" s="293">
        <v>4.1063919999999996</v>
      </c>
      <c r="V57" s="293">
        <v>4.1354759999999997</v>
      </c>
      <c r="W57" s="293">
        <v>4.1591009999999997</v>
      </c>
      <c r="X57" s="293">
        <v>4.1709329999999998</v>
      </c>
      <c r="Y57" s="293">
        <v>4.1869290000000001</v>
      </c>
      <c r="Z57" s="293">
        <v>4.2079300000000002</v>
      </c>
      <c r="AA57" s="293">
        <v>4.2245819999999998</v>
      </c>
      <c r="AB57" s="293">
        <v>4.2349610000000002</v>
      </c>
      <c r="AC57" s="293">
        <v>4.2486269999999999</v>
      </c>
      <c r="AD57" s="293">
        <v>4.2736000000000001</v>
      </c>
      <c r="AE57" s="293">
        <v>4.2970110000000004</v>
      </c>
      <c r="AF57" s="293">
        <v>4.3111389999999998</v>
      </c>
      <c r="AG57" s="293">
        <v>4.3229870000000004</v>
      </c>
      <c r="AH57" s="293">
        <v>4.3342970000000003</v>
      </c>
      <c r="AI57" s="293">
        <v>4.3436260000000004</v>
      </c>
      <c r="AJ57" s="293">
        <v>4.344544</v>
      </c>
      <c r="AK57" s="294">
        <v>8.0000000000000002E-3</v>
      </c>
    </row>
    <row r="58" spans="1:37">
      <c r="A58" s="6" t="s">
        <v>157</v>
      </c>
      <c r="B58" s="348">
        <v>0.68900001049041704</v>
      </c>
      <c r="C58" s="348">
        <v>0.72299998998642001</v>
      </c>
      <c r="D58" s="348">
        <v>0.60799998044967696</v>
      </c>
      <c r="E58" s="348">
        <v>0.58099997043609597</v>
      </c>
      <c r="F58" s="349">
        <v>0.63298153877258301</v>
      </c>
      <c r="G58" s="293">
        <v>0.46100000000000002</v>
      </c>
      <c r="H58" s="293">
        <v>0.34499999999999997</v>
      </c>
      <c r="I58" s="293">
        <v>0.32200000000000001</v>
      </c>
      <c r="J58" s="293">
        <v>0.35</v>
      </c>
      <c r="K58" s="293">
        <v>0.38553500000000002</v>
      </c>
      <c r="L58" s="293">
        <v>0.39021600000000001</v>
      </c>
      <c r="M58" s="293">
        <v>0.38447300000000001</v>
      </c>
      <c r="N58" s="293">
        <v>0.390044</v>
      </c>
      <c r="O58" s="293">
        <v>0.38984200000000002</v>
      </c>
      <c r="P58" s="293">
        <v>0.38874799999999998</v>
      </c>
      <c r="Q58" s="293">
        <v>0.38986300000000002</v>
      </c>
      <c r="R58" s="293">
        <v>0.38962000000000002</v>
      </c>
      <c r="S58" s="293">
        <v>0.390509</v>
      </c>
      <c r="T58" s="293">
        <v>0.392071</v>
      </c>
      <c r="U58" s="293">
        <v>0.392706</v>
      </c>
      <c r="V58" s="293">
        <v>0.39272899999999999</v>
      </c>
      <c r="W58" s="293">
        <v>0.39312000000000002</v>
      </c>
      <c r="X58" s="293">
        <v>0.39413599999999999</v>
      </c>
      <c r="Y58" s="293">
        <v>0.39485900000000002</v>
      </c>
      <c r="Z58" s="293">
        <v>0.396202</v>
      </c>
      <c r="AA58" s="293">
        <v>0.39659499999999998</v>
      </c>
      <c r="AB58" s="293">
        <v>0.39696300000000001</v>
      </c>
      <c r="AC58" s="293">
        <v>0.398011</v>
      </c>
      <c r="AD58" s="293">
        <v>0.39871400000000001</v>
      </c>
      <c r="AE58" s="293">
        <v>0.39992499999999997</v>
      </c>
      <c r="AF58" s="293">
        <v>0.40121899999999999</v>
      </c>
      <c r="AG58" s="293">
        <v>0.40172999999999998</v>
      </c>
      <c r="AH58" s="293">
        <v>0.402443</v>
      </c>
      <c r="AI58" s="293">
        <v>0.40342099999999997</v>
      </c>
      <c r="AJ58" s="293">
        <v>0.40445900000000001</v>
      </c>
      <c r="AK58" s="294">
        <v>6.0000000000000001E-3</v>
      </c>
    </row>
    <row r="59" spans="1:37">
      <c r="A59" s="6" t="s">
        <v>699</v>
      </c>
      <c r="B59" s="348">
        <v>2.8580451011657702</v>
      </c>
      <c r="C59" s="348">
        <v>2.73703241348267</v>
      </c>
      <c r="D59" s="348">
        <v>2.4269983768463099</v>
      </c>
      <c r="E59" s="348">
        <v>2.3350048065185498</v>
      </c>
      <c r="F59" s="349">
        <v>2.2457344532012899</v>
      </c>
      <c r="G59" s="293">
        <v>2.0800260000000002</v>
      </c>
      <c r="H59" s="293">
        <v>1.965076</v>
      </c>
      <c r="I59" s="293">
        <v>1.942002</v>
      </c>
      <c r="J59" s="293">
        <v>1.9470000000000001</v>
      </c>
      <c r="K59" s="293">
        <v>2.0148790000000001</v>
      </c>
      <c r="L59" s="293">
        <v>2.0685479999999998</v>
      </c>
      <c r="M59" s="293">
        <v>2.1349170000000002</v>
      </c>
      <c r="N59" s="293">
        <v>2.1911809999999998</v>
      </c>
      <c r="O59" s="293">
        <v>2.2368299999999999</v>
      </c>
      <c r="P59" s="293">
        <v>2.276913</v>
      </c>
      <c r="Q59" s="293">
        <v>2.3108819999999999</v>
      </c>
      <c r="R59" s="293">
        <v>2.3269329999999999</v>
      </c>
      <c r="S59" s="293">
        <v>2.343264</v>
      </c>
      <c r="T59" s="293">
        <v>2.3722750000000001</v>
      </c>
      <c r="U59" s="293">
        <v>2.404312</v>
      </c>
      <c r="V59" s="293">
        <v>2.4265159999999999</v>
      </c>
      <c r="W59" s="293">
        <v>2.458132</v>
      </c>
      <c r="X59" s="293">
        <v>2.474024</v>
      </c>
      <c r="Y59" s="293">
        <v>2.4762659999999999</v>
      </c>
      <c r="Z59" s="293">
        <v>2.4857459999999998</v>
      </c>
      <c r="AA59" s="293">
        <v>2.4935139999999998</v>
      </c>
      <c r="AB59" s="293">
        <v>2.4994040000000002</v>
      </c>
      <c r="AC59" s="293">
        <v>2.4986790000000001</v>
      </c>
      <c r="AD59" s="293">
        <v>2.5103719999999998</v>
      </c>
      <c r="AE59" s="293">
        <v>2.5131139999999998</v>
      </c>
      <c r="AF59" s="293">
        <v>2.519142</v>
      </c>
      <c r="AG59" s="293">
        <v>2.531539</v>
      </c>
      <c r="AH59" s="293">
        <v>2.5507759999999999</v>
      </c>
      <c r="AI59" s="293">
        <v>2.550128</v>
      </c>
      <c r="AJ59" s="293">
        <v>2.5471759999999999</v>
      </c>
      <c r="AK59" s="294">
        <v>8.9999999999999993E-3</v>
      </c>
    </row>
    <row r="60" spans="1:37">
      <c r="A60" s="6" t="s">
        <v>156</v>
      </c>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row>
    <row r="61" spans="1:37">
      <c r="A61" s="6" t="s">
        <v>155</v>
      </c>
      <c r="B61" s="348">
        <v>1.0618205070495601</v>
      </c>
      <c r="C61" s="348">
        <v>1.1093590259552</v>
      </c>
      <c r="D61" s="348">
        <v>1.0993635654449501</v>
      </c>
      <c r="E61" s="348">
        <v>1.10606873035431</v>
      </c>
      <c r="F61" s="349">
        <v>1.0538341999053999</v>
      </c>
      <c r="G61" s="293">
        <v>0.96948900000000005</v>
      </c>
      <c r="H61" s="293">
        <v>0.94076099999999996</v>
      </c>
      <c r="I61" s="293">
        <v>0.95062599999999997</v>
      </c>
      <c r="J61" s="293">
        <v>0.94062699999999999</v>
      </c>
      <c r="K61" s="293">
        <v>0.91689699999999996</v>
      </c>
      <c r="L61" s="293">
        <v>0.91578099999999996</v>
      </c>
      <c r="M61" s="293">
        <v>0.90966899999999995</v>
      </c>
      <c r="N61" s="293">
        <v>0.90114399999999995</v>
      </c>
      <c r="O61" s="293">
        <v>0.89199799999999996</v>
      </c>
      <c r="P61" s="293">
        <v>0.88283199999999995</v>
      </c>
      <c r="Q61" s="293">
        <v>0.87347300000000005</v>
      </c>
      <c r="R61" s="293">
        <v>0.86438899999999996</v>
      </c>
      <c r="S61" s="293">
        <v>0.85625499999999999</v>
      </c>
      <c r="T61" s="293">
        <v>0.84867599999999999</v>
      </c>
      <c r="U61" s="293">
        <v>0.84107299999999996</v>
      </c>
      <c r="V61" s="293">
        <v>0.83371399999999996</v>
      </c>
      <c r="W61" s="293">
        <v>0.82639200000000002</v>
      </c>
      <c r="X61" s="293">
        <v>0.81992799999999999</v>
      </c>
      <c r="Y61" s="293">
        <v>0.81319300000000005</v>
      </c>
      <c r="Z61" s="293">
        <v>0.80710899999999997</v>
      </c>
      <c r="AA61" s="293">
        <v>0.80122000000000004</v>
      </c>
      <c r="AB61" s="293">
        <v>0.795458</v>
      </c>
      <c r="AC61" s="293">
        <v>0.79006900000000002</v>
      </c>
      <c r="AD61" s="293">
        <v>0.78411900000000001</v>
      </c>
      <c r="AE61" s="293">
        <v>0.77970600000000001</v>
      </c>
      <c r="AF61" s="293">
        <v>0.77555200000000002</v>
      </c>
      <c r="AG61" s="293">
        <v>0.771922</v>
      </c>
      <c r="AH61" s="293">
        <v>0.76868800000000004</v>
      </c>
      <c r="AI61" s="293">
        <v>0.76499200000000001</v>
      </c>
      <c r="AJ61" s="293">
        <v>0.76103399999999999</v>
      </c>
      <c r="AK61" s="294">
        <v>-8.0000000000000002E-3</v>
      </c>
    </row>
    <row r="62" spans="1:37">
      <c r="A62" s="6" t="s">
        <v>700</v>
      </c>
      <c r="B62" s="348">
        <v>5.3221449851989702</v>
      </c>
      <c r="C62" s="348">
        <v>5.2595095634460396</v>
      </c>
      <c r="D62" s="348">
        <v>4.9765362739562997</v>
      </c>
      <c r="E62" s="348">
        <v>4.70910596847534</v>
      </c>
      <c r="F62" s="349">
        <v>4.5219602584838903</v>
      </c>
      <c r="G62" s="293">
        <v>4.4511919999999998</v>
      </c>
      <c r="H62" s="293">
        <v>4.421297</v>
      </c>
      <c r="I62" s="293">
        <v>4.5209929999999998</v>
      </c>
      <c r="J62" s="293">
        <v>4.6163509999999999</v>
      </c>
      <c r="K62" s="293">
        <v>4.7672689999999998</v>
      </c>
      <c r="L62" s="293">
        <v>4.940448</v>
      </c>
      <c r="M62" s="293">
        <v>5.0828059999999997</v>
      </c>
      <c r="N62" s="293">
        <v>5.1973799999999999</v>
      </c>
      <c r="O62" s="293">
        <v>5.2962569999999998</v>
      </c>
      <c r="P62" s="293">
        <v>5.3737599999999999</v>
      </c>
      <c r="Q62" s="293">
        <v>5.42516</v>
      </c>
      <c r="R62" s="293">
        <v>5.4817600000000004</v>
      </c>
      <c r="S62" s="293">
        <v>5.536664</v>
      </c>
      <c r="T62" s="293">
        <v>5.5895760000000001</v>
      </c>
      <c r="U62" s="293">
        <v>5.635637</v>
      </c>
      <c r="V62" s="293">
        <v>5.6575449999999998</v>
      </c>
      <c r="W62" s="293">
        <v>5.6945290000000002</v>
      </c>
      <c r="X62" s="293">
        <v>5.724005</v>
      </c>
      <c r="Y62" s="293">
        <v>5.7184200000000001</v>
      </c>
      <c r="Z62" s="293">
        <v>5.7229380000000001</v>
      </c>
      <c r="AA62" s="293">
        <v>5.7270849999999998</v>
      </c>
      <c r="AB62" s="293">
        <v>5.7279549999999997</v>
      </c>
      <c r="AC62" s="293">
        <v>5.7151949999999996</v>
      </c>
      <c r="AD62" s="293">
        <v>5.7039289999999996</v>
      </c>
      <c r="AE62" s="293">
        <v>5.6985010000000003</v>
      </c>
      <c r="AF62" s="293">
        <v>5.6904269999999997</v>
      </c>
      <c r="AG62" s="293">
        <v>5.7088890000000001</v>
      </c>
      <c r="AH62" s="293">
        <v>5.7191020000000004</v>
      </c>
      <c r="AI62" s="293">
        <v>5.7061400000000004</v>
      </c>
      <c r="AJ62" s="293">
        <v>5.6839209999999998</v>
      </c>
      <c r="AK62" s="294">
        <v>8.9999999999999993E-3</v>
      </c>
    </row>
    <row r="63" spans="1:37">
      <c r="A63" s="6" t="s">
        <v>154</v>
      </c>
      <c r="B63" s="348">
        <v>14.205528259277299</v>
      </c>
      <c r="C63" s="348">
        <v>14.253752708435099</v>
      </c>
      <c r="D63" s="348">
        <v>13.661909103393601</v>
      </c>
      <c r="E63" s="348">
        <v>13.477608680725099</v>
      </c>
      <c r="F63" s="349">
        <v>13.9932947158813</v>
      </c>
      <c r="G63" s="293">
        <v>13.653123000000001</v>
      </c>
      <c r="H63" s="293">
        <v>13.443807</v>
      </c>
      <c r="I63" s="293">
        <v>13.46326</v>
      </c>
      <c r="J63" s="293">
        <v>13.410075000000001</v>
      </c>
      <c r="K63" s="293">
        <v>13.391593</v>
      </c>
      <c r="L63" s="293">
        <v>13.423278</v>
      </c>
      <c r="M63" s="293">
        <v>13.416093</v>
      </c>
      <c r="N63" s="293">
        <v>13.359128999999999</v>
      </c>
      <c r="O63" s="293">
        <v>13.277658000000001</v>
      </c>
      <c r="P63" s="293">
        <v>13.193913999999999</v>
      </c>
      <c r="Q63" s="293">
        <v>13.108468</v>
      </c>
      <c r="R63" s="293">
        <v>13.021044</v>
      </c>
      <c r="S63" s="293">
        <v>12.924597</v>
      </c>
      <c r="T63" s="293">
        <v>12.819832</v>
      </c>
      <c r="U63" s="293">
        <v>12.713536</v>
      </c>
      <c r="V63" s="293">
        <v>12.616394</v>
      </c>
      <c r="W63" s="293">
        <v>12.527696000000001</v>
      </c>
      <c r="X63" s="293">
        <v>12.445028000000001</v>
      </c>
      <c r="Y63" s="293">
        <v>12.377145000000001</v>
      </c>
      <c r="Z63" s="293">
        <v>12.324268</v>
      </c>
      <c r="AA63" s="293">
        <v>12.281888</v>
      </c>
      <c r="AB63" s="293">
        <v>12.244210000000001</v>
      </c>
      <c r="AC63" s="293">
        <v>12.219082999999999</v>
      </c>
      <c r="AD63" s="293">
        <v>12.208591999999999</v>
      </c>
      <c r="AE63" s="293">
        <v>12.201549</v>
      </c>
      <c r="AF63" s="293">
        <v>12.192887000000001</v>
      </c>
      <c r="AG63" s="293">
        <v>12.189211999999999</v>
      </c>
      <c r="AH63" s="293">
        <v>12.193395000000001</v>
      </c>
      <c r="AI63" s="293">
        <v>12.201965</v>
      </c>
      <c r="AJ63" s="293">
        <v>12.203708000000001</v>
      </c>
      <c r="AK63" s="294">
        <v>-3.0000000000000001E-3</v>
      </c>
    </row>
    <row r="64" spans="1:37">
      <c r="A64" s="6" t="s">
        <v>701</v>
      </c>
      <c r="B64" s="348">
        <v>0.28576692938804599</v>
      </c>
      <c r="C64" s="348">
        <v>0.295045405626297</v>
      </c>
      <c r="D64" s="348">
        <v>0.215673848986626</v>
      </c>
      <c r="E64" s="348">
        <v>0.21838557720184301</v>
      </c>
      <c r="F64" s="349">
        <v>0.21773074567317999</v>
      </c>
      <c r="G64" s="293">
        <v>0.13995199999999999</v>
      </c>
      <c r="H64" s="293">
        <v>0.10258100000000001</v>
      </c>
      <c r="I64" s="293">
        <v>9.1968999999999995E-2</v>
      </c>
      <c r="J64" s="293">
        <v>9.2428999999999997E-2</v>
      </c>
      <c r="K64" s="293">
        <v>9.2261999999999997E-2</v>
      </c>
      <c r="L64" s="293">
        <v>8.9524000000000006E-2</v>
      </c>
      <c r="M64" s="293">
        <v>7.9076999999999995E-2</v>
      </c>
      <c r="N64" s="293">
        <v>8.0381999999999995E-2</v>
      </c>
      <c r="O64" s="293">
        <v>8.0076999999999995E-2</v>
      </c>
      <c r="P64" s="293">
        <v>8.0298999999999995E-2</v>
      </c>
      <c r="Q64" s="293">
        <v>8.0979999999999996E-2</v>
      </c>
      <c r="R64" s="293">
        <v>8.1548999999999996E-2</v>
      </c>
      <c r="S64" s="293">
        <v>8.2155000000000006E-2</v>
      </c>
      <c r="T64" s="293">
        <v>8.3019999999999997E-2</v>
      </c>
      <c r="U64" s="293">
        <v>8.3024000000000001E-2</v>
      </c>
      <c r="V64" s="293">
        <v>8.1849000000000005E-2</v>
      </c>
      <c r="W64" s="293">
        <v>8.1641000000000005E-2</v>
      </c>
      <c r="X64" s="293">
        <v>8.1735000000000002E-2</v>
      </c>
      <c r="Y64" s="293">
        <v>8.2040000000000002E-2</v>
      </c>
      <c r="Z64" s="293">
        <v>8.2365999999999995E-2</v>
      </c>
      <c r="AA64" s="293">
        <v>8.1250000000000003E-2</v>
      </c>
      <c r="AB64" s="293">
        <v>8.1303E-2</v>
      </c>
      <c r="AC64" s="293">
        <v>8.1448999999999994E-2</v>
      </c>
      <c r="AD64" s="293">
        <v>8.1864999999999993E-2</v>
      </c>
      <c r="AE64" s="293">
        <v>8.2123000000000002E-2</v>
      </c>
      <c r="AF64" s="293">
        <v>8.2472000000000004E-2</v>
      </c>
      <c r="AG64" s="293">
        <v>8.2769999999999996E-2</v>
      </c>
      <c r="AH64" s="293">
        <v>8.3155000000000007E-2</v>
      </c>
      <c r="AI64" s="293">
        <v>8.3571999999999994E-2</v>
      </c>
      <c r="AJ64" s="293">
        <v>8.3961999999999995E-2</v>
      </c>
      <c r="AK64" s="294">
        <v>-7.0000000000000001E-3</v>
      </c>
    </row>
    <row r="65" spans="1:37">
      <c r="A65" s="6" t="s">
        <v>153</v>
      </c>
      <c r="B65" s="348">
        <v>20.654685974121101</v>
      </c>
      <c r="C65" s="348">
        <v>20.6498107910156</v>
      </c>
      <c r="D65" s="348">
        <v>19.5445957183838</v>
      </c>
      <c r="E65" s="348">
        <v>19.245325088501001</v>
      </c>
      <c r="F65" s="349">
        <v>19.787778854370099</v>
      </c>
      <c r="G65" s="248">
        <v>18.92342</v>
      </c>
      <c r="H65" s="248">
        <v>18.486381999999999</v>
      </c>
      <c r="I65" s="248">
        <v>18.638722999999999</v>
      </c>
      <c r="J65" s="248">
        <v>18.700082999999999</v>
      </c>
      <c r="K65" s="248">
        <v>19.167159999999999</v>
      </c>
      <c r="L65" s="248">
        <v>19.368099000000001</v>
      </c>
      <c r="M65" s="248">
        <v>19.486657999999998</v>
      </c>
      <c r="N65" s="248">
        <v>19.537004</v>
      </c>
      <c r="O65" s="248">
        <v>19.544903000000001</v>
      </c>
      <c r="P65" s="248">
        <v>19.529665000000001</v>
      </c>
      <c r="Q65" s="248">
        <v>19.486916000000001</v>
      </c>
      <c r="R65" s="248">
        <v>19.44755</v>
      </c>
      <c r="S65" s="248">
        <v>19.398457000000001</v>
      </c>
      <c r="T65" s="248">
        <v>19.339873999999998</v>
      </c>
      <c r="U65" s="248">
        <v>19.272027999999999</v>
      </c>
      <c r="V65" s="248">
        <v>19.188255000000002</v>
      </c>
      <c r="W65" s="248">
        <v>19.129000000000001</v>
      </c>
      <c r="X65" s="248">
        <v>19.069431000000002</v>
      </c>
      <c r="Y65" s="248">
        <v>18.989547999999999</v>
      </c>
      <c r="Z65" s="248">
        <v>18.935445999999999</v>
      </c>
      <c r="AA65" s="248">
        <v>18.890217</v>
      </c>
      <c r="AB65" s="248">
        <v>18.847709999999999</v>
      </c>
      <c r="AC65" s="248">
        <v>18.804594000000002</v>
      </c>
      <c r="AD65" s="248">
        <v>18.777315000000002</v>
      </c>
      <c r="AE65" s="248">
        <v>18.760704</v>
      </c>
      <c r="AF65" s="248">
        <v>18.740176999999999</v>
      </c>
      <c r="AG65" s="248">
        <v>18.751633000000002</v>
      </c>
      <c r="AH65" s="248">
        <v>18.763190999999999</v>
      </c>
      <c r="AI65" s="248">
        <v>18.755531000000001</v>
      </c>
      <c r="AJ65" s="248">
        <v>18.731504000000001</v>
      </c>
      <c r="AK65" s="249">
        <v>0</v>
      </c>
    </row>
    <row r="66" spans="1:3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row>
    <row r="67" spans="1:37">
      <c r="A67" s="6" t="s">
        <v>702</v>
      </c>
      <c r="B67" s="348">
        <v>4.2667388916015597E-2</v>
      </c>
      <c r="C67" s="348">
        <v>0.11821937561035201</v>
      </c>
      <c r="D67" s="348">
        <v>0.102603912353516</v>
      </c>
      <c r="E67" s="348">
        <v>0.17598533630371099</v>
      </c>
      <c r="F67" s="349">
        <v>-0.19984626770019501</v>
      </c>
      <c r="G67" s="293">
        <v>1.5162999999999999E-2</v>
      </c>
      <c r="H67" s="293">
        <v>0.105907</v>
      </c>
      <c r="I67" s="293">
        <v>0.34659600000000002</v>
      </c>
      <c r="J67" s="293">
        <v>0.115158</v>
      </c>
      <c r="K67" s="293">
        <v>-9.7140000000000004E-3</v>
      </c>
      <c r="L67" s="293">
        <v>-9.1500000000000001E-3</v>
      </c>
      <c r="M67" s="293">
        <v>-9.129E-3</v>
      </c>
      <c r="N67" s="293">
        <v>-9.3959999999999998E-3</v>
      </c>
      <c r="O67" s="293">
        <v>-9.4409999999999997E-3</v>
      </c>
      <c r="P67" s="293">
        <v>-9.2980000000000007E-3</v>
      </c>
      <c r="Q67" s="293">
        <v>-9.8270000000000007E-3</v>
      </c>
      <c r="R67" s="293">
        <v>-9.7409999999999997E-3</v>
      </c>
      <c r="S67" s="293">
        <v>-9.6889999999999997E-3</v>
      </c>
      <c r="T67" s="293">
        <v>-9.8569999999999994E-3</v>
      </c>
      <c r="U67" s="293">
        <v>-9.7099999999999999E-3</v>
      </c>
      <c r="V67" s="293">
        <v>-9.4129999999999995E-3</v>
      </c>
      <c r="W67" s="293">
        <v>-9.7260000000000003E-3</v>
      </c>
      <c r="X67" s="293">
        <v>-9.5440000000000004E-3</v>
      </c>
      <c r="Y67" s="293">
        <v>-8.9110000000000005E-3</v>
      </c>
      <c r="Z67" s="293">
        <v>-9.2739999999999993E-3</v>
      </c>
      <c r="AA67" s="293">
        <v>-9.4389999999999995E-3</v>
      </c>
      <c r="AB67" s="293">
        <v>-9.6170000000000005E-3</v>
      </c>
      <c r="AC67" s="293">
        <v>-9.1479999999999999E-3</v>
      </c>
      <c r="AD67" s="293">
        <v>-8.9969999999999998E-3</v>
      </c>
      <c r="AE67" s="293">
        <v>-8.8159999999999992E-3</v>
      </c>
      <c r="AF67" s="293">
        <v>-8.2660000000000008E-3</v>
      </c>
      <c r="AG67" s="293">
        <v>-8.2740000000000001E-3</v>
      </c>
      <c r="AH67" s="293">
        <v>-7.711E-3</v>
      </c>
      <c r="AI67" s="293">
        <v>-7.0080000000000003E-3</v>
      </c>
      <c r="AJ67" s="293">
        <v>-6.5420000000000001E-3</v>
      </c>
      <c r="AK67" s="293" t="s">
        <v>41</v>
      </c>
    </row>
    <row r="68" spans="1:3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row>
    <row r="69" spans="1:37">
      <c r="A69" s="6" t="s">
        <v>703</v>
      </c>
      <c r="B69" s="362">
        <v>17.3390007019043</v>
      </c>
      <c r="C69" s="362">
        <v>17.4409999847412</v>
      </c>
      <c r="D69" s="362">
        <v>17.5890007019043</v>
      </c>
      <c r="E69" s="362">
        <v>17.5890007019043</v>
      </c>
      <c r="F69" s="363">
        <v>17.994850158691399</v>
      </c>
      <c r="G69" s="293">
        <v>17.704999999999998</v>
      </c>
      <c r="H69" s="293">
        <v>17.315000999999999</v>
      </c>
      <c r="I69" s="293">
        <v>17.818999999999999</v>
      </c>
      <c r="J69" s="293">
        <v>17.818999999999999</v>
      </c>
      <c r="K69" s="293">
        <v>18.114657999999999</v>
      </c>
      <c r="L69" s="293">
        <v>18.129657999999999</v>
      </c>
      <c r="M69" s="293">
        <v>18.129657999999999</v>
      </c>
      <c r="N69" s="293">
        <v>18.129657999999999</v>
      </c>
      <c r="O69" s="293">
        <v>18.129657999999999</v>
      </c>
      <c r="P69" s="293">
        <v>18.129657999999999</v>
      </c>
      <c r="Q69" s="293">
        <v>18.129657999999999</v>
      </c>
      <c r="R69" s="293">
        <v>18.129657999999999</v>
      </c>
      <c r="S69" s="293">
        <v>18.129657999999999</v>
      </c>
      <c r="T69" s="293">
        <v>18.129657999999999</v>
      </c>
      <c r="U69" s="293">
        <v>18.129657999999999</v>
      </c>
      <c r="V69" s="293">
        <v>18.129657999999999</v>
      </c>
      <c r="W69" s="293">
        <v>18.129657999999999</v>
      </c>
      <c r="X69" s="293">
        <v>18.129657999999999</v>
      </c>
      <c r="Y69" s="293">
        <v>18.129657999999999</v>
      </c>
      <c r="Z69" s="293">
        <v>18.129657999999999</v>
      </c>
      <c r="AA69" s="293">
        <v>18.129657999999999</v>
      </c>
      <c r="AB69" s="293">
        <v>18.129657999999999</v>
      </c>
      <c r="AC69" s="293">
        <v>18.129657999999999</v>
      </c>
      <c r="AD69" s="293">
        <v>18.129657999999999</v>
      </c>
      <c r="AE69" s="293">
        <v>18.129657999999999</v>
      </c>
      <c r="AF69" s="293">
        <v>18.129657999999999</v>
      </c>
      <c r="AG69" s="293">
        <v>18.129657999999999</v>
      </c>
      <c r="AH69" s="293">
        <v>18.129657999999999</v>
      </c>
      <c r="AI69" s="293">
        <v>18.129657999999999</v>
      </c>
      <c r="AJ69" s="293">
        <v>18.129657999999999</v>
      </c>
      <c r="AK69" s="294">
        <v>2E-3</v>
      </c>
    </row>
    <row r="70" spans="1:37">
      <c r="A70" s="6" t="s">
        <v>704</v>
      </c>
      <c r="B70" s="362">
        <v>90</v>
      </c>
      <c r="C70" s="362">
        <v>89</v>
      </c>
      <c r="D70" s="362">
        <v>85</v>
      </c>
      <c r="E70" s="362">
        <v>84</v>
      </c>
      <c r="F70" s="363">
        <v>78.951698303222699</v>
      </c>
      <c r="G70" s="293">
        <v>86</v>
      </c>
      <c r="H70" s="293">
        <v>89</v>
      </c>
      <c r="I70" s="293">
        <v>87</v>
      </c>
      <c r="J70" s="293">
        <v>87</v>
      </c>
      <c r="K70" s="293">
        <v>83.929221999999996</v>
      </c>
      <c r="L70" s="293">
        <v>84.444526999999994</v>
      </c>
      <c r="M70" s="293">
        <v>84.784676000000005</v>
      </c>
      <c r="N70" s="293">
        <v>84.856537000000003</v>
      </c>
      <c r="O70" s="293">
        <v>84.762580999999997</v>
      </c>
      <c r="P70" s="293">
        <v>84.610602999999998</v>
      </c>
      <c r="Q70" s="293">
        <v>84.422150000000002</v>
      </c>
      <c r="R70" s="293">
        <v>84.011527999999998</v>
      </c>
      <c r="S70" s="293">
        <v>83.650841</v>
      </c>
      <c r="T70" s="293">
        <v>83.337349000000003</v>
      </c>
      <c r="U70" s="293">
        <v>83.051040999999998</v>
      </c>
      <c r="V70" s="293">
        <v>82.852858999999995</v>
      </c>
      <c r="W70" s="293">
        <v>82.751807999999997</v>
      </c>
      <c r="X70" s="293">
        <v>82.579086000000004</v>
      </c>
      <c r="Y70" s="293">
        <v>82.446686</v>
      </c>
      <c r="Z70" s="293">
        <v>82.407532000000003</v>
      </c>
      <c r="AA70" s="293">
        <v>82.401390000000006</v>
      </c>
      <c r="AB70" s="293">
        <v>82.379172999999994</v>
      </c>
      <c r="AC70" s="293">
        <v>82.419548000000006</v>
      </c>
      <c r="AD70" s="293">
        <v>82.643226999999996</v>
      </c>
      <c r="AE70" s="293">
        <v>82.856575000000007</v>
      </c>
      <c r="AF70" s="293">
        <v>83.059607999999997</v>
      </c>
      <c r="AG70" s="293">
        <v>83.321395999999993</v>
      </c>
      <c r="AH70" s="293">
        <v>83.713463000000004</v>
      </c>
      <c r="AI70" s="293">
        <v>83.800713000000002</v>
      </c>
      <c r="AJ70" s="293">
        <v>83.967208999999997</v>
      </c>
      <c r="AK70" s="294">
        <v>-2E-3</v>
      </c>
    </row>
    <row r="71" spans="1:37">
      <c r="A71" s="6" t="s">
        <v>152</v>
      </c>
      <c r="B71" s="362">
        <v>60.165718078613303</v>
      </c>
      <c r="C71" s="362">
        <v>58.3234672546387</v>
      </c>
      <c r="D71" s="362">
        <v>56.096931457519503</v>
      </c>
      <c r="E71" s="362">
        <v>53.113201141357401</v>
      </c>
      <c r="F71" s="363">
        <v>50.657768249511697</v>
      </c>
      <c r="G71" s="293">
        <v>45.229275000000001</v>
      </c>
      <c r="H71" s="293">
        <v>40.315280999999999</v>
      </c>
      <c r="I71" s="293">
        <v>33.537674000000003</v>
      </c>
      <c r="J71" s="293">
        <v>28.732861</v>
      </c>
      <c r="K71" s="293">
        <v>27.439371000000001</v>
      </c>
      <c r="L71" s="293">
        <v>25.212821999999999</v>
      </c>
      <c r="M71" s="293">
        <v>25.371447</v>
      </c>
      <c r="N71" s="293">
        <v>25.397780999999998</v>
      </c>
      <c r="O71" s="293">
        <v>25.272306</v>
      </c>
      <c r="P71" s="293">
        <v>25.605276</v>
      </c>
      <c r="Q71" s="293">
        <v>26.339932999999998</v>
      </c>
      <c r="R71" s="293">
        <v>26.391024000000002</v>
      </c>
      <c r="S71" s="293">
        <v>26.330031999999999</v>
      </c>
      <c r="T71" s="293">
        <v>26.557704999999999</v>
      </c>
      <c r="U71" s="293">
        <v>26.574638</v>
      </c>
      <c r="V71" s="293">
        <v>27.074511000000001</v>
      </c>
      <c r="W71" s="293">
        <v>27.628391000000001</v>
      </c>
      <c r="X71" s="293">
        <v>28.164417</v>
      </c>
      <c r="Y71" s="293">
        <v>28.574669</v>
      </c>
      <c r="Z71" s="293">
        <v>28.600802999999999</v>
      </c>
      <c r="AA71" s="293">
        <v>29.035553</v>
      </c>
      <c r="AB71" s="293">
        <v>29.225125999999999</v>
      </c>
      <c r="AC71" s="293">
        <v>29.185209</v>
      </c>
      <c r="AD71" s="293">
        <v>29.338975999999999</v>
      </c>
      <c r="AE71" s="293">
        <v>29.911650000000002</v>
      </c>
      <c r="AF71" s="293">
        <v>30.578768</v>
      </c>
      <c r="AG71" s="293">
        <v>30.764973000000001</v>
      </c>
      <c r="AH71" s="293">
        <v>31.641760000000001</v>
      </c>
      <c r="AI71" s="293">
        <v>31.827915000000001</v>
      </c>
      <c r="AJ71" s="293">
        <v>32.156517000000001</v>
      </c>
      <c r="AK71" s="294">
        <v>-8.0000000000000002E-3</v>
      </c>
    </row>
    <row r="72" spans="1:37" s="268" customFormat="1">
      <c r="A72" s="267" t="s">
        <v>151</v>
      </c>
      <c r="B72" s="348">
        <v>15.605100631713899</v>
      </c>
      <c r="C72" s="348">
        <v>15.522489547729499</v>
      </c>
      <c r="D72" s="348">
        <v>14.950650215148899</v>
      </c>
      <c r="E72" s="348">
        <v>14.7747602462769</v>
      </c>
      <c r="F72" s="349">
        <v>14.2072401046753</v>
      </c>
      <c r="G72" s="314">
        <v>14.3342885971069</v>
      </c>
      <c r="H72" s="314">
        <v>14.411810874939</v>
      </c>
      <c r="I72" s="314">
        <v>14.427806854248001</v>
      </c>
      <c r="J72" s="314">
        <v>14.247616767883301</v>
      </c>
      <c r="K72" s="314">
        <v>14.1760416030884</v>
      </c>
      <c r="L72" s="314">
        <v>14.1692085266113</v>
      </c>
      <c r="M72" s="314">
        <v>14.217811584472701</v>
      </c>
      <c r="N72" s="314">
        <v>14.219580650329601</v>
      </c>
      <c r="O72" s="314">
        <v>14.2103576660156</v>
      </c>
      <c r="P72" s="314">
        <v>14.200039863586399</v>
      </c>
      <c r="Q72" s="314">
        <v>14.1303453445435</v>
      </c>
      <c r="R72" s="314">
        <v>14.095740318298301</v>
      </c>
      <c r="S72" s="314">
        <v>14.0861167907715</v>
      </c>
      <c r="T72" s="314">
        <v>14.1125946044922</v>
      </c>
      <c r="U72" s="314">
        <v>14.163477897644</v>
      </c>
      <c r="V72" s="314">
        <v>14.242433547973601</v>
      </c>
      <c r="W72" s="314">
        <v>14.2973442077637</v>
      </c>
      <c r="X72" s="314">
        <v>14.4011936187744</v>
      </c>
      <c r="Y72" s="314">
        <v>14.4425506591797</v>
      </c>
      <c r="Z72" s="314">
        <v>14.573932647705099</v>
      </c>
      <c r="AA72" s="314"/>
      <c r="AB72" s="314"/>
      <c r="AC72" s="314"/>
      <c r="AD72" s="314"/>
      <c r="AE72" s="314"/>
      <c r="AF72" s="314"/>
      <c r="AG72" s="314"/>
      <c r="AH72" s="314"/>
      <c r="AI72" s="314"/>
      <c r="AJ72" s="314"/>
      <c r="AK72" s="315">
        <v>-2.73776054382324E-3</v>
      </c>
    </row>
    <row r="73" spans="1:37">
      <c r="A73" s="6" t="s">
        <v>150</v>
      </c>
    </row>
    <row r="74" spans="1:37">
      <c r="A74" s="6" t="s">
        <v>595</v>
      </c>
      <c r="B74" s="348">
        <v>272.80218505859398</v>
      </c>
      <c r="C74" s="348">
        <v>280.12564086914102</v>
      </c>
      <c r="D74" s="348">
        <v>321.28717041015602</v>
      </c>
      <c r="E74" s="348">
        <v>195.51596069335901</v>
      </c>
      <c r="F74" s="349">
        <v>246.62348937988301</v>
      </c>
      <c r="G74" s="293">
        <v>494.73007200000001</v>
      </c>
      <c r="H74" s="293">
        <v>313.70205700000002</v>
      </c>
      <c r="I74" s="293">
        <v>257.058716</v>
      </c>
      <c r="J74" s="293">
        <v>219.518845</v>
      </c>
      <c r="K74" s="293">
        <v>213.13346899999999</v>
      </c>
      <c r="L74" s="293">
        <v>192.04028299999999</v>
      </c>
      <c r="M74" s="293">
        <v>190.19305399999999</v>
      </c>
      <c r="N74" s="293">
        <v>190.97583</v>
      </c>
      <c r="O74" s="293">
        <v>193.05748</v>
      </c>
      <c r="P74" s="293">
        <v>198.85289</v>
      </c>
      <c r="Q74" s="293">
        <v>207.326324</v>
      </c>
      <c r="R74" s="293">
        <v>214.50224299999999</v>
      </c>
      <c r="S74" s="293">
        <v>220.992096</v>
      </c>
      <c r="T74" s="293">
        <v>228.38960299999999</v>
      </c>
      <c r="U74" s="293">
        <v>234.269226</v>
      </c>
      <c r="V74" s="293">
        <v>243.98199500000001</v>
      </c>
      <c r="W74" s="293">
        <v>254.790054</v>
      </c>
      <c r="X74" s="293">
        <v>263.61831699999999</v>
      </c>
      <c r="Y74" s="293">
        <v>272.543701</v>
      </c>
      <c r="Z74" s="293">
        <v>278.59802200000001</v>
      </c>
      <c r="AA74" s="293">
        <v>289.04888899999997</v>
      </c>
      <c r="AB74" s="293">
        <v>297.603973</v>
      </c>
      <c r="AC74" s="293">
        <v>305.14331099999998</v>
      </c>
      <c r="AD74" s="293">
        <v>315.75491299999999</v>
      </c>
      <c r="AE74" s="293">
        <v>327.328461</v>
      </c>
      <c r="AF74" s="293">
        <v>338.67947400000003</v>
      </c>
      <c r="AG74" s="293">
        <v>347.810272</v>
      </c>
      <c r="AH74" s="293">
        <v>363.35360700000001</v>
      </c>
      <c r="AI74" s="293">
        <v>372.92919899999998</v>
      </c>
      <c r="AJ74" s="293">
        <v>385.39370700000001</v>
      </c>
      <c r="AK74" s="294">
        <v>7.0000000000000001E-3</v>
      </c>
    </row>
    <row r="78" spans="1:37" s="266" customFormat="1" ht="15" customHeight="1">
      <c r="A78" s="565" t="s">
        <v>596</v>
      </c>
      <c r="B78" s="565"/>
      <c r="C78" s="565"/>
      <c r="D78" s="565"/>
      <c r="E78" s="565"/>
      <c r="F78" s="565"/>
      <c r="G78" s="565"/>
      <c r="H78" s="565"/>
      <c r="I78" s="565"/>
      <c r="J78" s="565"/>
      <c r="K78" s="565"/>
      <c r="L78" s="565"/>
      <c r="M78" s="565"/>
      <c r="N78" s="565"/>
      <c r="O78" s="565"/>
      <c r="P78" s="565"/>
      <c r="Q78" s="565"/>
      <c r="R78" s="565"/>
      <c r="S78" s="565"/>
      <c r="T78" s="565"/>
      <c r="U78" s="565"/>
      <c r="V78" s="565"/>
      <c r="W78" s="565"/>
      <c r="X78" s="565"/>
      <c r="Y78" s="565"/>
      <c r="Z78" s="565"/>
      <c r="AA78" s="565"/>
      <c r="AB78" s="565"/>
      <c r="AC78" s="565"/>
      <c r="AD78" s="565"/>
      <c r="AE78" s="565"/>
      <c r="AF78" s="565"/>
      <c r="AG78" s="298"/>
      <c r="AH78" s="298"/>
      <c r="AI78" s="298"/>
      <c r="AJ78" s="298"/>
      <c r="AK78" s="298"/>
    </row>
    <row r="79" spans="1:37" customFormat="1" ht="15" customHeight="1">
      <c r="A79" s="564" t="s">
        <v>597</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297"/>
      <c r="AH79" s="297"/>
      <c r="AI79" s="297"/>
      <c r="AJ79" s="297"/>
      <c r="AK79" s="297"/>
    </row>
    <row r="80" spans="1:37" customFormat="1" ht="15" customHeight="1">
      <c r="A80" s="564" t="s">
        <v>598</v>
      </c>
      <c r="B80" s="564"/>
      <c r="C80" s="564"/>
      <c r="D80" s="564"/>
      <c r="E80" s="564"/>
      <c r="F80" s="564"/>
      <c r="G80" s="564"/>
      <c r="H80" s="564"/>
      <c r="I80" s="564"/>
      <c r="J80" s="564"/>
      <c r="K80" s="564"/>
      <c r="L80" s="564"/>
      <c r="M80" s="564"/>
      <c r="N80" s="564"/>
      <c r="O80" s="564"/>
      <c r="P80" s="564"/>
      <c r="Q80" s="564"/>
      <c r="R80" s="564"/>
      <c r="S80" s="564"/>
      <c r="T80" s="564"/>
      <c r="U80" s="564"/>
      <c r="V80" s="564"/>
      <c r="W80" s="564"/>
      <c r="X80" s="564"/>
      <c r="Y80" s="564"/>
      <c r="Z80" s="564"/>
      <c r="AA80" s="564"/>
      <c r="AB80" s="564"/>
      <c r="AC80" s="564"/>
      <c r="AD80" s="564"/>
      <c r="AE80" s="564"/>
      <c r="AF80" s="564"/>
      <c r="AG80" s="297"/>
      <c r="AH80" s="297"/>
      <c r="AI80" s="297"/>
      <c r="AJ80" s="297"/>
      <c r="AK80" s="297"/>
    </row>
    <row r="81" spans="1:37" customFormat="1" ht="15" customHeight="1">
      <c r="A81" s="564" t="s">
        <v>599</v>
      </c>
      <c r="B81" s="564"/>
      <c r="C81" s="564"/>
      <c r="D81" s="564"/>
      <c r="E81" s="564"/>
      <c r="F81" s="564"/>
      <c r="G81" s="564"/>
      <c r="H81" s="564"/>
      <c r="I81" s="564"/>
      <c r="J81" s="564"/>
      <c r="K81" s="564"/>
      <c r="L81" s="564"/>
      <c r="M81" s="564"/>
      <c r="N81" s="564"/>
      <c r="O81" s="564"/>
      <c r="P81" s="564"/>
      <c r="Q81" s="564"/>
      <c r="R81" s="564"/>
      <c r="S81" s="564"/>
      <c r="T81" s="564"/>
      <c r="U81" s="564"/>
      <c r="V81" s="564"/>
      <c r="W81" s="564"/>
      <c r="X81" s="564"/>
      <c r="Y81" s="564"/>
      <c r="Z81" s="564"/>
      <c r="AA81" s="564"/>
      <c r="AB81" s="564"/>
      <c r="AC81" s="564"/>
      <c r="AD81" s="564"/>
      <c r="AE81" s="564"/>
      <c r="AF81" s="564"/>
      <c r="AG81" s="297"/>
      <c r="AH81" s="297"/>
      <c r="AI81" s="297"/>
      <c r="AJ81" s="297"/>
      <c r="AK81" s="297"/>
    </row>
    <row r="82" spans="1:37" customFormat="1" ht="15" customHeight="1">
      <c r="A82" s="564" t="s">
        <v>600</v>
      </c>
      <c r="B82" s="564"/>
      <c r="C82" s="564"/>
      <c r="D82" s="564"/>
      <c r="E82" s="564"/>
      <c r="F82" s="564"/>
      <c r="G82" s="564"/>
      <c r="H82" s="564"/>
      <c r="I82" s="564"/>
      <c r="J82" s="564"/>
      <c r="K82" s="564"/>
      <c r="L82" s="564"/>
      <c r="M82" s="564"/>
      <c r="N82" s="564"/>
      <c r="O82" s="564"/>
      <c r="P82" s="564"/>
      <c r="Q82" s="564"/>
      <c r="R82" s="564"/>
      <c r="S82" s="564"/>
      <c r="T82" s="564"/>
      <c r="U82" s="564"/>
      <c r="V82" s="564"/>
      <c r="W82" s="564"/>
      <c r="X82" s="564"/>
      <c r="Y82" s="564"/>
      <c r="Z82" s="564"/>
      <c r="AA82" s="564"/>
      <c r="AB82" s="564"/>
      <c r="AC82" s="564"/>
      <c r="AD82" s="564"/>
      <c r="AE82" s="564"/>
      <c r="AF82" s="564"/>
      <c r="AG82" s="297"/>
      <c r="AH82" s="297"/>
      <c r="AI82" s="297"/>
      <c r="AJ82" s="297"/>
      <c r="AK82" s="297"/>
    </row>
    <row r="83" spans="1:37" customFormat="1" ht="15" customHeight="1">
      <c r="A83" s="564" t="s">
        <v>601</v>
      </c>
      <c r="B83" s="564"/>
      <c r="C83" s="564"/>
      <c r="D83" s="564"/>
      <c r="E83" s="564"/>
      <c r="F83" s="564"/>
      <c r="G83" s="564"/>
      <c r="H83" s="564"/>
      <c r="I83" s="564"/>
      <c r="J83" s="564"/>
      <c r="K83" s="564"/>
      <c r="L83" s="564"/>
      <c r="M83" s="564"/>
      <c r="N83" s="564"/>
      <c r="O83" s="564"/>
      <c r="P83" s="564"/>
      <c r="Q83" s="564"/>
      <c r="R83" s="564"/>
      <c r="S83" s="564"/>
      <c r="T83" s="564"/>
      <c r="U83" s="564"/>
      <c r="V83" s="564"/>
      <c r="W83" s="564"/>
      <c r="X83" s="564"/>
      <c r="Y83" s="564"/>
      <c r="Z83" s="564"/>
      <c r="AA83" s="564"/>
      <c r="AB83" s="564"/>
      <c r="AC83" s="564"/>
      <c r="AD83" s="564"/>
      <c r="AE83" s="564"/>
      <c r="AF83" s="564"/>
      <c r="AG83" s="297"/>
      <c r="AH83" s="297"/>
      <c r="AI83" s="297"/>
      <c r="AJ83" s="297"/>
      <c r="AK83" s="297"/>
    </row>
    <row r="84" spans="1:37" customFormat="1" ht="15" customHeight="1">
      <c r="A84" s="564" t="s">
        <v>602</v>
      </c>
      <c r="B84" s="564"/>
      <c r="C84" s="564"/>
      <c r="D84" s="564"/>
      <c r="E84" s="564"/>
      <c r="F84" s="564"/>
      <c r="G84" s="564"/>
      <c r="H84" s="564"/>
      <c r="I84" s="564"/>
      <c r="J84" s="564"/>
      <c r="K84" s="564"/>
      <c r="L84" s="564"/>
      <c r="M84" s="564"/>
      <c r="N84" s="564"/>
      <c r="O84" s="564"/>
      <c r="P84" s="564"/>
      <c r="Q84" s="564"/>
      <c r="R84" s="564"/>
      <c r="S84" s="564"/>
      <c r="T84" s="564"/>
      <c r="U84" s="564"/>
      <c r="V84" s="564"/>
      <c r="W84" s="564"/>
      <c r="X84" s="564"/>
      <c r="Y84" s="564"/>
      <c r="Z84" s="564"/>
      <c r="AA84" s="564"/>
      <c r="AB84" s="564"/>
      <c r="AC84" s="564"/>
      <c r="AD84" s="564"/>
      <c r="AE84" s="564"/>
      <c r="AF84" s="564"/>
      <c r="AG84" s="297"/>
      <c r="AH84" s="297"/>
      <c r="AI84" s="297"/>
      <c r="AJ84" s="297"/>
      <c r="AK84" s="297"/>
    </row>
    <row r="85" spans="1:37" customFormat="1" ht="15" customHeight="1">
      <c r="A85" s="564" t="s">
        <v>603</v>
      </c>
      <c r="B85" s="564"/>
      <c r="C85" s="564"/>
      <c r="D85" s="564"/>
      <c r="E85" s="564"/>
      <c r="F85" s="564"/>
      <c r="G85" s="564"/>
      <c r="H85" s="564"/>
      <c r="I85" s="564"/>
      <c r="J85" s="564"/>
      <c r="K85" s="564"/>
      <c r="L85" s="564"/>
      <c r="M85" s="564"/>
      <c r="N85" s="564"/>
      <c r="O85" s="564"/>
      <c r="P85" s="564"/>
      <c r="Q85" s="564"/>
      <c r="R85" s="564"/>
      <c r="S85" s="564"/>
      <c r="T85" s="564"/>
      <c r="U85" s="564"/>
      <c r="V85" s="564"/>
      <c r="W85" s="564"/>
      <c r="X85" s="564"/>
      <c r="Y85" s="564"/>
      <c r="Z85" s="564"/>
      <c r="AA85" s="564"/>
      <c r="AB85" s="564"/>
      <c r="AC85" s="564"/>
      <c r="AD85" s="564"/>
      <c r="AE85" s="564"/>
      <c r="AF85" s="564"/>
      <c r="AG85" s="297"/>
      <c r="AH85" s="297"/>
      <c r="AI85" s="297"/>
      <c r="AJ85" s="297"/>
      <c r="AK85" s="297"/>
    </row>
    <row r="86" spans="1:37" customFormat="1" ht="15" customHeight="1">
      <c r="A86" s="564" t="s">
        <v>604</v>
      </c>
      <c r="B86" s="564"/>
      <c r="C86" s="564"/>
      <c r="D86" s="564"/>
      <c r="E86" s="564"/>
      <c r="F86" s="564"/>
      <c r="G86" s="564"/>
      <c r="H86" s="564"/>
      <c r="I86" s="564"/>
      <c r="J86" s="564"/>
      <c r="K86" s="564"/>
      <c r="L86" s="564"/>
      <c r="M86" s="564"/>
      <c r="N86" s="564"/>
      <c r="O86" s="564"/>
      <c r="P86" s="564"/>
      <c r="Q86" s="564"/>
      <c r="R86" s="564"/>
      <c r="S86" s="564"/>
      <c r="T86" s="564"/>
      <c r="U86" s="564"/>
      <c r="V86" s="564"/>
      <c r="W86" s="564"/>
      <c r="X86" s="564"/>
      <c r="Y86" s="564"/>
      <c r="Z86" s="564"/>
      <c r="AA86" s="564"/>
      <c r="AB86" s="564"/>
      <c r="AC86" s="564"/>
      <c r="AD86" s="564"/>
      <c r="AE86" s="564"/>
      <c r="AF86" s="564"/>
      <c r="AG86" s="297"/>
      <c r="AH86" s="297"/>
      <c r="AI86" s="297"/>
      <c r="AJ86" s="297"/>
      <c r="AK86" s="297"/>
    </row>
    <row r="87" spans="1:37" customFormat="1" ht="15" customHeight="1">
      <c r="A87" s="564" t="s">
        <v>605</v>
      </c>
      <c r="B87" s="564"/>
      <c r="C87" s="564"/>
      <c r="D87" s="564"/>
      <c r="E87" s="564"/>
      <c r="F87" s="564"/>
      <c r="G87" s="564"/>
      <c r="H87" s="564"/>
      <c r="I87" s="564"/>
      <c r="J87" s="564"/>
      <c r="K87" s="564"/>
      <c r="L87" s="564"/>
      <c r="M87" s="564"/>
      <c r="N87" s="564"/>
      <c r="O87" s="564"/>
      <c r="P87" s="564"/>
      <c r="Q87" s="564"/>
      <c r="R87" s="564"/>
      <c r="S87" s="564"/>
      <c r="T87" s="564"/>
      <c r="U87" s="564"/>
      <c r="V87" s="564"/>
      <c r="W87" s="564"/>
      <c r="X87" s="564"/>
      <c r="Y87" s="564"/>
      <c r="Z87" s="564"/>
      <c r="AA87" s="564"/>
      <c r="AB87" s="564"/>
      <c r="AC87" s="564"/>
      <c r="AD87" s="564"/>
      <c r="AE87" s="564"/>
      <c r="AF87" s="564"/>
      <c r="AG87" s="297"/>
      <c r="AH87" s="297"/>
      <c r="AI87" s="297"/>
      <c r="AJ87" s="297"/>
      <c r="AK87" s="297"/>
    </row>
    <row r="88" spans="1:37" customFormat="1" ht="15" customHeight="1">
      <c r="A88" s="564" t="s">
        <v>606</v>
      </c>
      <c r="B88" s="564"/>
      <c r="C88" s="564"/>
      <c r="D88" s="564"/>
      <c r="E88" s="564"/>
      <c r="F88" s="564"/>
      <c r="G88" s="564"/>
      <c r="H88" s="564"/>
      <c r="I88" s="564"/>
      <c r="J88" s="564"/>
      <c r="K88" s="564"/>
      <c r="L88" s="564"/>
      <c r="M88" s="564"/>
      <c r="N88" s="564"/>
      <c r="O88" s="564"/>
      <c r="P88" s="564"/>
      <c r="Q88" s="564"/>
      <c r="R88" s="564"/>
      <c r="S88" s="564"/>
      <c r="T88" s="564"/>
      <c r="U88" s="564"/>
      <c r="V88" s="564"/>
      <c r="W88" s="564"/>
      <c r="X88" s="564"/>
      <c r="Y88" s="564"/>
      <c r="Z88" s="564"/>
      <c r="AA88" s="564"/>
      <c r="AB88" s="564"/>
      <c r="AC88" s="564"/>
      <c r="AD88" s="564"/>
      <c r="AE88" s="564"/>
      <c r="AF88" s="564"/>
      <c r="AG88" s="297"/>
      <c r="AH88" s="297"/>
      <c r="AI88" s="297"/>
      <c r="AJ88" s="297"/>
      <c r="AK88" s="297"/>
    </row>
    <row r="89" spans="1:37" customFormat="1" ht="15" customHeight="1">
      <c r="A89" s="564" t="s">
        <v>607</v>
      </c>
      <c r="B89" s="564"/>
      <c r="C89" s="564"/>
      <c r="D89" s="564"/>
      <c r="E89" s="564"/>
      <c r="F89" s="564"/>
      <c r="G89" s="564"/>
      <c r="H89" s="564"/>
      <c r="I89" s="564"/>
      <c r="J89" s="564"/>
      <c r="K89" s="564"/>
      <c r="L89" s="564"/>
      <c r="M89" s="564"/>
      <c r="N89" s="564"/>
      <c r="O89" s="564"/>
      <c r="P89" s="564"/>
      <c r="Q89" s="564"/>
      <c r="R89" s="564"/>
      <c r="S89" s="564"/>
      <c r="T89" s="564"/>
      <c r="U89" s="564"/>
      <c r="V89" s="564"/>
      <c r="W89" s="564"/>
      <c r="X89" s="564"/>
      <c r="Y89" s="564"/>
      <c r="Z89" s="564"/>
      <c r="AA89" s="564"/>
      <c r="AB89" s="564"/>
      <c r="AC89" s="564"/>
      <c r="AD89" s="564"/>
      <c r="AE89" s="564"/>
      <c r="AF89" s="564"/>
      <c r="AG89" s="297"/>
      <c r="AH89" s="297"/>
      <c r="AI89" s="297"/>
      <c r="AJ89" s="297"/>
      <c r="AK89" s="297"/>
    </row>
    <row r="90" spans="1:37" customFormat="1" ht="15" customHeight="1">
      <c r="A90" s="564" t="s">
        <v>608</v>
      </c>
      <c r="B90" s="564"/>
      <c r="C90" s="564"/>
      <c r="D90" s="564"/>
      <c r="E90" s="564"/>
      <c r="F90" s="564"/>
      <c r="G90" s="564"/>
      <c r="H90" s="564"/>
      <c r="I90" s="564"/>
      <c r="J90" s="564"/>
      <c r="K90" s="564"/>
      <c r="L90" s="564"/>
      <c r="M90" s="564"/>
      <c r="N90" s="564"/>
      <c r="O90" s="564"/>
      <c r="P90" s="564"/>
      <c r="Q90" s="564"/>
      <c r="R90" s="564"/>
      <c r="S90" s="564"/>
      <c r="T90" s="564"/>
      <c r="U90" s="564"/>
      <c r="V90" s="564"/>
      <c r="W90" s="564"/>
      <c r="X90" s="564"/>
      <c r="Y90" s="564"/>
      <c r="Z90" s="564"/>
      <c r="AA90" s="564"/>
      <c r="AB90" s="564"/>
      <c r="AC90" s="564"/>
      <c r="AD90" s="564"/>
      <c r="AE90" s="564"/>
      <c r="AF90" s="564"/>
      <c r="AG90" s="297"/>
      <c r="AH90" s="297"/>
      <c r="AI90" s="297"/>
      <c r="AJ90" s="297"/>
      <c r="AK90" s="297"/>
    </row>
    <row r="91" spans="1:37" customFormat="1" ht="15" customHeight="1">
      <c r="A91" s="564" t="s">
        <v>609</v>
      </c>
      <c r="B91" s="564"/>
      <c r="C91" s="564"/>
      <c r="D91" s="564"/>
      <c r="E91" s="564"/>
      <c r="F91" s="564"/>
      <c r="G91" s="564"/>
      <c r="H91" s="564"/>
      <c r="I91" s="564"/>
      <c r="J91" s="564"/>
      <c r="K91" s="564"/>
      <c r="L91" s="564"/>
      <c r="M91" s="564"/>
      <c r="N91" s="564"/>
      <c r="O91" s="564"/>
      <c r="P91" s="564"/>
      <c r="Q91" s="564"/>
      <c r="R91" s="564"/>
      <c r="S91" s="564"/>
      <c r="T91" s="564"/>
      <c r="U91" s="564"/>
      <c r="V91" s="564"/>
      <c r="W91" s="564"/>
      <c r="X91" s="564"/>
      <c r="Y91" s="564"/>
      <c r="Z91" s="564"/>
      <c r="AA91" s="564"/>
      <c r="AB91" s="564"/>
      <c r="AC91" s="564"/>
      <c r="AD91" s="564"/>
      <c r="AE91" s="564"/>
      <c r="AF91" s="564"/>
      <c r="AG91" s="297"/>
      <c r="AH91" s="297"/>
      <c r="AI91" s="297"/>
      <c r="AJ91" s="297"/>
      <c r="AK91" s="297"/>
    </row>
    <row r="92" spans="1:37" customFormat="1" ht="15" customHeight="1">
      <c r="A92" s="564" t="s">
        <v>610</v>
      </c>
      <c r="B92" s="564"/>
      <c r="C92" s="564"/>
      <c r="D92" s="564"/>
      <c r="E92" s="564"/>
      <c r="F92" s="564"/>
      <c r="G92" s="564"/>
      <c r="H92" s="564"/>
      <c r="I92" s="564"/>
      <c r="J92" s="564"/>
      <c r="K92" s="564"/>
      <c r="L92" s="564"/>
      <c r="M92" s="564"/>
      <c r="N92" s="564"/>
      <c r="O92" s="564"/>
      <c r="P92" s="564"/>
      <c r="Q92" s="564"/>
      <c r="R92" s="564"/>
      <c r="S92" s="564"/>
      <c r="T92" s="564"/>
      <c r="U92" s="564"/>
      <c r="V92" s="564"/>
      <c r="W92" s="564"/>
      <c r="X92" s="564"/>
      <c r="Y92" s="564"/>
      <c r="Z92" s="564"/>
      <c r="AA92" s="564"/>
      <c r="AB92" s="564"/>
      <c r="AC92" s="564"/>
      <c r="AD92" s="564"/>
      <c r="AE92" s="564"/>
      <c r="AF92" s="564"/>
      <c r="AG92" s="297"/>
      <c r="AH92" s="297"/>
      <c r="AI92" s="297"/>
      <c r="AJ92" s="297"/>
      <c r="AK92" s="297"/>
    </row>
    <row r="93" spans="1:37" customFormat="1" ht="15" customHeight="1">
      <c r="A93" s="564" t="s">
        <v>611</v>
      </c>
      <c r="B93" s="564"/>
      <c r="C93" s="564"/>
      <c r="D93" s="564"/>
      <c r="E93" s="564"/>
      <c r="F93" s="564"/>
      <c r="G93" s="564"/>
      <c r="H93" s="564"/>
      <c r="I93" s="564"/>
      <c r="J93" s="564"/>
      <c r="K93" s="564"/>
      <c r="L93" s="564"/>
      <c r="M93" s="564"/>
      <c r="N93" s="564"/>
      <c r="O93" s="564"/>
      <c r="P93" s="564"/>
      <c r="Q93" s="564"/>
      <c r="R93" s="564"/>
      <c r="S93" s="564"/>
      <c r="T93" s="564"/>
      <c r="U93" s="564"/>
      <c r="V93" s="564"/>
      <c r="W93" s="564"/>
      <c r="X93" s="564"/>
      <c r="Y93" s="564"/>
      <c r="Z93" s="564"/>
      <c r="AA93" s="564"/>
      <c r="AB93" s="564"/>
      <c r="AC93" s="564"/>
      <c r="AD93" s="564"/>
      <c r="AE93" s="564"/>
      <c r="AF93" s="564"/>
      <c r="AG93" s="297"/>
      <c r="AH93" s="297"/>
      <c r="AI93" s="297"/>
      <c r="AJ93" s="297"/>
      <c r="AK93" s="297"/>
    </row>
    <row r="94" spans="1:37" customFormat="1" ht="15" customHeight="1">
      <c r="A94" s="564" t="s">
        <v>612</v>
      </c>
      <c r="B94" s="564"/>
      <c r="C94" s="564"/>
      <c r="D94" s="564"/>
      <c r="E94" s="564"/>
      <c r="F94" s="564"/>
      <c r="G94" s="564"/>
      <c r="H94" s="564"/>
      <c r="I94" s="564"/>
      <c r="J94" s="564"/>
      <c r="K94" s="564"/>
      <c r="L94" s="564"/>
      <c r="M94" s="564"/>
      <c r="N94" s="564"/>
      <c r="O94" s="564"/>
      <c r="P94" s="564"/>
      <c r="Q94" s="564"/>
      <c r="R94" s="564"/>
      <c r="S94" s="564"/>
      <c r="T94" s="564"/>
      <c r="U94" s="564"/>
      <c r="V94" s="564"/>
      <c r="W94" s="564"/>
      <c r="X94" s="564"/>
      <c r="Y94" s="564"/>
      <c r="Z94" s="564"/>
      <c r="AA94" s="564"/>
      <c r="AB94" s="564"/>
      <c r="AC94" s="564"/>
      <c r="AD94" s="564"/>
      <c r="AE94" s="564"/>
      <c r="AF94" s="564"/>
      <c r="AG94" s="297"/>
      <c r="AH94" s="297"/>
      <c r="AI94" s="297"/>
      <c r="AJ94" s="297"/>
      <c r="AK94" s="297"/>
    </row>
    <row r="95" spans="1:37" customFormat="1" ht="15" customHeight="1">
      <c r="A95" s="564" t="s">
        <v>613</v>
      </c>
      <c r="B95" s="564"/>
      <c r="C95" s="564"/>
      <c r="D95" s="564"/>
      <c r="E95" s="564"/>
      <c r="F95" s="564"/>
      <c r="G95" s="564"/>
      <c r="H95" s="564"/>
      <c r="I95" s="564"/>
      <c r="J95" s="564"/>
      <c r="K95" s="564"/>
      <c r="L95" s="564"/>
      <c r="M95" s="564"/>
      <c r="N95" s="564"/>
      <c r="O95" s="564"/>
      <c r="P95" s="564"/>
      <c r="Q95" s="564"/>
      <c r="R95" s="564"/>
      <c r="S95" s="564"/>
      <c r="T95" s="564"/>
      <c r="U95" s="564"/>
      <c r="V95" s="564"/>
      <c r="W95" s="564"/>
      <c r="X95" s="564"/>
      <c r="Y95" s="564"/>
      <c r="Z95" s="564"/>
      <c r="AA95" s="564"/>
      <c r="AB95" s="564"/>
      <c r="AC95" s="564"/>
      <c r="AD95" s="564"/>
      <c r="AE95" s="564"/>
      <c r="AF95" s="564"/>
      <c r="AG95" s="297"/>
      <c r="AH95" s="297"/>
      <c r="AI95" s="297"/>
      <c r="AJ95" s="297"/>
      <c r="AK95" s="297"/>
    </row>
    <row r="96" spans="1:37" customFormat="1" ht="15" customHeight="1">
      <c r="A96" s="564" t="s">
        <v>614</v>
      </c>
      <c r="B96" s="564"/>
      <c r="C96" s="564"/>
      <c r="D96" s="564"/>
      <c r="E96" s="564"/>
      <c r="F96" s="564"/>
      <c r="G96" s="564"/>
      <c r="H96" s="564"/>
      <c r="I96" s="564"/>
      <c r="J96" s="564"/>
      <c r="K96" s="564"/>
      <c r="L96" s="564"/>
      <c r="M96" s="564"/>
      <c r="N96" s="564"/>
      <c r="O96" s="564"/>
      <c r="P96" s="564"/>
      <c r="Q96" s="564"/>
      <c r="R96" s="564"/>
      <c r="S96" s="564"/>
      <c r="T96" s="564"/>
      <c r="U96" s="564"/>
      <c r="V96" s="564"/>
      <c r="W96" s="564"/>
      <c r="X96" s="564"/>
      <c r="Y96" s="564"/>
      <c r="Z96" s="564"/>
      <c r="AA96" s="564"/>
      <c r="AB96" s="564"/>
      <c r="AC96" s="564"/>
      <c r="AD96" s="564"/>
      <c r="AE96" s="564"/>
      <c r="AF96" s="564"/>
      <c r="AG96" s="297"/>
      <c r="AH96" s="297"/>
      <c r="AI96" s="297"/>
      <c r="AJ96" s="297"/>
      <c r="AK96" s="297"/>
    </row>
    <row r="97" spans="1:37" customFormat="1" ht="15" customHeight="1">
      <c r="A97" s="564" t="s">
        <v>615</v>
      </c>
      <c r="B97" s="564"/>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297"/>
      <c r="AH97" s="297"/>
      <c r="AI97" s="297"/>
      <c r="AJ97" s="297"/>
      <c r="AK97" s="297"/>
    </row>
    <row r="98" spans="1:37" customFormat="1" ht="15" customHeight="1">
      <c r="A98" s="564" t="s">
        <v>616</v>
      </c>
      <c r="B98" s="564"/>
      <c r="C98" s="564"/>
      <c r="D98" s="564"/>
      <c r="E98" s="564"/>
      <c r="F98" s="564"/>
      <c r="G98" s="564"/>
      <c r="H98" s="564"/>
      <c r="I98" s="564"/>
      <c r="J98" s="564"/>
      <c r="K98" s="564"/>
      <c r="L98" s="564"/>
      <c r="M98" s="564"/>
      <c r="N98" s="564"/>
      <c r="O98" s="564"/>
      <c r="P98" s="564"/>
      <c r="Q98" s="564"/>
      <c r="R98" s="564"/>
      <c r="S98" s="564"/>
      <c r="T98" s="564"/>
      <c r="U98" s="564"/>
      <c r="V98" s="564"/>
      <c r="W98" s="564"/>
      <c r="X98" s="564"/>
      <c r="Y98" s="564"/>
      <c r="Z98" s="564"/>
      <c r="AA98" s="564"/>
      <c r="AB98" s="564"/>
      <c r="AC98" s="564"/>
      <c r="AD98" s="564"/>
      <c r="AE98" s="564"/>
      <c r="AF98" s="564"/>
      <c r="AG98" s="297"/>
      <c r="AH98" s="297"/>
      <c r="AI98" s="297"/>
      <c r="AJ98" s="297"/>
      <c r="AK98" s="297"/>
    </row>
    <row r="99" spans="1:37" customFormat="1" ht="15" customHeight="1">
      <c r="A99" s="564" t="s">
        <v>617</v>
      </c>
      <c r="B99" s="564"/>
      <c r="C99" s="564"/>
      <c r="D99" s="564"/>
      <c r="E99" s="564"/>
      <c r="F99" s="564"/>
      <c r="G99" s="564"/>
      <c r="H99" s="564"/>
      <c r="I99" s="564"/>
      <c r="J99" s="564"/>
      <c r="K99" s="564"/>
      <c r="L99" s="564"/>
      <c r="M99" s="564"/>
      <c r="N99" s="564"/>
      <c r="O99" s="564"/>
      <c r="P99" s="564"/>
      <c r="Q99" s="564"/>
      <c r="R99" s="564"/>
      <c r="S99" s="564"/>
      <c r="T99" s="564"/>
      <c r="U99" s="564"/>
      <c r="V99" s="564"/>
      <c r="W99" s="564"/>
      <c r="X99" s="564"/>
      <c r="Y99" s="564"/>
      <c r="Z99" s="564"/>
      <c r="AA99" s="564"/>
      <c r="AB99" s="564"/>
      <c r="AC99" s="564"/>
      <c r="AD99" s="564"/>
      <c r="AE99" s="564"/>
      <c r="AF99" s="564"/>
      <c r="AG99" s="297"/>
      <c r="AH99" s="297"/>
      <c r="AI99" s="297"/>
      <c r="AJ99" s="297"/>
      <c r="AK99" s="297"/>
    </row>
    <row r="100" spans="1:37" customFormat="1" ht="15" customHeight="1">
      <c r="A100" s="564" t="s">
        <v>618</v>
      </c>
      <c r="B100" s="564"/>
      <c r="C100" s="564"/>
      <c r="D100" s="564"/>
      <c r="E100" s="564"/>
      <c r="F100" s="564"/>
      <c r="G100" s="564"/>
      <c r="H100" s="564"/>
      <c r="I100" s="564"/>
      <c r="J100" s="564"/>
      <c r="K100" s="564"/>
      <c r="L100" s="564"/>
      <c r="M100" s="564"/>
      <c r="N100" s="564"/>
      <c r="O100" s="564"/>
      <c r="P100" s="564"/>
      <c r="Q100" s="564"/>
      <c r="R100" s="564"/>
      <c r="S100" s="564"/>
      <c r="T100" s="564"/>
      <c r="U100" s="564"/>
      <c r="V100" s="564"/>
      <c r="W100" s="564"/>
      <c r="X100" s="564"/>
      <c r="Y100" s="564"/>
      <c r="Z100" s="564"/>
      <c r="AA100" s="564"/>
      <c r="AB100" s="564"/>
      <c r="AC100" s="564"/>
      <c r="AD100" s="564"/>
      <c r="AE100" s="564"/>
      <c r="AF100" s="564"/>
      <c r="AG100" s="297"/>
      <c r="AH100" s="297"/>
      <c r="AI100" s="297"/>
      <c r="AJ100" s="297"/>
      <c r="AK100" s="297"/>
    </row>
    <row r="101" spans="1:37" customFormat="1" ht="15" customHeight="1">
      <c r="A101" s="564" t="s">
        <v>619</v>
      </c>
      <c r="B101" s="564"/>
      <c r="C101" s="564"/>
      <c r="D101" s="564"/>
      <c r="E101" s="564"/>
      <c r="F101" s="564"/>
      <c r="G101" s="564"/>
      <c r="H101" s="564"/>
      <c r="I101" s="564"/>
      <c r="J101" s="564"/>
      <c r="K101" s="564"/>
      <c r="L101" s="564"/>
      <c r="M101" s="564"/>
      <c r="N101" s="564"/>
      <c r="O101" s="564"/>
      <c r="P101" s="564"/>
      <c r="Q101" s="564"/>
      <c r="R101" s="564"/>
      <c r="S101" s="564"/>
      <c r="T101" s="564"/>
      <c r="U101" s="564"/>
      <c r="V101" s="564"/>
      <c r="W101" s="564"/>
      <c r="X101" s="564"/>
      <c r="Y101" s="564"/>
      <c r="Z101" s="564"/>
      <c r="AA101" s="564"/>
      <c r="AB101" s="564"/>
      <c r="AC101" s="564"/>
      <c r="AD101" s="564"/>
      <c r="AE101" s="564"/>
      <c r="AF101" s="564"/>
      <c r="AG101" s="297"/>
      <c r="AH101" s="297"/>
      <c r="AI101" s="297"/>
      <c r="AJ101" s="297"/>
      <c r="AK101" s="297"/>
    </row>
    <row r="102" spans="1:37" customFormat="1" ht="15" customHeight="1">
      <c r="A102" s="564" t="s">
        <v>620</v>
      </c>
      <c r="B102" s="564"/>
      <c r="C102" s="564"/>
      <c r="D102" s="564"/>
      <c r="E102" s="564"/>
      <c r="F102" s="564"/>
      <c r="G102" s="564"/>
      <c r="H102" s="564"/>
      <c r="I102" s="564"/>
      <c r="J102" s="564"/>
      <c r="K102" s="564"/>
      <c r="L102" s="564"/>
      <c r="M102" s="564"/>
      <c r="N102" s="564"/>
      <c r="O102" s="564"/>
      <c r="P102" s="564"/>
      <c r="Q102" s="564"/>
      <c r="R102" s="564"/>
      <c r="S102" s="564"/>
      <c r="T102" s="564"/>
      <c r="U102" s="564"/>
      <c r="V102" s="564"/>
      <c r="W102" s="564"/>
      <c r="X102" s="564"/>
      <c r="Y102" s="564"/>
      <c r="Z102" s="564"/>
      <c r="AA102" s="564"/>
      <c r="AB102" s="564"/>
      <c r="AC102" s="564"/>
      <c r="AD102" s="564"/>
      <c r="AE102" s="564"/>
      <c r="AF102" s="564"/>
      <c r="AG102" s="297"/>
      <c r="AH102" s="297"/>
      <c r="AI102" s="297"/>
      <c r="AJ102" s="297"/>
      <c r="AK102" s="297"/>
    </row>
    <row r="103" spans="1:37" customFormat="1" ht="15" customHeight="1">
      <c r="A103" s="564" t="s">
        <v>621</v>
      </c>
      <c r="B103" s="564"/>
      <c r="C103" s="564"/>
      <c r="D103" s="564"/>
      <c r="E103" s="564"/>
      <c r="F103" s="564"/>
      <c r="G103" s="564"/>
      <c r="H103" s="564"/>
      <c r="I103" s="564"/>
      <c r="J103" s="564"/>
      <c r="K103" s="564"/>
      <c r="L103" s="564"/>
      <c r="M103" s="564"/>
      <c r="N103" s="564"/>
      <c r="O103" s="564"/>
      <c r="P103" s="564"/>
      <c r="Q103" s="564"/>
      <c r="R103" s="564"/>
      <c r="S103" s="564"/>
      <c r="T103" s="564"/>
      <c r="U103" s="564"/>
      <c r="V103" s="564"/>
      <c r="W103" s="564"/>
      <c r="X103" s="564"/>
      <c r="Y103" s="564"/>
      <c r="Z103" s="564"/>
      <c r="AA103" s="564"/>
      <c r="AB103" s="564"/>
      <c r="AC103" s="564"/>
      <c r="AD103" s="564"/>
      <c r="AE103" s="564"/>
      <c r="AF103" s="564"/>
      <c r="AG103" s="297"/>
      <c r="AH103" s="297"/>
      <c r="AI103" s="297"/>
      <c r="AJ103" s="297"/>
      <c r="AK103" s="297"/>
    </row>
    <row r="104" spans="1:37" customFormat="1" ht="15" customHeight="1">
      <c r="A104" s="564" t="s">
        <v>622</v>
      </c>
      <c r="B104" s="564"/>
      <c r="C104" s="564"/>
      <c r="D104" s="564"/>
      <c r="E104" s="564"/>
      <c r="F104" s="564"/>
      <c r="G104" s="564"/>
      <c r="H104" s="564"/>
      <c r="I104" s="564"/>
      <c r="J104" s="564"/>
      <c r="K104" s="564"/>
      <c r="L104" s="564"/>
      <c r="M104" s="564"/>
      <c r="N104" s="564"/>
      <c r="O104" s="564"/>
      <c r="P104" s="564"/>
      <c r="Q104" s="564"/>
      <c r="R104" s="564"/>
      <c r="S104" s="564"/>
      <c r="T104" s="564"/>
      <c r="U104" s="564"/>
      <c r="V104" s="564"/>
      <c r="W104" s="564"/>
      <c r="X104" s="564"/>
      <c r="Y104" s="564"/>
      <c r="Z104" s="564"/>
      <c r="AA104" s="564"/>
      <c r="AB104" s="564"/>
      <c r="AC104" s="564"/>
      <c r="AD104" s="564"/>
      <c r="AE104" s="564"/>
      <c r="AF104" s="564"/>
      <c r="AG104" s="297"/>
      <c r="AH104" s="297"/>
      <c r="AI104" s="297"/>
      <c r="AJ104" s="297"/>
      <c r="AK104" s="297"/>
    </row>
    <row r="105" spans="1:37" customFormat="1" ht="15" customHeight="1">
      <c r="A105" s="564" t="s">
        <v>623</v>
      </c>
      <c r="B105" s="564"/>
      <c r="C105" s="564"/>
      <c r="D105" s="564"/>
      <c r="E105" s="564"/>
      <c r="F105" s="564"/>
      <c r="G105" s="564"/>
      <c r="H105" s="564"/>
      <c r="I105" s="564"/>
      <c r="J105" s="564"/>
      <c r="K105" s="564"/>
      <c r="L105" s="564"/>
      <c r="M105" s="564"/>
      <c r="N105" s="564"/>
      <c r="O105" s="564"/>
      <c r="P105" s="564"/>
      <c r="Q105" s="564"/>
      <c r="R105" s="564"/>
      <c r="S105" s="564"/>
      <c r="T105" s="564"/>
      <c r="U105" s="564"/>
      <c r="V105" s="564"/>
      <c r="W105" s="564"/>
      <c r="X105" s="564"/>
      <c r="Y105" s="564"/>
      <c r="Z105" s="564"/>
      <c r="AA105" s="564"/>
      <c r="AB105" s="564"/>
      <c r="AC105" s="564"/>
      <c r="AD105" s="564"/>
      <c r="AE105" s="564"/>
      <c r="AF105" s="564"/>
      <c r="AG105" s="297"/>
      <c r="AH105" s="297"/>
      <c r="AI105" s="297"/>
      <c r="AJ105" s="297"/>
      <c r="AK105" s="297"/>
    </row>
    <row r="106" spans="1:37" customFormat="1" ht="15" customHeight="1">
      <c r="A106" s="564" t="s">
        <v>624</v>
      </c>
      <c r="B106" s="564"/>
      <c r="C106" s="564"/>
      <c r="D106" s="564"/>
      <c r="E106" s="564"/>
      <c r="F106" s="564"/>
      <c r="G106" s="564"/>
      <c r="H106" s="564"/>
      <c r="I106" s="564"/>
      <c r="J106" s="564"/>
      <c r="K106" s="564"/>
      <c r="L106" s="564"/>
      <c r="M106" s="564"/>
      <c r="N106" s="564"/>
      <c r="O106" s="564"/>
      <c r="P106" s="564"/>
      <c r="Q106" s="564"/>
      <c r="R106" s="564"/>
      <c r="S106" s="564"/>
      <c r="T106" s="564"/>
      <c r="U106" s="564"/>
      <c r="V106" s="564"/>
      <c r="W106" s="564"/>
      <c r="X106" s="564"/>
      <c r="Y106" s="564"/>
      <c r="Z106" s="564"/>
      <c r="AA106" s="564"/>
      <c r="AB106" s="564"/>
      <c r="AC106" s="564"/>
      <c r="AD106" s="564"/>
      <c r="AE106" s="564"/>
      <c r="AF106" s="564"/>
      <c r="AG106" s="297"/>
      <c r="AH106" s="297"/>
      <c r="AI106" s="297"/>
      <c r="AJ106" s="297"/>
      <c r="AK106" s="297"/>
    </row>
    <row r="107" spans="1:37" customFormat="1" ht="15" customHeight="1">
      <c r="A107" s="564" t="s">
        <v>625</v>
      </c>
      <c r="B107" s="564"/>
      <c r="C107" s="564"/>
      <c r="D107" s="564"/>
      <c r="E107" s="564"/>
      <c r="F107" s="564"/>
      <c r="G107" s="564"/>
      <c r="H107" s="564"/>
      <c r="I107" s="564"/>
      <c r="J107" s="564"/>
      <c r="K107" s="564"/>
      <c r="L107" s="564"/>
      <c r="M107" s="564"/>
      <c r="N107" s="564"/>
      <c r="O107" s="564"/>
      <c r="P107" s="564"/>
      <c r="Q107" s="564"/>
      <c r="R107" s="564"/>
      <c r="S107" s="564"/>
      <c r="T107" s="564"/>
      <c r="U107" s="564"/>
      <c r="V107" s="564"/>
      <c r="W107" s="564"/>
      <c r="X107" s="564"/>
      <c r="Y107" s="564"/>
      <c r="Z107" s="564"/>
      <c r="AA107" s="564"/>
      <c r="AB107" s="564"/>
      <c r="AC107" s="564"/>
      <c r="AD107" s="564"/>
      <c r="AE107" s="564"/>
      <c r="AF107" s="564"/>
      <c r="AG107" s="297"/>
      <c r="AH107" s="297"/>
      <c r="AI107" s="297"/>
      <c r="AJ107" s="297"/>
      <c r="AK107" s="297"/>
    </row>
    <row r="108" spans="1:37" customFormat="1" ht="15" customHeight="1">
      <c r="A108" s="564" t="s">
        <v>626</v>
      </c>
      <c r="B108" s="564"/>
      <c r="C108" s="564"/>
      <c r="D108" s="564"/>
      <c r="E108" s="564"/>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4"/>
      <c r="AD108" s="564"/>
      <c r="AE108" s="564"/>
      <c r="AF108" s="564"/>
      <c r="AG108" s="297"/>
      <c r="AH108" s="297"/>
      <c r="AI108" s="297"/>
      <c r="AJ108" s="297"/>
      <c r="AK108" s="297"/>
    </row>
    <row r="109" spans="1:37" customFormat="1" ht="15" customHeight="1">
      <c r="A109" s="564" t="s">
        <v>627</v>
      </c>
      <c r="B109" s="564"/>
      <c r="C109" s="564"/>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564"/>
      <c r="AD109" s="564"/>
      <c r="AE109" s="564"/>
      <c r="AF109" s="564"/>
      <c r="AG109" s="297"/>
      <c r="AH109" s="297"/>
      <c r="AI109" s="297"/>
      <c r="AJ109" s="297"/>
      <c r="AK109" s="297"/>
    </row>
  </sheetData>
  <mergeCells count="32">
    <mergeCell ref="A78:AF78"/>
    <mergeCell ref="A79:AF79"/>
    <mergeCell ref="A80:AF80"/>
    <mergeCell ref="A81:AF81"/>
    <mergeCell ref="A82:AF82"/>
    <mergeCell ref="A83:AF83"/>
    <mergeCell ref="A84:AF84"/>
    <mergeCell ref="A85:AF85"/>
    <mergeCell ref="A86:AF8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8:AF108"/>
    <mergeCell ref="A109:AF109"/>
    <mergeCell ref="A102:AF102"/>
    <mergeCell ref="A103:AF103"/>
    <mergeCell ref="A104:AF104"/>
    <mergeCell ref="A105:AF105"/>
    <mergeCell ref="A106:AF106"/>
    <mergeCell ref="A107:AF10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529</v>
      </c>
    </row>
    <row r="4" spans="1:2">
      <c r="A4" t="s">
        <v>552</v>
      </c>
    </row>
    <row r="5" spans="1:2">
      <c r="B5" t="s">
        <v>528</v>
      </c>
    </row>
    <row r="7" spans="1:2">
      <c r="A7" t="s">
        <v>716</v>
      </c>
    </row>
    <row r="9" spans="1:2">
      <c r="A9" t="s">
        <v>527</v>
      </c>
    </row>
    <row r="10" spans="1:2">
      <c r="B10" t="s">
        <v>521</v>
      </c>
    </row>
    <row r="12" spans="1:2">
      <c r="A12" t="s">
        <v>710</v>
      </c>
    </row>
    <row r="14" spans="1:2">
      <c r="A14" t="s">
        <v>520</v>
      </c>
    </row>
    <row r="15" spans="1:2">
      <c r="B15" t="s">
        <v>522</v>
      </c>
    </row>
    <row r="17" spans="1:1">
      <c r="A17" t="s">
        <v>525</v>
      </c>
    </row>
    <row r="19" spans="1:1">
      <c r="A19" t="s">
        <v>526</v>
      </c>
    </row>
    <row r="21" spans="1:1">
      <c r="A21" t="s">
        <v>551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45" activePane="bottomRight" state="frozen"/>
      <selection activeCell="A10" sqref="A10"/>
      <selection pane="topRight" activeCell="C10" sqref="C10"/>
      <selection pane="bottomLeft" activeCell="A13" sqref="A13"/>
      <selection pane="bottomRight" activeCell="H186" sqref="H186"/>
    </sheetView>
  </sheetViews>
  <sheetFormatPr baseColWidth="10" defaultColWidth="8.83203125" defaultRowHeight="14" x14ac:dyDescent="0"/>
  <cols>
    <col min="1" max="1" width="43.83203125" customWidth="1"/>
    <col min="2" max="2" width="5.1640625" style="33" hidden="1" customWidth="1"/>
    <col min="3" max="5" width="11.1640625" style="327" customWidth="1"/>
    <col min="6" max="6" width="17" style="327" customWidth="1"/>
    <col min="7" max="7" width="15.5" style="327" customWidth="1"/>
    <col min="8" max="8" width="16.1640625" style="399"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5"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2"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80" customWidth="1"/>
    <col min="35" max="35" width="20.6640625" bestFit="1" customWidth="1"/>
    <col min="36" max="36" width="15.33203125" bestFit="1" customWidth="1"/>
    <col min="37" max="37" width="13.33203125" bestFit="1" customWidth="1"/>
    <col min="38" max="38" width="13.83203125" customWidth="1"/>
  </cols>
  <sheetData>
    <row r="1" spans="1:38" hidden="1">
      <c r="A1" s="535"/>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row>
    <row r="2" spans="1:38" hidden="1">
      <c r="A2" s="535"/>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row>
    <row r="3" spans="1:38" hidden="1">
      <c r="A3" s="535"/>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row>
    <row r="4" spans="1:38" hidden="1">
      <c r="A4" s="535"/>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row>
    <row r="5" spans="1:38" hidden="1">
      <c r="A5" s="535"/>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row>
    <row r="6" spans="1:38" hidden="1">
      <c r="A6" s="535"/>
      <c r="B6" s="535"/>
      <c r="C6" s="535"/>
      <c r="D6" s="535"/>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535"/>
      <c r="AE6" s="535"/>
      <c r="AF6" s="535"/>
      <c r="AG6" s="535"/>
      <c r="AH6" s="535"/>
      <c r="AI6" s="535"/>
      <c r="AJ6" s="535"/>
      <c r="AK6" s="535"/>
      <c r="AL6" s="535"/>
    </row>
    <row r="7" spans="1:38" ht="23.25" hidden="1" customHeight="1">
      <c r="A7" s="535"/>
      <c r="B7" s="535"/>
      <c r="C7" s="535"/>
      <c r="D7" s="535"/>
      <c r="E7" s="535"/>
      <c r="F7" s="535"/>
      <c r="G7" s="535"/>
      <c r="H7" s="535"/>
      <c r="I7" s="535"/>
      <c r="J7" s="535"/>
      <c r="K7" s="535"/>
      <c r="L7" s="535"/>
      <c r="M7" s="535"/>
      <c r="N7" s="535"/>
      <c r="O7" s="535"/>
      <c r="P7" s="535"/>
      <c r="Q7" s="535"/>
      <c r="R7" s="535"/>
      <c r="S7" s="535"/>
      <c r="T7" s="535"/>
      <c r="U7" s="535"/>
      <c r="V7" s="535"/>
      <c r="W7" s="535"/>
      <c r="X7" s="535"/>
      <c r="Y7" s="535"/>
      <c r="Z7" s="535"/>
      <c r="AA7" s="535"/>
      <c r="AB7" s="535"/>
      <c r="AC7" s="535"/>
      <c r="AD7" s="535"/>
      <c r="AE7" s="535"/>
      <c r="AF7" s="535"/>
      <c r="AG7" s="535"/>
      <c r="AH7" s="535"/>
      <c r="AI7" s="535"/>
      <c r="AJ7" s="535"/>
      <c r="AK7" s="535"/>
      <c r="AL7" s="535"/>
    </row>
    <row r="8" spans="1:38" s="159" customFormat="1" ht="15.75" hidden="1" customHeight="1">
      <c r="A8" s="535"/>
      <c r="B8" s="535"/>
      <c r="C8" s="535"/>
      <c r="D8" s="535"/>
      <c r="E8" s="535"/>
      <c r="F8" s="535"/>
      <c r="G8" s="535"/>
      <c r="H8" s="535"/>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5"/>
      <c r="AK8" s="535"/>
      <c r="AL8" s="535"/>
    </row>
    <row r="9" spans="1:38" ht="21" hidden="1" customHeight="1">
      <c r="A9" s="535"/>
      <c r="B9" s="535"/>
      <c r="C9" s="535"/>
      <c r="D9" s="535"/>
      <c r="E9" s="535"/>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row>
    <row r="10" spans="1:38">
      <c r="A10" t="s">
        <v>188</v>
      </c>
      <c r="B10" s="33" t="s">
        <v>127</v>
      </c>
      <c r="Y10" s="20"/>
      <c r="Z10" s="20"/>
      <c r="AA10" s="20"/>
      <c r="AB10" s="20"/>
      <c r="AC10" s="20"/>
      <c r="AD10" s="20"/>
      <c r="AE10" s="20"/>
      <c r="AF10" s="20"/>
      <c r="AG10" s="20"/>
      <c r="AH10" s="279"/>
    </row>
    <row r="11" spans="1:38" s="1" customFormat="1">
      <c r="B11" s="13"/>
      <c r="C11" s="328">
        <v>2009</v>
      </c>
      <c r="D11" s="328">
        <v>2010</v>
      </c>
      <c r="E11" s="328">
        <v>2011</v>
      </c>
      <c r="F11" s="328">
        <v>2012</v>
      </c>
      <c r="G11" s="328">
        <v>2013</v>
      </c>
      <c r="H11" s="400">
        <v>2014</v>
      </c>
      <c r="I11" s="13">
        <v>2015</v>
      </c>
      <c r="J11" s="13">
        <v>2016</v>
      </c>
      <c r="K11" s="13">
        <v>2017</v>
      </c>
      <c r="L11" s="13">
        <v>2018</v>
      </c>
      <c r="M11" s="13">
        <v>2019</v>
      </c>
      <c r="N11" s="176">
        <v>2020</v>
      </c>
      <c r="O11" s="13">
        <v>2021</v>
      </c>
      <c r="P11" s="13">
        <v>2022</v>
      </c>
      <c r="Q11" s="13">
        <v>2023</v>
      </c>
      <c r="R11" s="13">
        <v>2024</v>
      </c>
      <c r="S11" s="13">
        <v>2025</v>
      </c>
      <c r="T11" s="13">
        <v>2026</v>
      </c>
      <c r="U11" s="13">
        <v>2027</v>
      </c>
      <c r="V11" s="13">
        <v>2028</v>
      </c>
      <c r="W11" s="13">
        <v>2029</v>
      </c>
      <c r="X11" s="176">
        <v>2030</v>
      </c>
      <c r="Y11" s="13">
        <v>2031</v>
      </c>
      <c r="Z11" s="13">
        <v>2032</v>
      </c>
      <c r="AA11" s="13">
        <v>2033</v>
      </c>
      <c r="AB11" s="13">
        <v>2034</v>
      </c>
      <c r="AC11" s="13">
        <v>2035</v>
      </c>
      <c r="AD11" s="13">
        <v>2036</v>
      </c>
      <c r="AE11" s="13">
        <v>2037</v>
      </c>
      <c r="AF11" s="13">
        <v>2038</v>
      </c>
      <c r="AG11" s="13">
        <v>2039</v>
      </c>
      <c r="AH11" s="176">
        <v>2040</v>
      </c>
      <c r="AJ11" s="166">
        <v>1.0299073916679518E-2</v>
      </c>
      <c r="AK11" s="167">
        <f>AJ11/2</f>
        <v>5.1495369583397588E-3</v>
      </c>
    </row>
    <row r="12" spans="1:38" s="1" customFormat="1">
      <c r="A12" s="1" t="s">
        <v>62</v>
      </c>
      <c r="B12" s="33"/>
      <c r="C12" s="328"/>
      <c r="D12" s="328"/>
      <c r="E12" s="328"/>
      <c r="F12" s="328"/>
      <c r="G12" s="328"/>
      <c r="H12" s="400"/>
      <c r="I12" s="13"/>
      <c r="J12" s="13"/>
      <c r="K12" s="13"/>
      <c r="L12" s="13"/>
      <c r="M12" s="13"/>
      <c r="N12" s="175"/>
      <c r="O12" s="13"/>
      <c r="P12" s="13"/>
      <c r="Q12" s="13"/>
      <c r="R12" s="13"/>
      <c r="S12" s="13"/>
      <c r="T12" s="13"/>
      <c r="U12" s="13"/>
      <c r="V12" s="13"/>
      <c r="W12" s="13"/>
      <c r="X12" s="176"/>
      <c r="Y12" s="20"/>
      <c r="Z12" s="20"/>
      <c r="AA12" s="20"/>
      <c r="AB12" s="20"/>
      <c r="AC12" s="20"/>
      <c r="AD12" s="20"/>
      <c r="AE12" s="20"/>
      <c r="AF12" s="20"/>
      <c r="AG12" s="20"/>
      <c r="AH12" s="279"/>
    </row>
    <row r="13" spans="1:38" s="20" customFormat="1">
      <c r="A13" s="20" t="s">
        <v>130</v>
      </c>
      <c r="B13" s="33"/>
      <c r="C13" s="330">
        <f>EIA_electricity_aeo2014!E58*1000</f>
        <v>43515.000000000007</v>
      </c>
      <c r="D13" s="330">
        <f>EIA_electricity_aeo2014!F58*1000</f>
        <v>42211.999999999993</v>
      </c>
      <c r="E13" s="330">
        <f>EIA_electricity_aeo2014!G58*1000</f>
        <v>43478.526499121494</v>
      </c>
      <c r="F13" s="330">
        <f>EIA_electricity_aeo2014!H58*1000</f>
        <v>44955.646307727089</v>
      </c>
      <c r="G13" s="330">
        <f>EIA_electricity_aeo2014!I58*1000</f>
        <v>44263.572856236467</v>
      </c>
      <c r="H13" s="286">
        <f>EIA_electricity_aeo2014!J58*1000</f>
        <v>45354.139764398707</v>
      </c>
      <c r="I13" s="83">
        <f>EIA_electricity_aeo2014!K58*1000</f>
        <v>44841.913083308064</v>
      </c>
      <c r="J13" s="83">
        <f>EIA_electricity_aeo2014!L58*1000</f>
        <v>45272.386252021148</v>
      </c>
      <c r="K13" s="83">
        <f>EIA_electricity_aeo2014!M58*1000</f>
        <v>46486.390751616978</v>
      </c>
      <c r="L13" s="83">
        <f>EIA_electricity_aeo2014!N58*1000</f>
        <v>47498.684263735238</v>
      </c>
      <c r="M13" s="83">
        <f>EIA_electricity_aeo2014!O58*1000</f>
        <v>47762.89614335759</v>
      </c>
      <c r="N13" s="177">
        <f>EIA_electricity_aeo2014!P58*1000</f>
        <v>48130.366417613513</v>
      </c>
      <c r="O13" s="83">
        <f>EIA_electricity_aeo2014!Q58*1000</f>
        <v>48262.37318055526</v>
      </c>
      <c r="P13" s="83">
        <f>EIA_electricity_aeo2014!R58*1000</f>
        <v>48981.768843099046</v>
      </c>
      <c r="Q13" s="83">
        <f>EIA_electricity_aeo2014!S58*1000</f>
        <v>49847.639037238376</v>
      </c>
      <c r="R13" s="83">
        <f>EIA_electricity_aeo2014!T58*1000</f>
        <v>50257.218029906719</v>
      </c>
      <c r="S13" s="83">
        <f>EIA_electricity_aeo2014!U58*1000</f>
        <v>50929.786186963349</v>
      </c>
      <c r="T13" s="83">
        <f>EIA_electricity_aeo2014!V58*1000</f>
        <v>51736.442507826134</v>
      </c>
      <c r="U13" s="83">
        <f>EIA_electricity_aeo2014!W58*1000</f>
        <v>52254.032121547571</v>
      </c>
      <c r="V13" s="83">
        <f>EIA_electricity_aeo2014!X58*1000</f>
        <v>52586.658865465281</v>
      </c>
      <c r="W13" s="83">
        <f>EIA_electricity_aeo2014!Y58*1000</f>
        <v>53266.742267002141</v>
      </c>
      <c r="X13" s="184">
        <f>EIA_electricity_aeo2014!Z58*1000</f>
        <v>53909.076563730283</v>
      </c>
      <c r="Y13" s="174">
        <f>EIA_electricity_aeo2014!AA58*1000</f>
        <v>54005.787057807378</v>
      </c>
      <c r="Z13" s="174">
        <f>EIA_electricity_aeo2014!AB58*1000</f>
        <v>54688.88383395534</v>
      </c>
      <c r="AA13" s="174">
        <f>EIA_electricity_aeo2014!AC58*1000</f>
        <v>55131.22350183448</v>
      </c>
      <c r="AB13" s="174">
        <f>EIA_electricity_aeo2014!AD58*1000</f>
        <v>55432.980482098166</v>
      </c>
      <c r="AC13" s="174">
        <f>EIA_electricity_aeo2014!AE58*1000</f>
        <v>55638.10494574139</v>
      </c>
      <c r="AD13" s="174">
        <f>EIA_electricity_aeo2014!AF58*1000</f>
        <v>55645.168051949571</v>
      </c>
      <c r="AE13" s="174">
        <f>EIA_electricity_aeo2014!AG58*1000</f>
        <v>55757.79470284206</v>
      </c>
      <c r="AF13" s="174">
        <f>EIA_electricity_aeo2014!AH58*1000</f>
        <v>56051.82152548086</v>
      </c>
      <c r="AG13" s="174">
        <f>EIA_electricity_aeo2014!AI58*1000</f>
        <v>56695.317299609727</v>
      </c>
      <c r="AH13" s="184">
        <f>EIA_electricity_aeo2014!AJ58*1000</f>
        <v>57217.234542855367</v>
      </c>
      <c r="AI13" s="115">
        <f>X13/C13-1</f>
        <v>0.23886192264116457</v>
      </c>
      <c r="AJ13" s="165">
        <f>(1+AJ11)^21-1</f>
        <v>0.24007814276920247</v>
      </c>
      <c r="AK13" s="168">
        <f>(1+AK11)^21-1</f>
        <v>0.11389489977934208</v>
      </c>
      <c r="AL13" s="121"/>
    </row>
    <row r="14" spans="1:38" s="20" customFormat="1">
      <c r="A14" s="20" t="s">
        <v>131</v>
      </c>
      <c r="B14" s="33"/>
      <c r="C14" s="330">
        <f>EIA_electricity_aeo2014!E58 * 1000</f>
        <v>43515.000000000007</v>
      </c>
      <c r="D14" s="330">
        <f>IF(Inputs!$C$7="BAU",'Output -Jobs vs Yr'!D13,C14+($X$14-$C$14)/($X$11-$C$11) )</f>
        <v>42211.999999999993</v>
      </c>
      <c r="E14" s="330">
        <f>IF(Inputs!$C$7="BAU",'Output -Jobs vs Yr'!E13,D14+($X$14-$C$14)/($X$11-$C$11) )</f>
        <v>43478.526499121494</v>
      </c>
      <c r="F14" s="330">
        <f>IF(Inputs!$C$7="BAU",'Output -Jobs vs Yr'!F13,E14+($X$14-$C$14)/($X$11-$C$11) )</f>
        <v>44955.646307727089</v>
      </c>
      <c r="G14" s="330">
        <f>IF(Inputs!$C$7="BAU",'Output -Jobs vs Yr'!G13,F14+($X$14-$C$14)/($X$11-$C$11) )</f>
        <v>44263.572856236467</v>
      </c>
      <c r="H14" s="286">
        <f>EIA_electricity_aeo2014!J58*1000</f>
        <v>45354.139764398707</v>
      </c>
      <c r="I14" s="83">
        <f>IF(Inputs!$C$7="BAU",'Output -Jobs vs Yr'!I13,H14+($X$14-$C$14)/($X$11-$C$11) )</f>
        <v>44841.913083308064</v>
      </c>
      <c r="J14" s="83">
        <f>IF(Inputs!$C$7="BAU",'Output -Jobs vs Yr'!J13,I14+($X$14-$C$14)/($X$11-$C$11) )</f>
        <v>45272.386252021148</v>
      </c>
      <c r="K14" s="83">
        <f>IF(Inputs!$C$7="BAU",'Output -Jobs vs Yr'!K13,J14+($X$14-$C$14)/($X$11-$C$11) )</f>
        <v>46486.390751616978</v>
      </c>
      <c r="L14" s="83">
        <f>IF(Inputs!$C$7="BAU",'Output -Jobs vs Yr'!L13,K14+($X$14-$C$14)/($X$11-$C$11) )</f>
        <v>47498.684263735238</v>
      </c>
      <c r="M14" s="83">
        <f>IF(Inputs!$C$7="BAU",'Output -Jobs vs Yr'!M13,L14+($X$14-$C$14)/($X$11-$C$11) )</f>
        <v>47762.89614335759</v>
      </c>
      <c r="N14" s="177">
        <f>IF(Inputs!$C$7="BAU",'Output -Jobs vs Yr'!N13,M14+($X$14-$C$14)/($X$11-$C$11) )</f>
        <v>48130.366417613513</v>
      </c>
      <c r="O14" s="83">
        <f>IF(Inputs!$C$7="BAU",'Output -Jobs vs Yr'!O13,N14+($X$14-$C$14)/($X$11-$C$11) )</f>
        <v>48262.37318055526</v>
      </c>
      <c r="P14" s="83">
        <f>IF(Inputs!$C$7="BAU",'Output -Jobs vs Yr'!P13,O14+($X$14-$C$14)/($X$11-$C$11) )</f>
        <v>48981.768843099046</v>
      </c>
      <c r="Q14" s="83">
        <f>IF(Inputs!$C$7="BAU",'Output -Jobs vs Yr'!Q13,P14+($X$14-$C$14)/($X$11-$C$11) )</f>
        <v>49847.639037238376</v>
      </c>
      <c r="R14" s="83">
        <f>IF(Inputs!$C$7="BAU",'Output -Jobs vs Yr'!R13,Q14+($X$14-$C$14)/($X$11-$C$11) )</f>
        <v>50257.218029906719</v>
      </c>
      <c r="S14" s="83">
        <f>IF(Inputs!$C$7="BAU",'Output -Jobs vs Yr'!S13,R14+($X$14-$C$14)/($X$11-$C$11) )</f>
        <v>50929.786186963349</v>
      </c>
      <c r="T14" s="83">
        <f>IF(Inputs!$C$7="BAU",'Output -Jobs vs Yr'!T13,S14+($X$14-$C$14)/($X$11-$C$11) )</f>
        <v>51736.442507826134</v>
      </c>
      <c r="U14" s="83">
        <f>IF(Inputs!$C$7="BAU",'Output -Jobs vs Yr'!U13,T14+($X$14-$C$14)/($X$11-$C$11) )</f>
        <v>52254.032121547571</v>
      </c>
      <c r="V14" s="83">
        <f>IF(Inputs!$C$7="BAU",'Output -Jobs vs Yr'!V13,U14+($X$14-$C$14)/($X$11-$C$11) )</f>
        <v>52586.658865465281</v>
      </c>
      <c r="W14" s="83">
        <f>IF(Inputs!$C$7="BAU",'Output -Jobs vs Yr'!W13,V14+($X$14-$C$14)/($X$11-$C$11) )</f>
        <v>53266.742267002141</v>
      </c>
      <c r="X14" s="184">
        <f>IF(Inputs!$C$7="BAU",'Output -Jobs vs Yr'!X13,C14*(1+Inputs!C7) )</f>
        <v>53909.076563730283</v>
      </c>
      <c r="Y14" s="174">
        <f>IF(Inputs!$C$7="BAU",'Output -Jobs vs Yr'!Y13,D14*(1+Inputs!D7) )</f>
        <v>54005.787057807378</v>
      </c>
      <c r="Z14" s="174">
        <f>IF(Inputs!$C$7="BAU",'Output -Jobs vs Yr'!Z13,E14*(1+Inputs!E7) )</f>
        <v>54688.88383395534</v>
      </c>
      <c r="AA14" s="174">
        <f>IF(Inputs!$C$7="BAU",'Output -Jobs vs Yr'!AA13,F14*(1+Inputs!F7) )</f>
        <v>55131.22350183448</v>
      </c>
      <c r="AB14" s="174">
        <f>IF(Inputs!$C$7="BAU",'Output -Jobs vs Yr'!AB13,G14*(1+Inputs!G7) )</f>
        <v>55432.980482098166</v>
      </c>
      <c r="AC14" s="174">
        <f>IF(Inputs!$C$7="BAU",'Output -Jobs vs Yr'!AC13,H14*(1+Inputs!H7) )</f>
        <v>55638.10494574139</v>
      </c>
      <c r="AD14" s="174">
        <f>IF(Inputs!$C$7="BAU",'Output -Jobs vs Yr'!AD13,I14*(1+Inputs!L7) )</f>
        <v>55645.168051949571</v>
      </c>
      <c r="AE14" s="174">
        <f>IF(Inputs!$C$7="BAU",'Output -Jobs vs Yr'!AE13,J14*(1+Inputs!M7) )</f>
        <v>55757.79470284206</v>
      </c>
      <c r="AF14" s="174">
        <f>IF(Inputs!$C$7="BAU",'Output -Jobs vs Yr'!AF13,K14*(1+Inputs!N7) )</f>
        <v>56051.82152548086</v>
      </c>
      <c r="AG14" s="174">
        <f>IF(Inputs!$C$7="BAU",'Output -Jobs vs Yr'!AG13,L14*(1+Inputs!O7) )</f>
        <v>56695.317299609727</v>
      </c>
      <c r="AH14" s="184">
        <f>IF(Inputs!$C$7="BAU",'Output -Jobs vs Yr'!AH13,M14*(1+Inputs!P7) )</f>
        <v>57217.234542855367</v>
      </c>
      <c r="AI14" s="99"/>
      <c r="AJ14" s="165" t="s">
        <v>0</v>
      </c>
      <c r="AK14" s="30" t="s">
        <v>0</v>
      </c>
      <c r="AL14" s="121"/>
    </row>
    <row r="15" spans="1:38" s="20" customFormat="1">
      <c r="A15" s="20" t="s">
        <v>208</v>
      </c>
      <c r="B15" s="33"/>
      <c r="C15" s="330">
        <f>C14-C13</f>
        <v>0</v>
      </c>
      <c r="D15" s="330">
        <f>D13-D14</f>
        <v>0</v>
      </c>
      <c r="E15" s="330">
        <f t="shared" ref="E15:AH15" si="0">E13-E14</f>
        <v>0</v>
      </c>
      <c r="F15" s="330">
        <f t="shared" si="0"/>
        <v>0</v>
      </c>
      <c r="G15" s="330">
        <f t="shared" si="0"/>
        <v>0</v>
      </c>
      <c r="H15" s="286">
        <f t="shared" si="0"/>
        <v>0</v>
      </c>
      <c r="I15" s="83">
        <f t="shared" si="0"/>
        <v>0</v>
      </c>
      <c r="J15" s="83">
        <f t="shared" si="0"/>
        <v>0</v>
      </c>
      <c r="K15" s="83">
        <f t="shared" si="0"/>
        <v>0</v>
      </c>
      <c r="L15" s="83">
        <f t="shared" si="0"/>
        <v>0</v>
      </c>
      <c r="M15" s="83">
        <f t="shared" si="0"/>
        <v>0</v>
      </c>
      <c r="N15" s="177">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4">
        <f t="shared" si="0"/>
        <v>0</v>
      </c>
      <c r="Y15" s="174">
        <f t="shared" si="0"/>
        <v>0</v>
      </c>
      <c r="Z15" s="174">
        <f t="shared" si="0"/>
        <v>0</v>
      </c>
      <c r="AA15" s="174">
        <f t="shared" si="0"/>
        <v>0</v>
      </c>
      <c r="AB15" s="174">
        <f t="shared" si="0"/>
        <v>0</v>
      </c>
      <c r="AC15" s="174">
        <f t="shared" si="0"/>
        <v>0</v>
      </c>
      <c r="AD15" s="174">
        <f t="shared" si="0"/>
        <v>0</v>
      </c>
      <c r="AE15" s="174">
        <f t="shared" si="0"/>
        <v>0</v>
      </c>
      <c r="AF15" s="174">
        <f t="shared" si="0"/>
        <v>0</v>
      </c>
      <c r="AG15" s="174">
        <f t="shared" si="0"/>
        <v>0</v>
      </c>
      <c r="AH15" s="184">
        <f t="shared" si="0"/>
        <v>0</v>
      </c>
      <c r="AI15" s="120"/>
      <c r="AJ15" s="122"/>
      <c r="AK15" s="30"/>
      <c r="AL15" s="123"/>
    </row>
    <row r="16" spans="1:38" s="379" customFormat="1">
      <c r="A16" s="379" t="s">
        <v>123</v>
      </c>
      <c r="B16" s="380"/>
      <c r="C16" s="381">
        <f t="shared" ref="C16:M16" si="1">C95</f>
        <v>1.119177295185568E-2</v>
      </c>
      <c r="D16" s="381">
        <f t="shared" si="1"/>
        <v>2.0500228819131473E-2</v>
      </c>
      <c r="E16" s="381">
        <f t="shared" si="1"/>
        <v>2.6882033139940156E-2</v>
      </c>
      <c r="F16" s="381">
        <f t="shared" si="1"/>
        <v>3.2452737081347188E-2</v>
      </c>
      <c r="G16" s="381">
        <f t="shared" si="1"/>
        <v>4.0900658141487772E-2</v>
      </c>
      <c r="H16" s="381">
        <f t="shared" si="1"/>
        <v>2.7090538623422027E-2</v>
      </c>
      <c r="I16" s="381">
        <f t="shared" si="1"/>
        <v>3.3493520695492399E-2</v>
      </c>
      <c r="J16" s="381">
        <f t="shared" si="1"/>
        <v>4.1496611613019777E-2</v>
      </c>
      <c r="K16" s="381">
        <f t="shared" si="1"/>
        <v>5.1527585681735946E-2</v>
      </c>
      <c r="L16" s="381">
        <f t="shared" si="1"/>
        <v>6.4138455784758963E-2</v>
      </c>
      <c r="M16" s="381">
        <f t="shared" si="1"/>
        <v>8.0039945325477188E-2</v>
      </c>
      <c r="N16" s="381">
        <f>Inputs!C11</f>
        <v>0.1</v>
      </c>
      <c r="O16" s="381">
        <f t="shared" ref="O16:W16" si="2">O95</f>
        <v>0.10200569821603198</v>
      </c>
      <c r="P16" s="381">
        <f t="shared" si="2"/>
        <v>0.10389747076685237</v>
      </c>
      <c r="Q16" s="381">
        <f t="shared" si="2"/>
        <v>0.10582260815056221</v>
      </c>
      <c r="R16" s="381">
        <f t="shared" si="2"/>
        <v>0.10778424972630546</v>
      </c>
      <c r="S16" s="381">
        <f t="shared" si="2"/>
        <v>0.10978013000443611</v>
      </c>
      <c r="T16" s="381">
        <f t="shared" si="2"/>
        <v>0.11181133573123012</v>
      </c>
      <c r="U16" s="381">
        <f t="shared" si="2"/>
        <v>0.11388061962814347</v>
      </c>
      <c r="V16" s="381">
        <f t="shared" si="2"/>
        <v>0.11598834393033892</v>
      </c>
      <c r="W16" s="381">
        <f t="shared" si="2"/>
        <v>0.11813234039044984</v>
      </c>
      <c r="X16" s="382">
        <f>Inputs!C12</f>
        <v>0.12</v>
      </c>
      <c r="Y16" s="383">
        <f>Y95</f>
        <v>0.12304111952221089</v>
      </c>
      <c r="Z16" s="383">
        <f t="shared" ref="Z16:AG16" si="3">Z95</f>
        <v>0.12582416609113492</v>
      </c>
      <c r="AA16" s="383">
        <f t="shared" si="3"/>
        <v>0.12867092283422671</v>
      </c>
      <c r="AB16" s="383">
        <f t="shared" si="3"/>
        <v>0.13158228471816077</v>
      </c>
      <c r="AC16" s="383">
        <f t="shared" si="3"/>
        <v>0.13455949111095189</v>
      </c>
      <c r="AD16" s="383">
        <f t="shared" si="3"/>
        <v>0.1376048488613057</v>
      </c>
      <c r="AE16" s="383">
        <f t="shared" si="3"/>
        <v>0.14071770026580482</v>
      </c>
      <c r="AF16" s="383">
        <f t="shared" si="3"/>
        <v>0.14389889080384519</v>
      </c>
      <c r="AG16" s="383">
        <f t="shared" si="3"/>
        <v>0.14714850694717768</v>
      </c>
      <c r="AH16" s="382">
        <f>Inputs!C13</f>
        <v>0.15</v>
      </c>
      <c r="AI16" s="384" t="s">
        <v>0</v>
      </c>
      <c r="AJ16" s="385"/>
      <c r="AK16" s="386"/>
      <c r="AL16" s="387"/>
    </row>
    <row r="17" spans="1:37" s="281" customFormat="1">
      <c r="A17" s="281" t="s">
        <v>115</v>
      </c>
      <c r="B17" s="282"/>
      <c r="C17" s="337"/>
      <c r="D17" s="332">
        <f>D16/C16-1</f>
        <v>0.83172307974067516</v>
      </c>
      <c r="E17" s="332">
        <f t="shared" ref="E17:M17" si="4">E16/D16-1</f>
        <v>0.31130405309686005</v>
      </c>
      <c r="F17" s="332">
        <f t="shared" si="4"/>
        <v>0.20722777597987263</v>
      </c>
      <c r="G17" s="332">
        <f t="shared" si="4"/>
        <v>0.26031459346448105</v>
      </c>
      <c r="H17" s="284"/>
      <c r="I17" s="284">
        <f t="shared" si="4"/>
        <v>0.23635491937153508</v>
      </c>
      <c r="J17" s="284">
        <f t="shared" si="4"/>
        <v>0.23894445108616025</v>
      </c>
      <c r="K17" s="284">
        <f t="shared" si="4"/>
        <v>0.24172995526142915</v>
      </c>
      <c r="L17" s="284">
        <f t="shared" si="4"/>
        <v>0.24474017045772367</v>
      </c>
      <c r="M17" s="284">
        <f t="shared" si="4"/>
        <v>0.24792442141235416</v>
      </c>
      <c r="N17" s="284">
        <f>N16/M16-1</f>
        <v>0.24937616578018096</v>
      </c>
      <c r="O17" s="284">
        <f>O16/N16-1</f>
        <v>2.0056982160319592E-2</v>
      </c>
      <c r="P17" s="284">
        <f t="shared" ref="P17:X17" si="5">P16/O16-1</f>
        <v>1.8545753657936981E-2</v>
      </c>
      <c r="Q17" s="284">
        <f t="shared" si="5"/>
        <v>1.8529203545579076E-2</v>
      </c>
      <c r="R17" s="284">
        <f t="shared" si="5"/>
        <v>1.8537074544149101E-2</v>
      </c>
      <c r="S17" s="284">
        <f t="shared" si="5"/>
        <v>1.8517364858026575E-2</v>
      </c>
      <c r="T17" s="284">
        <f t="shared" si="5"/>
        <v>1.8502489719331994E-2</v>
      </c>
      <c r="U17" s="284">
        <f t="shared" si="5"/>
        <v>1.8506924037536399E-2</v>
      </c>
      <c r="V17" s="284">
        <f t="shared" si="5"/>
        <v>1.8508191376880756E-2</v>
      </c>
      <c r="W17" s="284">
        <f t="shared" si="5"/>
        <v>1.8484585497647643E-2</v>
      </c>
      <c r="X17" s="283">
        <f t="shared" si="5"/>
        <v>1.5809892560980199E-2</v>
      </c>
      <c r="Y17" s="288">
        <v>2.9000000000000001E-2</v>
      </c>
      <c r="Z17" s="288">
        <v>2.9000000000000001E-2</v>
      </c>
      <c r="AA17" s="288">
        <v>2.9000000000000001E-2</v>
      </c>
      <c r="AB17" s="288">
        <v>2.9000000000000001E-2</v>
      </c>
      <c r="AC17" s="288">
        <v>2.9000000000000001E-2</v>
      </c>
      <c r="AD17" s="288">
        <v>2.9000000000000001E-2</v>
      </c>
      <c r="AE17" s="288">
        <v>2.9000000000000001E-2</v>
      </c>
      <c r="AF17" s="288">
        <v>2.9000000000000001E-2</v>
      </c>
      <c r="AG17" s="288">
        <v>2.9000000000000001E-2</v>
      </c>
      <c r="AH17" s="372">
        <v>2.9000000000000001E-2</v>
      </c>
    </row>
    <row r="18" spans="1:37" s="20" customFormat="1">
      <c r="A18" s="20" t="s">
        <v>135</v>
      </c>
      <c r="B18" s="33"/>
      <c r="C18" s="332">
        <f>C32/C14</f>
        <v>0</v>
      </c>
      <c r="D18" s="332">
        <f t="shared" ref="D18:G18" si="6">($N$18-$C$18)/($N$11-$C$11)+C18</f>
        <v>0</v>
      </c>
      <c r="E18" s="332">
        <f t="shared" si="6"/>
        <v>0</v>
      </c>
      <c r="F18" s="332">
        <f t="shared" si="6"/>
        <v>0</v>
      </c>
      <c r="G18" s="332">
        <f t="shared" si="6"/>
        <v>0</v>
      </c>
      <c r="H18" s="284">
        <f>H32/H14</f>
        <v>0</v>
      </c>
      <c r="I18" s="172">
        <f>($N$18-$H$18)/($N$11-$H$11)+H18</f>
        <v>0</v>
      </c>
      <c r="J18" s="172">
        <f t="shared" ref="J18:M18" si="7">($N$18-$H$18)/($N$11-$H$11)+I18</f>
        <v>0</v>
      </c>
      <c r="K18" s="172">
        <f t="shared" si="7"/>
        <v>0</v>
      </c>
      <c r="L18" s="172">
        <f t="shared" si="7"/>
        <v>0</v>
      </c>
      <c r="M18" s="172">
        <f t="shared" si="7"/>
        <v>0</v>
      </c>
      <c r="N18" s="180">
        <f>Inputs!C36</f>
        <v>0</v>
      </c>
      <c r="O18" s="91">
        <f t="shared" ref="O18:W18" si="8">($X$18-$N$18)/($X$11-$N$11)+N18</f>
        <v>0</v>
      </c>
      <c r="P18" s="91">
        <f t="shared" si="8"/>
        <v>0</v>
      </c>
      <c r="Q18" s="91">
        <f t="shared" si="8"/>
        <v>0</v>
      </c>
      <c r="R18" s="91">
        <f t="shared" si="8"/>
        <v>0</v>
      </c>
      <c r="S18" s="22">
        <f t="shared" si="8"/>
        <v>0</v>
      </c>
      <c r="T18" s="91">
        <f t="shared" si="8"/>
        <v>0</v>
      </c>
      <c r="U18" s="91">
        <f t="shared" si="8"/>
        <v>0</v>
      </c>
      <c r="V18" s="91">
        <f t="shared" si="8"/>
        <v>0</v>
      </c>
      <c r="W18" s="91">
        <f t="shared" si="8"/>
        <v>0</v>
      </c>
      <c r="X18" s="185">
        <f>Inputs!F36</f>
        <v>0</v>
      </c>
      <c r="Y18" s="172">
        <f>($AH$18-$X$18)/($AH$11-$X$11)+X18</f>
        <v>0</v>
      </c>
      <c r="Z18" s="172">
        <f t="shared" ref="Z18:AG18" si="9">($AH$18-$X$18)/($AH$11-$X$11)+Y18</f>
        <v>0</v>
      </c>
      <c r="AA18" s="172">
        <f t="shared" si="9"/>
        <v>0</v>
      </c>
      <c r="AB18" s="172">
        <f t="shared" si="9"/>
        <v>0</v>
      </c>
      <c r="AC18" s="172">
        <f t="shared" si="9"/>
        <v>0</v>
      </c>
      <c r="AD18" s="172">
        <f t="shared" si="9"/>
        <v>0</v>
      </c>
      <c r="AE18" s="172">
        <f t="shared" si="9"/>
        <v>0</v>
      </c>
      <c r="AF18" s="172">
        <f t="shared" si="9"/>
        <v>0</v>
      </c>
      <c r="AG18" s="172">
        <f t="shared" si="9"/>
        <v>0</v>
      </c>
      <c r="AH18" s="185">
        <f>Inputs!H36</f>
        <v>0</v>
      </c>
      <c r="AK18"/>
    </row>
    <row r="19" spans="1:37" s="281" customFormat="1">
      <c r="A19" s="281" t="s">
        <v>114</v>
      </c>
      <c r="B19" s="285"/>
      <c r="C19" s="330">
        <f t="shared" ref="C19:AH19" si="10">C16*C14</f>
        <v>487.01</v>
      </c>
      <c r="D19" s="330">
        <f t="shared" si="10"/>
        <v>865.35565891317765</v>
      </c>
      <c r="E19" s="330">
        <f t="shared" si="10"/>
        <v>1168.7911902251503</v>
      </c>
      <c r="F19" s="330">
        <f t="shared" si="10"/>
        <v>1458.9337699467037</v>
      </c>
      <c r="G19" s="330">
        <f t="shared" si="10"/>
        <v>1810.4092615137652</v>
      </c>
      <c r="H19" s="286">
        <f t="shared" si="10"/>
        <v>1228.6680750195239</v>
      </c>
      <c r="I19" s="286">
        <f t="shared" si="10"/>
        <v>1501.91354388125</v>
      </c>
      <c r="J19" s="286">
        <f t="shared" si="10"/>
        <v>1878.6506290947377</v>
      </c>
      <c r="K19" s="286">
        <f t="shared" si="10"/>
        <v>2395.3314824886015</v>
      </c>
      <c r="L19" s="286">
        <f t="shared" si="10"/>
        <v>3046.4922604838089</v>
      </c>
      <c r="M19" s="286">
        <f t="shared" si="10"/>
        <v>3822.9395959007866</v>
      </c>
      <c r="N19" s="287">
        <f t="shared" si="10"/>
        <v>4813.0366417613513</v>
      </c>
      <c r="O19" s="286">
        <f t="shared" si="10"/>
        <v>4923.0370738452348</v>
      </c>
      <c r="P19" s="286">
        <f t="shared" si="10"/>
        <v>5089.081896484603</v>
      </c>
      <c r="Q19" s="286">
        <f t="shared" si="10"/>
        <v>5275.0071730683449</v>
      </c>
      <c r="R19" s="286">
        <f t="shared" si="10"/>
        <v>5416.9365386848467</v>
      </c>
      <c r="S19" s="286">
        <f t="shared" si="10"/>
        <v>5591.0785487029707</v>
      </c>
      <c r="T19" s="286">
        <f t="shared" si="10"/>
        <v>5784.7207427820331</v>
      </c>
      <c r="U19" s="286">
        <f t="shared" si="10"/>
        <v>5950.72155607075</v>
      </c>
      <c r="V19" s="286">
        <f t="shared" si="10"/>
        <v>6099.4394746349935</v>
      </c>
      <c r="W19" s="286">
        <f t="shared" si="10"/>
        <v>6292.5249289758585</v>
      </c>
      <c r="X19" s="287">
        <f>Inputs!C12*'Output -Jobs vs Yr'!X14</f>
        <v>6469.0891876476335</v>
      </c>
      <c r="Y19" s="286">
        <f t="shared" si="10"/>
        <v>6644.9325002707474</v>
      </c>
      <c r="Z19" s="286">
        <f t="shared" si="10"/>
        <v>6881.1832028623803</v>
      </c>
      <c r="AA19" s="286">
        <f t="shared" si="10"/>
        <v>7093.7854049610505</v>
      </c>
      <c r="AB19" s="286">
        <f t="shared" si="10"/>
        <v>7293.9982205716897</v>
      </c>
      <c r="AC19" s="286">
        <f t="shared" si="10"/>
        <v>7486.6350878766971</v>
      </c>
      <c r="AD19" s="286">
        <f t="shared" si="10"/>
        <v>7657.0449396504773</v>
      </c>
      <c r="AE19" s="286">
        <f t="shared" si="10"/>
        <v>7846.1086424768091</v>
      </c>
      <c r="AF19" s="286">
        <f t="shared" si="10"/>
        <v>8065.794945051789</v>
      </c>
      <c r="AG19" s="286">
        <f t="shared" si="10"/>
        <v>8342.6312915340641</v>
      </c>
      <c r="AH19" s="287">
        <f t="shared" si="10"/>
        <v>8582.5851814283051</v>
      </c>
    </row>
    <row r="20" spans="1:37" s="20" customFormat="1">
      <c r="A20" s="20" t="s">
        <v>211</v>
      </c>
      <c r="B20" s="33"/>
      <c r="C20" s="330">
        <f>'Output - Jobs vs Yr (BAU)'!C18</f>
        <v>487.01</v>
      </c>
      <c r="D20" s="330">
        <f>'Output - Jobs vs Yr (BAU)'!D18</f>
        <v>781.01</v>
      </c>
      <c r="E20" s="330">
        <f>'Output - Jobs vs Yr (BAU)'!E18</f>
        <v>916.28575242735076</v>
      </c>
      <c r="F20" s="330">
        <f>'Output - Jobs vs Yr (BAU)'!F18</f>
        <v>1021.9289232274441</v>
      </c>
      <c r="G20" s="330">
        <f>'Output - Jobs vs Yr (BAU)'!G18</f>
        <v>1206.1264206757596</v>
      </c>
      <c r="H20" s="286">
        <f>'Output - Jobs vs Yr (BAU)'!H18</f>
        <v>1227.6680750195237</v>
      </c>
      <c r="I20" s="83">
        <f>'Output - Jobs vs Yr (BAU)'!I18</f>
        <v>1293.3880834665229</v>
      </c>
      <c r="J20" s="83">
        <f>'Output - Jobs vs Yr (BAU)'!J18</f>
        <v>1419.5264523134258</v>
      </c>
      <c r="K20" s="83">
        <f>'Output - Jobs vs Yr (BAU)'!K18</f>
        <v>1577.9423509683036</v>
      </c>
      <c r="L20" s="83">
        <f>'Output - Jobs vs Yr (BAU)'!L18</f>
        <v>1657.8182383890953</v>
      </c>
      <c r="M20" s="83">
        <f>'Output - Jobs vs Yr (BAU)'!M18</f>
        <v>1702.7849895286524</v>
      </c>
      <c r="N20" s="177">
        <f>'Output - Jobs vs Yr (BAU)'!N18</f>
        <v>1713.4282887027471</v>
      </c>
      <c r="O20" s="83">
        <f>'Output - Jobs vs Yr (BAU)'!O18</f>
        <v>1755.938645303165</v>
      </c>
      <c r="P20" s="83">
        <f>'Output - Jobs vs Yr (BAU)'!P18</f>
        <v>1833.3810216423601</v>
      </c>
      <c r="Q20" s="83">
        <f>'Output - Jobs vs Yr (BAU)'!Q18</f>
        <v>1947.5918040346369</v>
      </c>
      <c r="R20" s="83">
        <f>'Output - Jobs vs Yr (BAU)'!R18</f>
        <v>2068.87306761218</v>
      </c>
      <c r="S20" s="83">
        <f>'Output - Jobs vs Yr (BAU)'!S18</f>
        <v>2144.4843738014911</v>
      </c>
      <c r="T20" s="83">
        <f>'Output - Jobs vs Yr (BAU)'!T18</f>
        <v>2271.9116890507885</v>
      </c>
      <c r="U20" s="83">
        <f>'Output - Jobs vs Yr (BAU)'!U18</f>
        <v>2378.8407793710867</v>
      </c>
      <c r="V20" s="83">
        <f>'Output - Jobs vs Yr (BAU)'!V18</f>
        <v>2437.9292816920006</v>
      </c>
      <c r="W20" s="83">
        <f>'Output - Jobs vs Yr (BAU)'!W18</f>
        <v>2440.5909964753764</v>
      </c>
      <c r="X20" s="184">
        <f>'Output - Jobs vs Yr (BAU)'!X18</f>
        <v>2496.5432936766861</v>
      </c>
      <c r="Y20" s="174">
        <f>'Output - Jobs vs Yr (BAU)'!Y18</f>
        <v>2645.2244269573248</v>
      </c>
      <c r="Z20" s="174">
        <f>'Output - Jobs vs Yr (BAU)'!Z18</f>
        <v>2858.3299885202964</v>
      </c>
      <c r="AA20" s="174">
        <f>'Output - Jobs vs Yr (BAU)'!AA18</f>
        <v>3061.7936853859296</v>
      </c>
      <c r="AB20" s="174">
        <f>'Output - Jobs vs Yr (BAU)'!AB18</f>
        <v>3260.0646623706311</v>
      </c>
      <c r="AC20" s="174">
        <f>'Output - Jobs vs Yr (BAU)'!AC18</f>
        <v>3306.5664295445367</v>
      </c>
      <c r="AD20" s="174">
        <f>'Output - Jobs vs Yr (BAU)'!AD18</f>
        <v>3437.4951590933761</v>
      </c>
      <c r="AE20" s="174">
        <f>'Output - Jobs vs Yr (BAU)'!AE18</f>
        <v>3549.0691149392251</v>
      </c>
      <c r="AF20" s="174">
        <f>'Output - Jobs vs Yr (BAU)'!AF18</f>
        <v>3627.6287955496928</v>
      </c>
      <c r="AG20" s="174">
        <f>'Output - Jobs vs Yr (BAU)'!AG18</f>
        <v>3697.6729478021653</v>
      </c>
      <c r="AH20" s="184">
        <f>'Output - Jobs vs Yr (BAU)'!AH18</f>
        <v>3721.7827475321319</v>
      </c>
    </row>
    <row r="21" spans="1:37" s="20" customFormat="1">
      <c r="A21" s="20" t="s">
        <v>116</v>
      </c>
      <c r="B21" s="33"/>
      <c r="C21" s="330">
        <f t="shared" ref="C21:AH21" si="11">MAX(C19:C20)</f>
        <v>487.01</v>
      </c>
      <c r="D21" s="330">
        <f t="shared" si="11"/>
        <v>865.35565891317765</v>
      </c>
      <c r="E21" s="330">
        <f t="shared" si="11"/>
        <v>1168.7911902251503</v>
      </c>
      <c r="F21" s="330">
        <f t="shared" si="11"/>
        <v>1458.9337699467037</v>
      </c>
      <c r="G21" s="330">
        <f t="shared" si="11"/>
        <v>1810.4092615137652</v>
      </c>
      <c r="H21" s="286">
        <f t="shared" si="11"/>
        <v>1228.6680750195239</v>
      </c>
      <c r="I21" s="83">
        <f t="shared" si="11"/>
        <v>1501.91354388125</v>
      </c>
      <c r="J21" s="83">
        <f t="shared" si="11"/>
        <v>1878.6506290947377</v>
      </c>
      <c r="K21" s="83">
        <f t="shared" si="11"/>
        <v>2395.3314824886015</v>
      </c>
      <c r="L21" s="83">
        <f t="shared" si="11"/>
        <v>3046.4922604838089</v>
      </c>
      <c r="M21" s="83">
        <f t="shared" si="11"/>
        <v>3822.9395959007866</v>
      </c>
      <c r="N21" s="177">
        <f t="shared" si="11"/>
        <v>4813.0366417613513</v>
      </c>
      <c r="O21" s="83">
        <f t="shared" si="11"/>
        <v>4923.0370738452348</v>
      </c>
      <c r="P21" s="83">
        <f t="shared" si="11"/>
        <v>5089.081896484603</v>
      </c>
      <c r="Q21" s="83">
        <f t="shared" si="11"/>
        <v>5275.0071730683449</v>
      </c>
      <c r="R21" s="83">
        <f t="shared" si="11"/>
        <v>5416.9365386848467</v>
      </c>
      <c r="S21" s="83">
        <f t="shared" si="11"/>
        <v>5591.0785487029707</v>
      </c>
      <c r="T21" s="83">
        <f t="shared" si="11"/>
        <v>5784.7207427820331</v>
      </c>
      <c r="U21" s="83">
        <f t="shared" si="11"/>
        <v>5950.72155607075</v>
      </c>
      <c r="V21" s="83">
        <f t="shared" si="11"/>
        <v>6099.4394746349935</v>
      </c>
      <c r="W21" s="83">
        <f t="shared" si="11"/>
        <v>6292.5249289758585</v>
      </c>
      <c r="X21" s="184">
        <f t="shared" si="11"/>
        <v>6469.0891876476335</v>
      </c>
      <c r="Y21" s="174">
        <f t="shared" si="11"/>
        <v>6644.9325002707474</v>
      </c>
      <c r="Z21" s="174">
        <f t="shared" si="11"/>
        <v>6881.1832028623803</v>
      </c>
      <c r="AA21" s="174">
        <f t="shared" si="11"/>
        <v>7093.7854049610505</v>
      </c>
      <c r="AB21" s="174">
        <f t="shared" si="11"/>
        <v>7293.9982205716897</v>
      </c>
      <c r="AC21" s="174">
        <f t="shared" si="11"/>
        <v>7486.6350878766971</v>
      </c>
      <c r="AD21" s="174">
        <f t="shared" si="11"/>
        <v>7657.0449396504773</v>
      </c>
      <c r="AE21" s="174">
        <f t="shared" si="11"/>
        <v>7846.1086424768091</v>
      </c>
      <c r="AF21" s="174">
        <f t="shared" si="11"/>
        <v>8065.794945051789</v>
      </c>
      <c r="AG21" s="174">
        <f t="shared" si="11"/>
        <v>8342.6312915340641</v>
      </c>
      <c r="AH21" s="184">
        <f t="shared" si="11"/>
        <v>8582.5851814283051</v>
      </c>
      <c r="AI21" s="99"/>
    </row>
    <row r="22" spans="1:37" s="20" customFormat="1">
      <c r="A22" s="20" t="s">
        <v>379</v>
      </c>
      <c r="B22" s="33"/>
      <c r="C22" s="330" t="s">
        <v>0</v>
      </c>
      <c r="D22" s="330"/>
      <c r="E22" s="330"/>
      <c r="F22" s="330"/>
      <c r="G22" s="330"/>
      <c r="H22" s="286"/>
      <c r="I22" s="83"/>
      <c r="J22" s="83"/>
      <c r="K22" s="83"/>
      <c r="L22" s="83"/>
      <c r="M22" s="83"/>
      <c r="N22" s="177"/>
      <c r="O22" s="83"/>
      <c r="P22" s="83"/>
      <c r="Q22" s="83"/>
      <c r="R22" s="83"/>
      <c r="S22" s="83"/>
      <c r="T22" s="83"/>
      <c r="U22" s="83"/>
      <c r="V22" s="83"/>
      <c r="W22" s="173" t="s">
        <v>0</v>
      </c>
      <c r="X22" s="184"/>
      <c r="Y22"/>
      <c r="Z22"/>
      <c r="AA22"/>
      <c r="AB22"/>
      <c r="AC22"/>
      <c r="AD22"/>
      <c r="AE22"/>
      <c r="AF22"/>
      <c r="AG22"/>
      <c r="AH22" s="280"/>
      <c r="AI22" s="99"/>
    </row>
    <row r="23" spans="1:37" s="20" customFormat="1">
      <c r="A23" t="s">
        <v>538</v>
      </c>
      <c r="B23" s="33"/>
      <c r="C23" s="330">
        <v>0</v>
      </c>
      <c r="D23" s="332">
        <f t="shared" ref="D23:G23" si="12">C23+($N$23-$C$23)/($N$11-$C$11)</f>
        <v>0</v>
      </c>
      <c r="E23" s="332">
        <f t="shared" si="12"/>
        <v>0</v>
      </c>
      <c r="F23" s="332">
        <f t="shared" si="12"/>
        <v>0</v>
      </c>
      <c r="G23" s="332">
        <f t="shared" si="12"/>
        <v>0</v>
      </c>
      <c r="H23" s="286">
        <v>0</v>
      </c>
      <c r="I23" s="91">
        <f>H23+($N$23-$H$23)/($N$11-$H$11)</f>
        <v>0</v>
      </c>
      <c r="J23" s="172">
        <f t="shared" ref="J23:M23" si="13">I23+($N$23-$H$23)/($N$11-$H$11)</f>
        <v>0</v>
      </c>
      <c r="K23" s="172">
        <f t="shared" si="13"/>
        <v>0</v>
      </c>
      <c r="L23" s="172">
        <f t="shared" si="13"/>
        <v>0</v>
      </c>
      <c r="M23" s="172">
        <f t="shared" si="13"/>
        <v>0</v>
      </c>
      <c r="N23" s="180">
        <f>Inputs!C34</f>
        <v>0</v>
      </c>
      <c r="O23" s="172">
        <f>N23+($X$23-$N$23)/($X$11-$N$11)</f>
        <v>0</v>
      </c>
      <c r="P23" s="172">
        <f t="shared" ref="P23:W23" si="14">O23+($X$23-$N$23)/($X$11-$N$11)</f>
        <v>0</v>
      </c>
      <c r="Q23" s="172">
        <f t="shared" si="14"/>
        <v>0</v>
      </c>
      <c r="R23" s="172">
        <f t="shared" si="14"/>
        <v>0</v>
      </c>
      <c r="S23" s="172">
        <f t="shared" si="14"/>
        <v>0</v>
      </c>
      <c r="T23" s="172">
        <f t="shared" si="14"/>
        <v>0</v>
      </c>
      <c r="U23" s="172">
        <f t="shared" si="14"/>
        <v>0</v>
      </c>
      <c r="V23" s="172">
        <f t="shared" si="14"/>
        <v>0</v>
      </c>
      <c r="W23" s="172">
        <f t="shared" si="14"/>
        <v>0</v>
      </c>
      <c r="X23" s="185">
        <f>Inputs!F34</f>
        <v>0</v>
      </c>
      <c r="Y23" s="172">
        <f>X23+($AH$23-$X$23)/($AH$11-$X$11)</f>
        <v>0</v>
      </c>
      <c r="Z23" s="172">
        <f t="shared" ref="Z23:AG23" si="15">Y23+($AH$23-$X$23)/($AH$11-$X$11)</f>
        <v>0</v>
      </c>
      <c r="AA23" s="172">
        <f t="shared" si="15"/>
        <v>0</v>
      </c>
      <c r="AB23" s="172">
        <f t="shared" si="15"/>
        <v>0</v>
      </c>
      <c r="AC23" s="172">
        <f t="shared" si="15"/>
        <v>0</v>
      </c>
      <c r="AD23" s="172">
        <f t="shared" si="15"/>
        <v>0</v>
      </c>
      <c r="AE23" s="172">
        <f t="shared" si="15"/>
        <v>0</v>
      </c>
      <c r="AF23" s="172">
        <f t="shared" si="15"/>
        <v>0</v>
      </c>
      <c r="AG23" s="172">
        <f t="shared" si="15"/>
        <v>0</v>
      </c>
      <c r="AH23" s="185">
        <f>Inputs!H34</f>
        <v>0</v>
      </c>
      <c r="AI23" s="99"/>
    </row>
    <row r="24" spans="1:37" s="20" customFormat="1">
      <c r="A24" t="s">
        <v>539</v>
      </c>
      <c r="B24" s="33"/>
      <c r="C24" s="330">
        <v>0</v>
      </c>
      <c r="D24" s="332">
        <f t="shared" ref="D24:G24" si="16">C24+($N$24-$C$24)/($N$11-$C$11)</f>
        <v>0</v>
      </c>
      <c r="E24" s="332">
        <f t="shared" si="16"/>
        <v>0</v>
      </c>
      <c r="F24" s="332">
        <f t="shared" si="16"/>
        <v>0</v>
      </c>
      <c r="G24" s="332">
        <f t="shared" si="16"/>
        <v>0</v>
      </c>
      <c r="H24" s="109">
        <v>0</v>
      </c>
      <c r="I24" s="172">
        <f>H24+($N$24-$H$24)/($N$11-$H$11)</f>
        <v>0</v>
      </c>
      <c r="J24" s="172">
        <f t="shared" ref="J24:M24" si="17">I24+($N$24-$H$24)/($N$11-$H$11)</f>
        <v>0</v>
      </c>
      <c r="K24" s="172">
        <f t="shared" si="17"/>
        <v>0</v>
      </c>
      <c r="L24" s="172">
        <f t="shared" si="17"/>
        <v>0</v>
      </c>
      <c r="M24" s="172">
        <f t="shared" si="17"/>
        <v>0</v>
      </c>
      <c r="N24" s="185">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5">
        <f>Inputs!F34</f>
        <v>0</v>
      </c>
      <c r="Y24" s="172">
        <f>X$24+($AH$24-$X$24)/($AH$11-$X$11)</f>
        <v>0</v>
      </c>
      <c r="Z24" s="172">
        <f t="shared" ref="Z24:AG24" si="19">Y$24+($AH$24-$X$24)/($AH$11-$X$11)</f>
        <v>0</v>
      </c>
      <c r="AA24" s="172">
        <f t="shared" si="19"/>
        <v>0</v>
      </c>
      <c r="AB24" s="172">
        <f t="shared" si="19"/>
        <v>0</v>
      </c>
      <c r="AC24" s="172">
        <f t="shared" si="19"/>
        <v>0</v>
      </c>
      <c r="AD24" s="172">
        <f t="shared" si="19"/>
        <v>0</v>
      </c>
      <c r="AE24" s="172">
        <f t="shared" si="19"/>
        <v>0</v>
      </c>
      <c r="AF24" s="172">
        <f t="shared" si="19"/>
        <v>0</v>
      </c>
      <c r="AG24" s="172">
        <f t="shared" si="19"/>
        <v>0</v>
      </c>
      <c r="AH24" s="185">
        <f>Inputs!H34</f>
        <v>0</v>
      </c>
      <c r="AI24" s="99"/>
    </row>
    <row r="25" spans="1:37" s="20" customFormat="1">
      <c r="A25" t="s">
        <v>540</v>
      </c>
      <c r="B25" s="33"/>
      <c r="C25" s="330"/>
      <c r="D25" s="332">
        <f t="shared" ref="D25:AH25" si="20">D30/(D30+D47)</f>
        <v>0</v>
      </c>
      <c r="E25" s="332">
        <f t="shared" si="20"/>
        <v>0</v>
      </c>
      <c r="F25" s="332">
        <f t="shared" si="20"/>
        <v>0</v>
      </c>
      <c r="G25" s="332">
        <f t="shared" si="20"/>
        <v>0</v>
      </c>
      <c r="H25" s="284"/>
      <c r="I25" s="125">
        <f t="shared" si="20"/>
        <v>0</v>
      </c>
      <c r="J25" s="125">
        <f t="shared" si="20"/>
        <v>0</v>
      </c>
      <c r="K25" s="125">
        <f t="shared" si="20"/>
        <v>0</v>
      </c>
      <c r="L25" s="125">
        <f t="shared" si="20"/>
        <v>0</v>
      </c>
      <c r="M25" s="125">
        <f t="shared" si="20"/>
        <v>0</v>
      </c>
      <c r="N25" s="180">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5">
        <f t="shared" si="20"/>
        <v>0</v>
      </c>
      <c r="Y25" s="172">
        <f t="shared" si="20"/>
        <v>0</v>
      </c>
      <c r="Z25" s="172">
        <f t="shared" si="20"/>
        <v>0</v>
      </c>
      <c r="AA25" s="172">
        <f t="shared" si="20"/>
        <v>0</v>
      </c>
      <c r="AB25" s="172">
        <f t="shared" si="20"/>
        <v>0</v>
      </c>
      <c r="AC25" s="172">
        <f t="shared" si="20"/>
        <v>0</v>
      </c>
      <c r="AD25" s="172">
        <f t="shared" si="20"/>
        <v>0</v>
      </c>
      <c r="AE25" s="172">
        <f t="shared" si="20"/>
        <v>0</v>
      </c>
      <c r="AF25" s="172">
        <f t="shared" si="20"/>
        <v>0</v>
      </c>
      <c r="AG25" s="172">
        <f t="shared" si="20"/>
        <v>0</v>
      </c>
      <c r="AH25" s="185">
        <f t="shared" si="20"/>
        <v>0</v>
      </c>
      <c r="AI25" s="99"/>
    </row>
    <row r="26" spans="1:37" s="20" customFormat="1">
      <c r="A26" s="20" t="s">
        <v>382</v>
      </c>
      <c r="B26" s="33"/>
      <c r="C26" s="332">
        <f>C31/C14</f>
        <v>1.9188555670458459E-2</v>
      </c>
      <c r="D26" s="332">
        <f t="shared" ref="D26:G26" si="21">C26+($N$26-$C$26)/($N$11-$C$11)</f>
        <v>1.8753473598236519E-2</v>
      </c>
      <c r="E26" s="332">
        <f t="shared" si="21"/>
        <v>1.8318391526014579E-2</v>
      </c>
      <c r="F26" s="332">
        <f t="shared" si="21"/>
        <v>1.7883309453792639E-2</v>
      </c>
      <c r="G26" s="332">
        <f t="shared" si="21"/>
        <v>1.7448227381570699E-2</v>
      </c>
      <c r="H26" s="284">
        <f>H31/H14</f>
        <v>1.4660363927227639E-2</v>
      </c>
      <c r="I26" s="91">
        <f>H26+($N$26-$H$26)/($N$11-$H$11)</f>
        <v>1.4617412085359221E-2</v>
      </c>
      <c r="J26" s="172">
        <f t="shared" ref="J26:M26" si="22">I26+($N$26-$H$26)/($N$11-$H$11)</f>
        <v>1.4574460243490803E-2</v>
      </c>
      <c r="K26" s="172">
        <f t="shared" si="22"/>
        <v>1.4531508401622385E-2</v>
      </c>
      <c r="L26" s="172">
        <f t="shared" si="22"/>
        <v>1.4488556559753967E-2</v>
      </c>
      <c r="M26" s="172">
        <f t="shared" si="22"/>
        <v>1.4445604717885549E-2</v>
      </c>
      <c r="N26" s="180">
        <f>Inputs!C35</f>
        <v>1.4402652876017134E-2</v>
      </c>
      <c r="O26" s="91">
        <f t="shared" ref="O26:W26" si="23">N26+($X$26-$N$26)/($X$11-$N$11)</f>
        <v>1.4262722265402664E-2</v>
      </c>
      <c r="P26" s="91">
        <f t="shared" si="23"/>
        <v>1.4122791654788193E-2</v>
      </c>
      <c r="Q26" s="91">
        <f t="shared" si="23"/>
        <v>1.3982861044173723E-2</v>
      </c>
      <c r="R26" s="91">
        <f t="shared" si="23"/>
        <v>1.3842930433559253E-2</v>
      </c>
      <c r="S26" s="22">
        <f t="shared" si="23"/>
        <v>1.3702999822944782E-2</v>
      </c>
      <c r="T26" s="91">
        <f t="shared" si="23"/>
        <v>1.3563069212330312E-2</v>
      </c>
      <c r="U26" s="91">
        <f t="shared" si="23"/>
        <v>1.3423138601715841E-2</v>
      </c>
      <c r="V26" s="91">
        <f t="shared" si="23"/>
        <v>1.3283207991101371E-2</v>
      </c>
      <c r="W26" s="91">
        <f t="shared" si="23"/>
        <v>1.3143277380486901E-2</v>
      </c>
      <c r="X26" s="185">
        <f>Inputs!F35</f>
        <v>1.3003346769872427E-2</v>
      </c>
      <c r="Y26" s="172">
        <f>X26+($AH$26-$X$26)/($AH$11-$X$11)</f>
        <v>1.2937780692670271E-2</v>
      </c>
      <c r="Z26" s="172">
        <f t="shared" ref="Z26:AG26" si="24">Y26+($AH$26-$X$26)/($AH$11-$X$11)</f>
        <v>1.2872214615468116E-2</v>
      </c>
      <c r="AA26" s="172">
        <f t="shared" si="24"/>
        <v>1.280664853826596E-2</v>
      </c>
      <c r="AB26" s="172">
        <f t="shared" si="24"/>
        <v>1.2741082461063804E-2</v>
      </c>
      <c r="AC26" s="172">
        <f t="shared" si="24"/>
        <v>1.2675516383861649E-2</v>
      </c>
      <c r="AD26" s="172">
        <f t="shared" si="24"/>
        <v>1.2609950306659493E-2</v>
      </c>
      <c r="AE26" s="172">
        <f t="shared" si="24"/>
        <v>1.2544384229457337E-2</v>
      </c>
      <c r="AF26" s="172">
        <f t="shared" si="24"/>
        <v>1.2478818152255182E-2</v>
      </c>
      <c r="AG26" s="172">
        <f t="shared" si="24"/>
        <v>1.2413252075053026E-2</v>
      </c>
      <c r="AH26" s="185">
        <f>Inputs!H35</f>
        <v>1.2347685997850874E-2</v>
      </c>
      <c r="AI26" s="99"/>
    </row>
    <row r="27" spans="1:37" s="1" customFormat="1">
      <c r="B27" s="33"/>
      <c r="C27" s="338"/>
      <c r="D27" s="329"/>
      <c r="E27" s="392"/>
      <c r="F27" s="392"/>
      <c r="G27" s="392"/>
      <c r="H27" s="401"/>
      <c r="I27" s="25"/>
      <c r="J27" s="25"/>
      <c r="K27" s="24"/>
      <c r="L27" s="24"/>
      <c r="M27" s="24"/>
      <c r="N27" s="181" t="s">
        <v>0</v>
      </c>
      <c r="O27" s="26"/>
      <c r="P27" s="13"/>
      <c r="Q27" s="13"/>
      <c r="R27" s="13"/>
      <c r="S27" s="169">
        <f>SUM(S18,S24,S26)</f>
        <v>1.3702999822944782E-2</v>
      </c>
      <c r="T27" s="13"/>
      <c r="U27" s="13"/>
      <c r="V27" s="13"/>
      <c r="W27" s="13"/>
      <c r="X27" s="176"/>
      <c r="Y27"/>
      <c r="Z27"/>
      <c r="AA27"/>
      <c r="AB27"/>
      <c r="AC27"/>
      <c r="AD27"/>
      <c r="AE27"/>
      <c r="AF27"/>
      <c r="AG27"/>
      <c r="AH27" s="280"/>
      <c r="AI27" s="24"/>
    </row>
    <row r="28" spans="1:37" s="1" customFormat="1">
      <c r="A28" s="1" t="s">
        <v>378</v>
      </c>
      <c r="B28" s="33"/>
      <c r="C28" s="328">
        <v>2009</v>
      </c>
      <c r="D28" s="328">
        <v>2010</v>
      </c>
      <c r="E28" s="328">
        <v>2011</v>
      </c>
      <c r="F28" s="328">
        <v>2012</v>
      </c>
      <c r="G28" s="328">
        <v>2013</v>
      </c>
      <c r="H28" s="400">
        <v>2014</v>
      </c>
      <c r="I28" s="13">
        <v>2015</v>
      </c>
      <c r="J28" s="13">
        <v>2016</v>
      </c>
      <c r="K28" s="13">
        <v>2017</v>
      </c>
      <c r="L28" s="13">
        <v>2018</v>
      </c>
      <c r="M28" s="13">
        <v>2019</v>
      </c>
      <c r="N28" s="176">
        <v>2020</v>
      </c>
      <c r="O28" s="13">
        <v>2021</v>
      </c>
      <c r="P28" s="13">
        <v>2022</v>
      </c>
      <c r="Q28" s="13">
        <v>2023</v>
      </c>
      <c r="R28" s="13">
        <v>2024</v>
      </c>
      <c r="S28" s="13">
        <v>2025</v>
      </c>
      <c r="T28" s="13">
        <v>2026</v>
      </c>
      <c r="U28" s="13">
        <v>2027</v>
      </c>
      <c r="V28" s="13">
        <v>2028</v>
      </c>
      <c r="W28" s="13">
        <v>2029</v>
      </c>
      <c r="X28" s="176">
        <v>2030</v>
      </c>
      <c r="Y28" s="13">
        <v>2031</v>
      </c>
      <c r="Z28" s="13">
        <v>2032</v>
      </c>
      <c r="AA28" s="13">
        <v>2033</v>
      </c>
      <c r="AB28" s="13">
        <v>2034</v>
      </c>
      <c r="AC28" s="13">
        <v>2035</v>
      </c>
      <c r="AD28" s="13">
        <v>2036</v>
      </c>
      <c r="AE28" s="13">
        <v>2037</v>
      </c>
      <c r="AF28" s="13">
        <v>2038</v>
      </c>
      <c r="AG28" s="13">
        <v>2039</v>
      </c>
      <c r="AH28" s="176">
        <v>2040</v>
      </c>
      <c r="AK28" s="77"/>
    </row>
    <row r="29" spans="1:37">
      <c r="A29" s="9" t="s">
        <v>282</v>
      </c>
      <c r="B29" s="35">
        <v>0</v>
      </c>
      <c r="C29" s="330" t="s">
        <v>377</v>
      </c>
      <c r="D29" s="330">
        <f t="shared" ref="D29:AH29" si="25">D13-D14</f>
        <v>0</v>
      </c>
      <c r="E29" s="330">
        <f t="shared" si="25"/>
        <v>0</v>
      </c>
      <c r="F29" s="330">
        <f t="shared" si="25"/>
        <v>0</v>
      </c>
      <c r="G29" s="330">
        <f t="shared" si="25"/>
        <v>0</v>
      </c>
      <c r="H29" s="286">
        <f t="shared" si="25"/>
        <v>0</v>
      </c>
      <c r="I29" s="50">
        <f t="shared" si="25"/>
        <v>0</v>
      </c>
      <c r="J29" s="50">
        <f t="shared" si="25"/>
        <v>0</v>
      </c>
      <c r="K29" s="50">
        <f t="shared" si="25"/>
        <v>0</v>
      </c>
      <c r="L29" s="50">
        <f t="shared" si="25"/>
        <v>0</v>
      </c>
      <c r="M29" s="50">
        <f t="shared" si="25"/>
        <v>0</v>
      </c>
      <c r="N29" s="177">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4">
        <f t="shared" si="25"/>
        <v>0</v>
      </c>
      <c r="Y29" s="174">
        <f t="shared" si="25"/>
        <v>0</v>
      </c>
      <c r="Z29" s="174">
        <f t="shared" si="25"/>
        <v>0</v>
      </c>
      <c r="AA29" s="174">
        <f t="shared" si="25"/>
        <v>0</v>
      </c>
      <c r="AB29" s="174">
        <f t="shared" si="25"/>
        <v>0</v>
      </c>
      <c r="AC29" s="174">
        <f t="shared" si="25"/>
        <v>0</v>
      </c>
      <c r="AD29" s="174">
        <f t="shared" si="25"/>
        <v>0</v>
      </c>
      <c r="AE29" s="174">
        <f t="shared" si="25"/>
        <v>0</v>
      </c>
      <c r="AF29" s="174">
        <f t="shared" si="25"/>
        <v>0</v>
      </c>
      <c r="AG29" s="174">
        <f t="shared" si="25"/>
        <v>0</v>
      </c>
      <c r="AH29" s="184">
        <f t="shared" si="25"/>
        <v>0</v>
      </c>
      <c r="AI29" s="127"/>
    </row>
    <row r="30" spans="1:37" s="20" customFormat="1">
      <c r="A30" s="20" t="s">
        <v>122</v>
      </c>
      <c r="B30" s="35">
        <v>0</v>
      </c>
      <c r="C30" s="330">
        <f>C23*C47</f>
        <v>0</v>
      </c>
      <c r="D30" s="330">
        <f t="shared" ref="D30:AH30" si="26">D24*D14</f>
        <v>0</v>
      </c>
      <c r="E30" s="330">
        <f t="shared" si="26"/>
        <v>0</v>
      </c>
      <c r="F30" s="330">
        <f t="shared" si="26"/>
        <v>0</v>
      </c>
      <c r="G30" s="330">
        <f t="shared" si="26"/>
        <v>0</v>
      </c>
      <c r="H30" s="286">
        <f t="shared" si="26"/>
        <v>0</v>
      </c>
      <c r="I30" s="118">
        <f t="shared" si="26"/>
        <v>0</v>
      </c>
      <c r="J30" s="118">
        <f t="shared" si="26"/>
        <v>0</v>
      </c>
      <c r="K30" s="118">
        <f t="shared" si="26"/>
        <v>0</v>
      </c>
      <c r="L30" s="118">
        <f t="shared" si="26"/>
        <v>0</v>
      </c>
      <c r="M30" s="118">
        <f t="shared" si="26"/>
        <v>0</v>
      </c>
      <c r="N30" s="177">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4">
        <f t="shared" si="26"/>
        <v>0</v>
      </c>
      <c r="Y30" s="174">
        <f t="shared" si="26"/>
        <v>0</v>
      </c>
      <c r="Z30" s="174">
        <f t="shared" si="26"/>
        <v>0</v>
      </c>
      <c r="AA30" s="174">
        <f t="shared" si="26"/>
        <v>0</v>
      </c>
      <c r="AB30" s="174">
        <f t="shared" si="26"/>
        <v>0</v>
      </c>
      <c r="AC30" s="174">
        <f t="shared" si="26"/>
        <v>0</v>
      </c>
      <c r="AD30" s="174">
        <f t="shared" si="26"/>
        <v>0</v>
      </c>
      <c r="AE30" s="174">
        <f t="shared" si="26"/>
        <v>0</v>
      </c>
      <c r="AF30" s="174">
        <f t="shared" si="26"/>
        <v>0</v>
      </c>
      <c r="AG30" s="174">
        <f t="shared" si="26"/>
        <v>0</v>
      </c>
      <c r="AH30" s="184">
        <f t="shared" si="26"/>
        <v>0</v>
      </c>
      <c r="AI30" s="127"/>
    </row>
    <row r="31" spans="1:37">
      <c r="A31" s="9" t="s">
        <v>49</v>
      </c>
      <c r="B31" s="35">
        <v>0</v>
      </c>
      <c r="C31" s="330">
        <f>'Output - Jobs vs Yr (BAU)'!C7</f>
        <v>834.99</v>
      </c>
      <c r="D31" s="330">
        <f t="shared" ref="D31:AH31" si="27">D26*D14</f>
        <v>791.62162752875986</v>
      </c>
      <c r="E31" s="330">
        <f t="shared" si="27"/>
        <v>796.45667138510748</v>
      </c>
      <c r="F31" s="330">
        <f t="shared" si="27"/>
        <v>803.95573461633398</v>
      </c>
      <c r="G31" s="330">
        <f t="shared" si="27"/>
        <v>772.32088391633465</v>
      </c>
      <c r="H31" s="286">
        <f>'Output - Jobs vs Yr (BAU)'!H7</f>
        <v>664.9081945524315</v>
      </c>
      <c r="I31" s="174">
        <f t="shared" si="27"/>
        <v>655.47272223457503</v>
      </c>
      <c r="J31" s="174">
        <f t="shared" si="27"/>
        <v>659.82059355804188</v>
      </c>
      <c r="K31" s="174">
        <f t="shared" si="27"/>
        <v>675.51737776822324</v>
      </c>
      <c r="L31" s="174">
        <f t="shared" si="27"/>
        <v>688.18737346902367</v>
      </c>
      <c r="M31" s="174">
        <f t="shared" si="27"/>
        <v>689.96391786836386</v>
      </c>
      <c r="N31" s="184">
        <f t="shared" si="27"/>
        <v>693.20496030839979</v>
      </c>
      <c r="O31" s="174">
        <f t="shared" si="27"/>
        <v>688.35282454347782</v>
      </c>
      <c r="P31" s="174">
        <f t="shared" si="27"/>
        <v>691.7593162540835</v>
      </c>
      <c r="Q31" s="174">
        <f t="shared" si="27"/>
        <v>697.01261003783384</v>
      </c>
      <c r="R31" s="174">
        <f t="shared" si="27"/>
        <v>695.70717297221847</v>
      </c>
      <c r="S31" s="174">
        <f t="shared" si="27"/>
        <v>697.8908511025744</v>
      </c>
      <c r="T31" s="174">
        <f t="shared" si="27"/>
        <v>701.70495053339391</v>
      </c>
      <c r="U31" s="174">
        <f t="shared" si="27"/>
        <v>701.41311566604475</v>
      </c>
      <c r="V31" s="174">
        <f t="shared" si="27"/>
        <v>698.5195272670702</v>
      </c>
      <c r="W31" s="174">
        <f t="shared" si="27"/>
        <v>700.09956877011473</v>
      </c>
      <c r="X31" s="184">
        <f t="shared" si="27"/>
        <v>700.99841660178754</v>
      </c>
      <c r="Y31" s="174">
        <f t="shared" si="27"/>
        <v>698.7150290889623</v>
      </c>
      <c r="Z31" s="174">
        <f t="shared" si="27"/>
        <v>703.9670497910779</v>
      </c>
      <c r="AA31" s="174">
        <f t="shared" si="27"/>
        <v>706.04620287258251</v>
      </c>
      <c r="AB31" s="174">
        <f t="shared" si="27"/>
        <v>706.27617538495315</v>
      </c>
      <c r="AC31" s="174">
        <f t="shared" si="27"/>
        <v>705.24171080675876</v>
      </c>
      <c r="AD31" s="174">
        <f t="shared" si="27"/>
        <v>701.68280394080057</v>
      </c>
      <c r="AE31" s="174">
        <f t="shared" si="27"/>
        <v>699.44720053965182</v>
      </c>
      <c r="AF31" s="174">
        <f t="shared" si="27"/>
        <v>699.46048791913825</v>
      </c>
      <c r="AG31" s="174">
        <f t="shared" si="27"/>
        <v>703.77326511517015</v>
      </c>
      <c r="AH31" s="184">
        <f t="shared" si="27"/>
        <v>706.50044580056453</v>
      </c>
      <c r="AI31" s="127"/>
    </row>
    <row r="32" spans="1:37">
      <c r="A32" s="9" t="s">
        <v>59</v>
      </c>
      <c r="B32" s="35">
        <v>0</v>
      </c>
      <c r="C32" s="330">
        <f>EIA_electricity_aeo2014!E52*1000</f>
        <v>0</v>
      </c>
      <c r="D32" s="330">
        <f t="shared" ref="D32:AH32" si="28">D18*D14</f>
        <v>0</v>
      </c>
      <c r="E32" s="330">
        <f t="shared" si="28"/>
        <v>0</v>
      </c>
      <c r="F32" s="330">
        <f t="shared" si="28"/>
        <v>0</v>
      </c>
      <c r="G32" s="330">
        <f t="shared" si="28"/>
        <v>0</v>
      </c>
      <c r="H32" s="286">
        <f>EIA_electricity_aeo2014!J52*1000</f>
        <v>0</v>
      </c>
      <c r="I32" s="174">
        <f t="shared" si="28"/>
        <v>0</v>
      </c>
      <c r="J32" s="174">
        <f t="shared" si="28"/>
        <v>0</v>
      </c>
      <c r="K32" s="174">
        <f t="shared" si="28"/>
        <v>0</v>
      </c>
      <c r="L32" s="174">
        <f t="shared" si="28"/>
        <v>0</v>
      </c>
      <c r="M32" s="174">
        <f t="shared" si="28"/>
        <v>0</v>
      </c>
      <c r="N32" s="184">
        <f t="shared" si="28"/>
        <v>0</v>
      </c>
      <c r="O32" s="174">
        <f t="shared" si="28"/>
        <v>0</v>
      </c>
      <c r="P32" s="174">
        <f t="shared" si="28"/>
        <v>0</v>
      </c>
      <c r="Q32" s="174">
        <f t="shared" si="28"/>
        <v>0</v>
      </c>
      <c r="R32" s="174">
        <f t="shared" si="28"/>
        <v>0</v>
      </c>
      <c r="S32" s="174">
        <f t="shared" si="28"/>
        <v>0</v>
      </c>
      <c r="T32" s="174">
        <f t="shared" si="28"/>
        <v>0</v>
      </c>
      <c r="U32" s="174">
        <f t="shared" si="28"/>
        <v>0</v>
      </c>
      <c r="V32" s="174">
        <f t="shared" si="28"/>
        <v>0</v>
      </c>
      <c r="W32" s="174">
        <f t="shared" si="28"/>
        <v>0</v>
      </c>
      <c r="X32" s="184">
        <f t="shared" si="28"/>
        <v>0</v>
      </c>
      <c r="Y32" s="174">
        <f t="shared" si="28"/>
        <v>0</v>
      </c>
      <c r="Z32" s="174">
        <f t="shared" si="28"/>
        <v>0</v>
      </c>
      <c r="AA32" s="174">
        <f t="shared" si="28"/>
        <v>0</v>
      </c>
      <c r="AB32" s="174">
        <f t="shared" si="28"/>
        <v>0</v>
      </c>
      <c r="AC32" s="174">
        <f t="shared" si="28"/>
        <v>0</v>
      </c>
      <c r="AD32" s="174">
        <f t="shared" si="28"/>
        <v>0</v>
      </c>
      <c r="AE32" s="174">
        <f t="shared" si="28"/>
        <v>0</v>
      </c>
      <c r="AF32" s="174">
        <f t="shared" si="28"/>
        <v>0</v>
      </c>
      <c r="AG32" s="174">
        <f t="shared" si="28"/>
        <v>0</v>
      </c>
      <c r="AH32" s="184">
        <f t="shared" si="28"/>
        <v>0</v>
      </c>
      <c r="AI32" s="128"/>
    </row>
    <row r="33" spans="1:36">
      <c r="A33" s="9"/>
      <c r="B33" s="35"/>
      <c r="C33" s="330"/>
      <c r="D33" s="330"/>
      <c r="E33" s="330"/>
      <c r="F33" s="330"/>
      <c r="G33" s="330"/>
      <c r="H33" s="286"/>
      <c r="I33" s="118"/>
      <c r="J33" s="118"/>
      <c r="K33" s="118"/>
      <c r="L33" s="118"/>
      <c r="M33" s="118"/>
      <c r="N33" s="184"/>
      <c r="O33" s="118"/>
      <c r="P33" s="118"/>
      <c r="Q33" s="118"/>
      <c r="R33" s="118"/>
      <c r="S33" s="118"/>
      <c r="T33" s="118"/>
      <c r="U33" s="118"/>
      <c r="V33" s="118"/>
      <c r="W33" s="118"/>
      <c r="X33" s="184"/>
      <c r="AI33" s="128"/>
    </row>
    <row r="34" spans="1:36">
      <c r="A34" s="9" t="s">
        <v>121</v>
      </c>
      <c r="B34" s="35">
        <v>1</v>
      </c>
      <c r="C34" s="330">
        <f>EIA_RE_aeo2014!E76*1000</f>
        <v>0</v>
      </c>
      <c r="D34" s="330">
        <f>MAX(D58*D$14,'Output - Jobs vs Yr (BAU)'!D10)</f>
        <v>0</v>
      </c>
      <c r="E34" s="330">
        <f>MAX(E58*E$14,'Output - Jobs vs Yr (BAU)'!E10)</f>
        <v>2.6048960000000001</v>
      </c>
      <c r="F34" s="330">
        <f>MAX(F58*F$14,'Output - Jobs vs Yr (BAU)'!F10)</f>
        <v>2.52163</v>
      </c>
      <c r="G34" s="330">
        <f>MAX(G58*G$14,'Output - Jobs vs Yr (BAU)'!G10)</f>
        <v>2.4783379999999999</v>
      </c>
      <c r="H34" s="286">
        <f>'Output - Jobs vs Yr (BAU)'!H10</f>
        <v>2.6484580000000002</v>
      </c>
      <c r="I34" s="286">
        <f>MAX(I58*I$14,'Output - Jobs vs Yr (BAU)'!I10)</f>
        <v>3.3413280666243774</v>
      </c>
      <c r="J34" s="286">
        <f>MAX(J58*J$14,'Output - Jobs vs Yr (BAU)'!J10)</f>
        <v>4.3045445057586651</v>
      </c>
      <c r="K34" s="286">
        <f>MAX(K58*K$14,'Output - Jobs vs Yr (BAU)'!K10)</f>
        <v>5.6399918282638399</v>
      </c>
      <c r="L34" s="286">
        <f>MAX(L58*L$14,'Output - Jobs vs Yr (BAU)'!L10)</f>
        <v>7.3534823775337292</v>
      </c>
      <c r="M34" s="286">
        <f>MAX(M58*M$14,'Output - Jobs vs Yr (BAU)'!M10)</f>
        <v>9.435413969173613</v>
      </c>
      <c r="N34" s="287">
        <f>MAX(Inputs!$E17*N$21,'Output - Jobs vs Yr (BAU)'!N10)</f>
        <v>12.132444252936811</v>
      </c>
      <c r="O34" s="286">
        <f>MAX(O58*O$14,'Output - Jobs vs Yr (BAU)'!O10)</f>
        <v>12.389561463575854</v>
      </c>
      <c r="P34" s="286">
        <f>MAX(P58*P$14,'Output - Jobs vs Yr (BAU)'!P10)</f>
        <v>12.805597587741987</v>
      </c>
      <c r="Q34" s="286">
        <f>MAX(Q58*Q$14,'Output - Jobs vs Yr (BAU)'!Q10)</f>
        <v>13.271747292409541</v>
      </c>
      <c r="R34" s="286">
        <f>MAX(R58*R$14,'Output - Jobs vs Yr (BAU)'!R10)</f>
        <v>13.626994467780772</v>
      </c>
      <c r="S34" s="286">
        <f>MAX(S58*S$14,'Output - Jobs vs Yr (BAU)'!S10)</f>
        <v>14.063441546982226</v>
      </c>
      <c r="T34" s="286">
        <f>MAX(T58*T$14,'Output - Jobs vs Yr (BAU)'!T10)</f>
        <v>14.549043642787655</v>
      </c>
      <c r="U34" s="286">
        <f>MAX(U58*U$14,'Output - Jobs vs Yr (BAU)'!U10)</f>
        <v>14.964968830546459</v>
      </c>
      <c r="V34" s="286">
        <f>MAX(V58*V$14,'Output - Jobs vs Yr (BAU)'!V10)</f>
        <v>15.337328225567539</v>
      </c>
      <c r="W34" s="286">
        <f>MAX(W58*W$14,'Output - Jobs vs Yr (BAU)'!W10)</f>
        <v>15.821526921744043</v>
      </c>
      <c r="X34" s="287">
        <f>Inputs!F17*'Output -Jobs vs Yr'!$X$14</f>
        <v>16.306932562160792</v>
      </c>
      <c r="Y34" s="286">
        <f>MAX(Y58*Y$14,'Output - Jobs vs Yr (BAU)'!Y10)</f>
        <v>16.704815506679161</v>
      </c>
      <c r="Z34" s="286">
        <f>MAX(Z58*Z$14,'Output - Jobs vs Yr (BAU)'!Z10)</f>
        <v>17.297822842192133</v>
      </c>
      <c r="AA34" s="286">
        <f>MAX(AA58*AA$14,'Output - Jobs vs Yr (BAU)'!AA10)</f>
        <v>17.831218307850026</v>
      </c>
      <c r="AB34" s="286">
        <f>MAX(AB58*AB$14,'Output - Jobs vs Yr (BAU)'!AB10)</f>
        <v>18.333383273496782</v>
      </c>
      <c r="AC34" s="286">
        <f>MAX(AC58*AC$14,'Output - Jobs vs Yr (BAU)'!AC10)</f>
        <v>18.81645119556741</v>
      </c>
      <c r="AD34" s="286">
        <f>MAX(AD58*AD$14,'Output - Jobs vs Yr (BAU)'!AD10)</f>
        <v>19.243490450724938</v>
      </c>
      <c r="AE34" s="286">
        <f>MAX(AE58*AE$14,'Output - Jobs vs Yr (BAU)'!AE10)</f>
        <v>19.717551331696409</v>
      </c>
      <c r="AF34" s="286">
        <f>MAX(AF58*AF$14,'Output - Jobs vs Yr (BAU)'!AF10)</f>
        <v>20.268804017339974</v>
      </c>
      <c r="AG34" s="286">
        <f>MAX(AG58*AG$14,'Output - Jobs vs Yr (BAU)'!AG10)</f>
        <v>20.964117464071865</v>
      </c>
      <c r="AH34" s="287">
        <f>Inputs!I17*'Output -Jobs vs Yr'!$AH$14</f>
        <v>21.634519745034495</v>
      </c>
      <c r="AI34" s="127"/>
    </row>
    <row r="35" spans="1:36" s="20" customFormat="1">
      <c r="A35" s="9" t="s">
        <v>50</v>
      </c>
      <c r="B35" s="35">
        <v>1</v>
      </c>
      <c r="C35" s="330">
        <f>EIA_RE_aeo2014!E74*1000</f>
        <v>279</v>
      </c>
      <c r="D35" s="330">
        <f>MAX(D59*D$14,'Output - Jobs vs Yr (BAU)'!D11)</f>
        <v>360.55665056589777</v>
      </c>
      <c r="E35" s="330">
        <f>MAX(E59*E$14,'Output - Jobs vs Yr (BAU)'!E11)</f>
        <v>494.74881678002055</v>
      </c>
      <c r="F35" s="330">
        <f>MAX(F59*F$14,'Output - Jobs vs Yr (BAU)'!F11)</f>
        <v>681.50109571606299</v>
      </c>
      <c r="G35" s="330">
        <f>MAX(G59*G$14,'Output - Jobs vs Yr (BAU)'!G11)</f>
        <v>893.92512680152583</v>
      </c>
      <c r="H35" s="286">
        <f>'Output - Jobs vs Yr (BAU)'!H11</f>
        <v>338.29725839379751</v>
      </c>
      <c r="I35" s="286">
        <f>MAX(I59*I$14,'Output - Jobs vs Yr (BAU)'!I11)</f>
        <v>445.59267451927178</v>
      </c>
      <c r="J35" s="286">
        <f>MAX(J59*J$14,'Output - Jobs vs Yr (BAU)'!J11)</f>
        <v>599.32122968051829</v>
      </c>
      <c r="K35" s="286">
        <f>MAX(K59*K$14,'Output - Jobs vs Yr (BAU)'!K11)</f>
        <v>819.83125255958817</v>
      </c>
      <c r="L35" s="286">
        <f>MAX(L59*L$14,'Output - Jobs vs Yr (BAU)'!L11)</f>
        <v>1115.970172166139</v>
      </c>
      <c r="M35" s="286">
        <f>MAX(M59*M$14,'Output - Jobs vs Yr (BAU)'!M11)</f>
        <v>1494.9753290320521</v>
      </c>
      <c r="N35" s="287">
        <f>MAX(Inputs!$E19*N$21,'Output - Jobs vs Yr (BAU)'!N11)</f>
        <v>2006.9423930910029</v>
      </c>
      <c r="O35" s="286">
        <f>MAX(O59*O$14,'Output - Jobs vs Yr (BAU)'!O11)</f>
        <v>2049.4745835768476</v>
      </c>
      <c r="P35" s="286">
        <f>MAX(P59*P$14,'Output - Jobs vs Yr (BAU)'!P11)</f>
        <v>2118.2950551355093</v>
      </c>
      <c r="Q35" s="286">
        <f>MAX(Q59*Q$14,'Output - Jobs vs Yr (BAU)'!Q11)</f>
        <v>2195.4052881866692</v>
      </c>
      <c r="R35" s="286">
        <f>MAX(R59*R$14,'Output - Jobs vs Yr (BAU)'!R11)</f>
        <v>2254.1700845800897</v>
      </c>
      <c r="S35" s="286">
        <f>MAX(S59*S$14,'Output - Jobs vs Yr (BAU)'!S11)</f>
        <v>2326.3669253261842</v>
      </c>
      <c r="T35" s="286">
        <f>MAX(T59*T$14,'Output - Jobs vs Yr (BAU)'!T11)</f>
        <v>2406.6949624411991</v>
      </c>
      <c r="U35" s="286">
        <f>MAX(U59*U$14,'Output - Jobs vs Yr (BAU)'!U11)</f>
        <v>2475.4970829591171</v>
      </c>
      <c r="V35" s="286">
        <f>MAX(V59*V$14,'Output - Jobs vs Yr (BAU)'!V11)</f>
        <v>2537.0925735093933</v>
      </c>
      <c r="W35" s="286">
        <f>MAX(W59*W$14,'Output - Jobs vs Yr (BAU)'!W11)</f>
        <v>2617.1884610137427</v>
      </c>
      <c r="X35" s="287">
        <f>Inputs!F19*'Output -Jobs vs Yr'!$X$14</f>
        <v>2697.4840005841834</v>
      </c>
      <c r="Y35" s="286">
        <f>MAX(Y59*Y$14,'Output - Jobs vs Yr (BAU)'!Y11)</f>
        <v>2763.3015829438555</v>
      </c>
      <c r="Z35" s="286">
        <f>MAX(Z59*Z$14,'Output - Jobs vs Yr (BAU)'!Z11)</f>
        <v>2861.3965369566736</v>
      </c>
      <c r="AA35" s="286">
        <f>MAX(AA59*AA$14,'Output - Jobs vs Yr (BAU)'!AA11)</f>
        <v>2949.6305275684344</v>
      </c>
      <c r="AB35" s="286">
        <f>MAX(AB59*AB$14,'Output - Jobs vs Yr (BAU)'!AB11)</f>
        <v>3032.6983856908901</v>
      </c>
      <c r="AC35" s="286">
        <f>MAX(AC59*AC$14,'Output - Jobs vs Yr (BAU)'!AC11)</f>
        <v>3112.6072211517449</v>
      </c>
      <c r="AD35" s="286">
        <f>MAX(AD59*AD$14,'Output - Jobs vs Yr (BAU)'!AD11)</f>
        <v>3183.2478247120862</v>
      </c>
      <c r="AE35" s="286">
        <f>MAX(AE59*AE$14,'Output - Jobs vs Yr (BAU)'!AE11)</f>
        <v>3261.6667202860272</v>
      </c>
      <c r="AF35" s="286">
        <f>MAX(AF59*AF$14,'Output - Jobs vs Yr (BAU)'!AF11)</f>
        <v>3352.854642608896</v>
      </c>
      <c r="AG35" s="286">
        <f>MAX(AG59*AG$14,'Output - Jobs vs Yr (BAU)'!AG11)</f>
        <v>3467.8730184316132</v>
      </c>
      <c r="AH35" s="287">
        <f>Inputs!I19*'Output -Jobs vs Yr'!$AH$14</f>
        <v>3578.7706026313622</v>
      </c>
      <c r="AI35" s="127"/>
    </row>
    <row r="36" spans="1:36">
      <c r="A36" s="9" t="s">
        <v>119</v>
      </c>
      <c r="B36" s="35">
        <v>1</v>
      </c>
      <c r="C36" s="330">
        <v>0</v>
      </c>
      <c r="D36" s="330">
        <v>0</v>
      </c>
      <c r="E36" s="330">
        <v>0</v>
      </c>
      <c r="F36" s="330">
        <v>0</v>
      </c>
      <c r="G36" s="330">
        <v>0</v>
      </c>
      <c r="H36" s="286">
        <v>0</v>
      </c>
      <c r="I36" s="118">
        <v>0</v>
      </c>
      <c r="J36" s="118">
        <v>0</v>
      </c>
      <c r="K36" s="118">
        <v>0</v>
      </c>
      <c r="L36" s="118">
        <v>0</v>
      </c>
      <c r="M36" s="118">
        <v>0</v>
      </c>
      <c r="N36" s="184">
        <v>0</v>
      </c>
      <c r="O36" s="118">
        <v>0</v>
      </c>
      <c r="P36" s="118">
        <v>0</v>
      </c>
      <c r="Q36" s="118">
        <v>0</v>
      </c>
      <c r="R36" s="118">
        <v>0</v>
      </c>
      <c r="S36" s="118">
        <v>0</v>
      </c>
      <c r="T36" s="118">
        <v>0</v>
      </c>
      <c r="U36" s="118">
        <v>0</v>
      </c>
      <c r="V36" s="118">
        <v>0</v>
      </c>
      <c r="W36" s="118">
        <v>0</v>
      </c>
      <c r="X36" s="184">
        <v>0</v>
      </c>
      <c r="Y36" s="174">
        <v>0</v>
      </c>
      <c r="Z36" s="174">
        <v>0</v>
      </c>
      <c r="AA36" s="174">
        <v>0</v>
      </c>
      <c r="AB36" s="174">
        <v>0</v>
      </c>
      <c r="AC36" s="174">
        <v>0</v>
      </c>
      <c r="AD36" s="174">
        <v>0</v>
      </c>
      <c r="AE36" s="174">
        <v>0</v>
      </c>
      <c r="AF36" s="174">
        <v>0</v>
      </c>
      <c r="AG36" s="174">
        <v>0</v>
      </c>
      <c r="AH36" s="184">
        <v>0</v>
      </c>
      <c r="AI36" s="127"/>
    </row>
    <row r="37" spans="1:36">
      <c r="A37" s="9" t="s">
        <v>51</v>
      </c>
      <c r="B37" s="35">
        <v>1</v>
      </c>
      <c r="C37" s="330">
        <f>EIA_RE_aeo2014!E75*1000</f>
        <v>48</v>
      </c>
      <c r="D37" s="330">
        <f>MAX(D61*D$14,'Output - Jobs vs Yr (BAU)'!D12)</f>
        <v>56.787599140749982</v>
      </c>
      <c r="E37" s="330">
        <f>MAX(E61*E$14,'Output - Jobs vs Yr (BAU)'!E12)</f>
        <v>71.335831019862852</v>
      </c>
      <c r="F37" s="330">
        <f>MAX(F61*F$14,'Output - Jobs vs Yr (BAU)'!F12)</f>
        <v>89.95648604800293</v>
      </c>
      <c r="G37" s="330">
        <f>MAX(G61*G$14,'Output - Jobs vs Yr (BAU)'!G12)</f>
        <v>108.0214572916977</v>
      </c>
      <c r="H37" s="286">
        <f>'Output - Jobs vs Yr (BAU)'!H12</f>
        <v>78.248233625726343</v>
      </c>
      <c r="I37" s="118">
        <f>MAX(I61*I$14,'Output - Jobs vs Yr (BAU)'!I12)</f>
        <v>94.353294768261392</v>
      </c>
      <c r="J37" s="118">
        <f>MAX(J61*J$14,'Output - Jobs vs Yr (BAU)'!J12)</f>
        <v>116.17739997072732</v>
      </c>
      <c r="K37" s="118">
        <f>MAX(K61*K$14,'Output - Jobs vs Yr (BAU)'!K12)</f>
        <v>145.48875385913976</v>
      </c>
      <c r="L37" s="118">
        <f>MAX(L61*L$14,'Output - Jobs vs Yr (BAU)'!L12)</f>
        <v>181.30112722278028</v>
      </c>
      <c r="M37" s="118">
        <f>MAX(M61*M$14,'Output - Jobs vs Yr (BAU)'!M12)</f>
        <v>222.34373992965428</v>
      </c>
      <c r="N37" s="184">
        <f>MAX(Inputs!$E20*N$21,'Output - Jobs vs Yr (BAU)'!N12)</f>
        <v>273.25539849199038</v>
      </c>
      <c r="O37" s="174">
        <f>MAX(O61*O$14,'Output - Jobs vs Yr (BAU)'!O12)</f>
        <v>279.04637221398485</v>
      </c>
      <c r="P37" s="174">
        <f>MAX(P61*P$14,'Output - Jobs vs Yr (BAU)'!P12)</f>
        <v>288.41662890142538</v>
      </c>
      <c r="Q37" s="174">
        <f>MAX(Q61*Q$14,'Output - Jobs vs Yr (BAU)'!Q12)</f>
        <v>298.91557871320981</v>
      </c>
      <c r="R37" s="174">
        <f>MAX(R61*R$14,'Output - Jobs vs Yr (BAU)'!R12)</f>
        <v>306.91670416208393</v>
      </c>
      <c r="S37" s="174">
        <f>MAX(S61*S$14,'Output - Jobs vs Yr (BAU)'!S12)</f>
        <v>316.74667066030122</v>
      </c>
      <c r="T37" s="174">
        <f>MAX(T61*T$14,'Output - Jobs vs Yr (BAU)'!T12)</f>
        <v>327.68374083606068</v>
      </c>
      <c r="U37" s="174">
        <f>MAX(U61*U$14,'Output - Jobs vs Yr (BAU)'!U12)</f>
        <v>337.05149893611343</v>
      </c>
      <c r="V37" s="174">
        <f>MAX(V61*V$14,'Output - Jobs vs Yr (BAU)'!V12)</f>
        <v>345.43803776929963</v>
      </c>
      <c r="W37" s="174">
        <f>MAX(W61*W$14,'Output - Jobs vs Yr (BAU)'!W12)</f>
        <v>356.3434995966627</v>
      </c>
      <c r="X37" s="184">
        <f>Inputs!F20*'Output -Jobs vs Yr'!$X$14</f>
        <v>367.27614506669909</v>
      </c>
      <c r="Y37" s="174">
        <f>MAX(Y61*Y$14,'Output - Jobs vs Yr (BAU)'!Y12)</f>
        <v>376.23754314039854</v>
      </c>
      <c r="Z37" s="174">
        <f>MAX(Z61*Z$14,'Output - Jobs vs Yr (BAU)'!Z12)</f>
        <v>389.59366927590878</v>
      </c>
      <c r="AA37" s="174">
        <f>MAX(AA61*AA$14,'Output - Jobs vs Yr (BAU)'!AA12)</f>
        <v>401.60717516833324</v>
      </c>
      <c r="AB37" s="174">
        <f>MAX(AB61*AB$14,'Output - Jobs vs Yr (BAU)'!AB12)</f>
        <v>412.91728588763908</v>
      </c>
      <c r="AC37" s="174">
        <f>MAX(AC61*AC$14,'Output - Jobs vs Yr (BAU)'!AC12)</f>
        <v>423.79727962939103</v>
      </c>
      <c r="AD37" s="174">
        <f>MAX(AD61*AD$14,'Output - Jobs vs Yr (BAU)'!AD12)</f>
        <v>433.41535653187071</v>
      </c>
      <c r="AE37" s="174">
        <f>MAX(AE61*AE$14,'Output - Jobs vs Yr (BAU)'!AE12)</f>
        <v>444.09248739179333</v>
      </c>
      <c r="AF37" s="174">
        <f>MAX(AF61*AF$14,'Output - Jobs vs Yr (BAU)'!AF12)</f>
        <v>456.50818608736728</v>
      </c>
      <c r="AG37" s="174">
        <f>MAX(AG61*AG$14,'Output - Jobs vs Yr (BAU)'!AG12)</f>
        <v>472.16852204296589</v>
      </c>
      <c r="AH37" s="184">
        <f>Inputs!I20*'Output -Jobs vs Yr'!$AH$14</f>
        <v>487.26779129285683</v>
      </c>
      <c r="AI37" s="127"/>
    </row>
    <row r="38" spans="1:36" s="20" customFormat="1">
      <c r="A38" s="9" t="s">
        <v>347</v>
      </c>
      <c r="B38" s="35">
        <v>1</v>
      </c>
      <c r="C38" s="330">
        <f>'Output - Jobs vs Yr (BAU)'!C13</f>
        <v>0</v>
      </c>
      <c r="D38" s="330">
        <f>MAX(D62*D$14,'Output - Jobs vs Yr (BAU)'!D13)</f>
        <v>0</v>
      </c>
      <c r="E38" s="330">
        <f>MAX(E62*E$14,'Output - Jobs vs Yr (BAU)'!E13)</f>
        <v>0.02</v>
      </c>
      <c r="F38" s="330">
        <f>MAX(F62*F$14,'Output - Jobs vs Yr (BAU)'!F13)</f>
        <v>0.02</v>
      </c>
      <c r="G38" s="330">
        <f>MAX(G62*G$14,'Output - Jobs vs Yr (BAU)'!G13)</f>
        <v>0.02</v>
      </c>
      <c r="H38" s="286">
        <f>'Output - Jobs vs Yr (BAU)'!H13</f>
        <v>0.02</v>
      </c>
      <c r="I38" s="118">
        <f>MAX(I62*I$14,'Output - Jobs vs Yr (BAU)'!I13)</f>
        <v>2.3257107182455369E-2</v>
      </c>
      <c r="J38" s="118">
        <f>MAX(J62*J$14,'Output - Jobs vs Yr (BAU)'!J13)</f>
        <v>2.7616170048644095E-2</v>
      </c>
      <c r="K38" s="118">
        <f>MAX(K62*K$14,'Output - Jobs vs Yr (BAU)'!K13)</f>
        <v>3.3351424692995721E-2</v>
      </c>
      <c r="L38" s="118">
        <f>MAX(L62*L$14,'Output - Jobs vs Yr (BAU)'!L13)</f>
        <v>4.0080085753195945E-2</v>
      </c>
      <c r="M38" s="118">
        <f>MAX(M62*M$14,'Output - Jobs vs Yr (BAU)'!M13)</f>
        <v>4.7401950819815311E-2</v>
      </c>
      <c r="N38" s="184">
        <f>MAX(Inputs!$E21*N$21,'Output - Jobs vs Yr (BAU)'!N13)</f>
        <v>5.6180193516068858E-2</v>
      </c>
      <c r="O38" s="174">
        <f>MAX(O62*O$14,'Output - Jobs vs Yr (BAU)'!O13)</f>
        <v>5.7370794053674193E-2</v>
      </c>
      <c r="P38" s="174">
        <f>MAX(P62*P$14,'Output - Jobs vs Yr (BAU)'!P13)</f>
        <v>5.9297280545435399E-2</v>
      </c>
      <c r="Q38" s="174">
        <f>MAX(Q62*Q$14,'Output - Jobs vs Yr (BAU)'!Q13)</f>
        <v>6.145582173216637E-2</v>
      </c>
      <c r="R38" s="174">
        <f>MAX(R62*R$14,'Output - Jobs vs Yr (BAU)'!R13)</f>
        <v>6.3100820435009086E-2</v>
      </c>
      <c r="S38" s="174">
        <f>MAX(S62*S$14,'Output - Jobs vs Yr (BAU)'!S13)</f>
        <v>6.5121821385672865E-2</v>
      </c>
      <c r="T38" s="174">
        <f>MAX(T62*T$14,'Output - Jobs vs Yr (BAU)'!T13)</f>
        <v>6.7370438329249924E-2</v>
      </c>
      <c r="U38" s="174">
        <f>MAX(U62*U$14,'Output - Jobs vs Yr (BAU)'!U13)</f>
        <v>6.9296411121652454E-2</v>
      </c>
      <c r="V38" s="174">
        <f>MAX(V62*V$14,'Output - Jobs vs Yr (BAU)'!V13)</f>
        <v>7.1020649241662515E-2</v>
      </c>
      <c r="W38" s="174">
        <f>MAX(W62*W$14,'Output - Jobs vs Yr (BAU)'!W13)</f>
        <v>7.3262767637948534E-2</v>
      </c>
      <c r="X38" s="184">
        <f>Inputs!F21*'Output -Jobs vs Yr'!$X$14</f>
        <v>7.551047488010651E-2</v>
      </c>
      <c r="Y38" s="174">
        <f>MAX(Y62*Y$14,'Output - Jobs vs Yr (BAU)'!Y13)</f>
        <v>7.7352901711317743E-2</v>
      </c>
      <c r="Z38" s="174">
        <f>MAX(Z62*Z$14,'Output - Jobs vs Yr (BAU)'!Z13)</f>
        <v>8.0098866676910116E-2</v>
      </c>
      <c r="AA38" s="174">
        <f>MAX(AA62*AA$14,'Output - Jobs vs Yr (BAU)'!AA13)</f>
        <v>8.2568794405941337E-2</v>
      </c>
      <c r="AB38" s="174">
        <f>MAX(AB62*AB$14,'Output - Jobs vs Yr (BAU)'!AB13)</f>
        <v>8.4894106961174859E-2</v>
      </c>
      <c r="AC38" s="174">
        <f>MAX(AC62*AC$14,'Output - Jobs vs Yr (BAU)'!AC13)</f>
        <v>8.7130989223111799E-2</v>
      </c>
      <c r="AD38" s="174">
        <f>MAX(AD62*AD$14,'Output - Jobs vs Yr (BAU)'!AD13)</f>
        <v>8.9108426538589303E-2</v>
      </c>
      <c r="AE38" s="174">
        <f>MAX(AE62*AE$14,'Output - Jobs vs Yr (BAU)'!AE13)</f>
        <v>9.1303601020839939E-2</v>
      </c>
      <c r="AF38" s="174">
        <f>MAX(AF62*AF$14,'Output - Jobs vs Yr (BAU)'!AF13)</f>
        <v>9.3856217946997389E-2</v>
      </c>
      <c r="AG38" s="174">
        <f>MAX(AG62*AG$14,'Output - Jobs vs Yr (BAU)'!AG13)</f>
        <v>9.7075919037506564E-2</v>
      </c>
      <c r="AH38" s="184">
        <f>Inputs!I21*'Output -Jobs vs Yr'!$AH$14</f>
        <v>0.1001802671056197</v>
      </c>
      <c r="AI38" s="127"/>
    </row>
    <row r="39" spans="1:36" s="20" customFormat="1">
      <c r="A39" s="9" t="s">
        <v>348</v>
      </c>
      <c r="B39" s="35">
        <v>1</v>
      </c>
      <c r="C39" s="330">
        <f>'Output - Jobs vs Yr (BAU)'!C14</f>
        <v>0</v>
      </c>
      <c r="D39" s="330">
        <f>MAX(D63*D$14,'Output - Jobs vs Yr (BAU)'!D14)</f>
        <v>0</v>
      </c>
      <c r="E39" s="330">
        <f>MAX(E63*E$14,'Output - Jobs vs Yr (BAU)'!E14)</f>
        <v>0.01</v>
      </c>
      <c r="F39" s="330">
        <f>MAX(F63*F$14,'Output - Jobs vs Yr (BAU)'!F14)</f>
        <v>0.01</v>
      </c>
      <c r="G39" s="330">
        <f>MAX(G63*G$14,'Output - Jobs vs Yr (BAU)'!G14)</f>
        <v>0.01</v>
      </c>
      <c r="H39" s="286">
        <f>'Output - Jobs vs Yr (BAU)'!H14</f>
        <v>0.01</v>
      </c>
      <c r="I39" s="118">
        <f>MAX(I63*I$14,'Output - Jobs vs Yr (BAU)'!I14)</f>
        <v>1.1628553591227685E-2</v>
      </c>
      <c r="J39" s="118">
        <f>MAX(J63*J$14,'Output - Jobs vs Yr (BAU)'!J14)</f>
        <v>1.3808085024322047E-2</v>
      </c>
      <c r="K39" s="118">
        <f>MAX(K63*K$14,'Output - Jobs vs Yr (BAU)'!K14)</f>
        <v>1.667571234649786E-2</v>
      </c>
      <c r="L39" s="118">
        <f>MAX(L63*L$14,'Output - Jobs vs Yr (BAU)'!L14)</f>
        <v>2.0040042876597972E-2</v>
      </c>
      <c r="M39" s="118">
        <f>MAX(M63*M$14,'Output - Jobs vs Yr (BAU)'!M14)</f>
        <v>2.3700975409907656E-2</v>
      </c>
      <c r="N39" s="184">
        <f>MAX(Inputs!$E22*N$21,'Output - Jobs vs Yr (BAU)'!N14)</f>
        <v>2.8090096758034429E-2</v>
      </c>
      <c r="O39" s="174">
        <f>MAX(O63*O$14,'Output - Jobs vs Yr (BAU)'!O14)</f>
        <v>2.8685397026837096E-2</v>
      </c>
      <c r="P39" s="174">
        <f>MAX(P63*P$14,'Output - Jobs vs Yr (BAU)'!P14)</f>
        <v>2.96486402727177E-2</v>
      </c>
      <c r="Q39" s="174">
        <f>MAX(Q63*Q$14,'Output - Jobs vs Yr (BAU)'!Q14)</f>
        <v>3.0727910866083185E-2</v>
      </c>
      <c r="R39" s="174">
        <f>MAX(R63*R$14,'Output - Jobs vs Yr (BAU)'!R14)</f>
        <v>3.1550410217504543E-2</v>
      </c>
      <c r="S39" s="174">
        <f>MAX(S63*S$14,'Output - Jobs vs Yr (BAU)'!S14)</f>
        <v>3.2560910692836433E-2</v>
      </c>
      <c r="T39" s="174">
        <f>MAX(T63*T$14,'Output - Jobs vs Yr (BAU)'!T14)</f>
        <v>3.3685219164624962E-2</v>
      </c>
      <c r="U39" s="174">
        <f>MAX(U63*U$14,'Output - Jobs vs Yr (BAU)'!U14)</f>
        <v>3.4648205560826227E-2</v>
      </c>
      <c r="V39" s="174">
        <f>MAX(V63*V$14,'Output - Jobs vs Yr (BAU)'!V14)</f>
        <v>3.5510324620831257E-2</v>
      </c>
      <c r="W39" s="174">
        <f>MAX(W63*W$14,'Output - Jobs vs Yr (BAU)'!W14)</f>
        <v>3.6631383818974267E-2</v>
      </c>
      <c r="X39" s="184">
        <f>Inputs!F22*'Output -Jobs vs Yr'!$X$14</f>
        <v>3.7755237440053255E-2</v>
      </c>
      <c r="Y39" s="174">
        <f>MAX(Y63*Y$14,'Output - Jobs vs Yr (BAU)'!Y14)</f>
        <v>3.8676450855658871E-2</v>
      </c>
      <c r="Z39" s="174">
        <f>MAX(Z63*Z$14,'Output - Jobs vs Yr (BAU)'!Z14)</f>
        <v>4.0049433338455058E-2</v>
      </c>
      <c r="AA39" s="174">
        <f>MAX(AA63*AA$14,'Output - Jobs vs Yr (BAU)'!AA14)</f>
        <v>4.1284397202970669E-2</v>
      </c>
      <c r="AB39" s="174">
        <f>MAX(AB63*AB$14,'Output - Jobs vs Yr (BAU)'!AB14)</f>
        <v>4.2447053480587429E-2</v>
      </c>
      <c r="AC39" s="174">
        <f>MAX(AC63*AC$14,'Output - Jobs vs Yr (BAU)'!AC14)</f>
        <v>4.3565494611555899E-2</v>
      </c>
      <c r="AD39" s="174">
        <f>MAX(AD63*AD$14,'Output - Jobs vs Yr (BAU)'!AD14)</f>
        <v>4.4554213269294651E-2</v>
      </c>
      <c r="AE39" s="174">
        <f>MAX(AE63*AE$14,'Output - Jobs vs Yr (BAU)'!AE14)</f>
        <v>4.565180051041997E-2</v>
      </c>
      <c r="AF39" s="174">
        <f>MAX(AF63*AF$14,'Output - Jobs vs Yr (BAU)'!AF14)</f>
        <v>4.6928108973498694E-2</v>
      </c>
      <c r="AG39" s="174">
        <f>MAX(AG63*AG$14,'Output - Jobs vs Yr (BAU)'!AG14)</f>
        <v>4.8537959518753282E-2</v>
      </c>
      <c r="AH39" s="184">
        <f>Inputs!I22*'Output -Jobs vs Yr'!$AH$14</f>
        <v>5.0090133552809848E-2</v>
      </c>
      <c r="AI39" s="127"/>
    </row>
    <row r="40" spans="1:36" s="20" customFormat="1">
      <c r="A40" s="9" t="s">
        <v>344</v>
      </c>
      <c r="B40" s="35">
        <v>1</v>
      </c>
      <c r="C40" s="330">
        <f>'Output - Jobs vs Yr (BAU)'!C15</f>
        <v>0.01</v>
      </c>
      <c r="D40" s="330">
        <f>MAX(D64*D$14,'Output - Jobs vs Yr (BAU)'!D15)</f>
        <v>1.1409206529813276E-2</v>
      </c>
      <c r="E40" s="330">
        <f>MAX(E64*E$14,'Output - Jobs vs Yr (BAU)'!E15)</f>
        <v>1.3821425266835427E-2</v>
      </c>
      <c r="F40" s="330">
        <f>MAX(F64*F$14,'Output - Jobs vs Yr (BAU)'!F15)</f>
        <v>1.6808182637690836E-2</v>
      </c>
      <c r="G40" s="330">
        <f>MAX(G64*G$14,'Output - Jobs vs Yr (BAU)'!G15)</f>
        <v>1.9464420541760633E-2</v>
      </c>
      <c r="H40" s="286">
        <f>'Output - Jobs vs Yr (BAU)'!H15</f>
        <v>0.01</v>
      </c>
      <c r="I40" s="118">
        <f>MAX(I64*I$14,'Output - Jobs vs Yr (BAU)'!I15)</f>
        <v>1.1628553591227685E-2</v>
      </c>
      <c r="J40" s="118">
        <f>MAX(J64*J$14,'Output - Jobs vs Yr (BAU)'!J15)</f>
        <v>1.3808085024322047E-2</v>
      </c>
      <c r="K40" s="118">
        <f>MAX(K64*K$14,'Output - Jobs vs Yr (BAU)'!K15)</f>
        <v>1.667571234649786E-2</v>
      </c>
      <c r="L40" s="118">
        <f>MAX(L64*L$14,'Output - Jobs vs Yr (BAU)'!L15)</f>
        <v>2.0040042876597972E-2</v>
      </c>
      <c r="M40" s="118">
        <f>MAX(M64*M$14,'Output - Jobs vs Yr (BAU)'!M15)</f>
        <v>2.3700975409907656E-2</v>
      </c>
      <c r="N40" s="184">
        <f>MAX(Inputs!$E18*N$21,'Output - Jobs vs Yr (BAU)'!N15)</f>
        <v>2.8090096758034429E-2</v>
      </c>
      <c r="O40" s="174">
        <f>MAX(O64*O$14,'Output - Jobs vs Yr (BAU)'!O15)</f>
        <v>2.8685397026837096E-2</v>
      </c>
      <c r="P40" s="174">
        <f>MAX(P64*P$14,'Output - Jobs vs Yr (BAU)'!P15)</f>
        <v>2.96486402727177E-2</v>
      </c>
      <c r="Q40" s="174">
        <f>MAX(Q64*Q$14,'Output - Jobs vs Yr (BAU)'!Q15)</f>
        <v>3.0727910866083185E-2</v>
      </c>
      <c r="R40" s="174">
        <f>MAX(R64*R$14,'Output - Jobs vs Yr (BAU)'!R15)</f>
        <v>3.1550410217504543E-2</v>
      </c>
      <c r="S40" s="174">
        <f>MAX(S64*S$14,'Output - Jobs vs Yr (BAU)'!S15)</f>
        <v>3.2560910692836433E-2</v>
      </c>
      <c r="T40" s="174">
        <f>MAX(T64*T$14,'Output - Jobs vs Yr (BAU)'!T15)</f>
        <v>3.3685219164624962E-2</v>
      </c>
      <c r="U40" s="174">
        <f>MAX(U64*U$14,'Output - Jobs vs Yr (BAU)'!U15)</f>
        <v>3.4648205560826227E-2</v>
      </c>
      <c r="V40" s="174">
        <f>MAX(V64*V$14,'Output - Jobs vs Yr (BAU)'!V15)</f>
        <v>3.5510324620831257E-2</v>
      </c>
      <c r="W40" s="174">
        <f>MAX(W64*W$14,'Output - Jobs vs Yr (BAU)'!W15)</f>
        <v>3.6631383818974267E-2</v>
      </c>
      <c r="X40" s="184">
        <f>Inputs!F18*'Output -Jobs vs Yr'!$X$14</f>
        <v>3.7755237440053255E-2</v>
      </c>
      <c r="Y40" s="174">
        <f>MAX(Y64*Y$14,'Output - Jobs vs Yr (BAU)'!Y15)</f>
        <v>3.8676450855658871E-2</v>
      </c>
      <c r="Z40" s="174">
        <f>MAX(Z64*Z$14,'Output - Jobs vs Yr (BAU)'!Z15)</f>
        <v>4.0049433338455058E-2</v>
      </c>
      <c r="AA40" s="174">
        <f>MAX(AA64*AA$14,'Output - Jobs vs Yr (BAU)'!AA15)</f>
        <v>4.1284397202970669E-2</v>
      </c>
      <c r="AB40" s="174">
        <f>MAX(AB64*AB$14,'Output - Jobs vs Yr (BAU)'!AB15)</f>
        <v>4.2447053480587429E-2</v>
      </c>
      <c r="AC40" s="174">
        <f>MAX(AC64*AC$14,'Output - Jobs vs Yr (BAU)'!AC15)</f>
        <v>4.3565494611555899E-2</v>
      </c>
      <c r="AD40" s="174">
        <f>MAX(AD64*AD$14,'Output - Jobs vs Yr (BAU)'!AD15)</f>
        <v>4.4554213269294651E-2</v>
      </c>
      <c r="AE40" s="174">
        <f>MAX(AE64*AE$14,'Output - Jobs vs Yr (BAU)'!AE15)</f>
        <v>4.565180051041997E-2</v>
      </c>
      <c r="AF40" s="174">
        <f>MAX(AF64*AF$14,'Output - Jobs vs Yr (BAU)'!AF15)</f>
        <v>4.6928108973498694E-2</v>
      </c>
      <c r="AG40" s="174">
        <f>MAX(AG64*AG$14,'Output - Jobs vs Yr (BAU)'!AG15)</f>
        <v>4.8537959518753282E-2</v>
      </c>
      <c r="AH40" s="184">
        <f>Inputs!I18*'Output -Jobs vs Yr'!$AH$14</f>
        <v>5.0090133552809848E-2</v>
      </c>
      <c r="AI40" s="127"/>
    </row>
    <row r="41" spans="1:36" s="252" customFormat="1">
      <c r="A41" s="10" t="s">
        <v>120</v>
      </c>
      <c r="B41" s="37">
        <v>1</v>
      </c>
      <c r="C41" s="330">
        <v>0</v>
      </c>
      <c r="D41" s="330">
        <v>0</v>
      </c>
      <c r="E41" s="330">
        <v>0</v>
      </c>
      <c r="F41" s="330">
        <v>0</v>
      </c>
      <c r="G41" s="330">
        <v>0</v>
      </c>
      <c r="H41" s="286">
        <v>1</v>
      </c>
      <c r="I41" s="286">
        <v>2</v>
      </c>
      <c r="J41" s="286">
        <v>3</v>
      </c>
      <c r="K41" s="286">
        <v>4</v>
      </c>
      <c r="L41" s="286">
        <v>5</v>
      </c>
      <c r="M41" s="286">
        <v>6</v>
      </c>
      <c r="N41" s="287">
        <v>7</v>
      </c>
      <c r="O41" s="286">
        <v>8</v>
      </c>
      <c r="P41" s="286">
        <v>9</v>
      </c>
      <c r="Q41" s="286">
        <v>10</v>
      </c>
      <c r="R41" s="286">
        <v>11</v>
      </c>
      <c r="S41" s="286">
        <v>12</v>
      </c>
      <c r="T41" s="286">
        <v>13</v>
      </c>
      <c r="U41" s="286">
        <v>14</v>
      </c>
      <c r="V41" s="286">
        <v>15</v>
      </c>
      <c r="W41" s="286">
        <v>16</v>
      </c>
      <c r="X41" s="287">
        <v>17</v>
      </c>
      <c r="Y41" s="252">
        <v>18</v>
      </c>
      <c r="Z41" s="252">
        <v>19</v>
      </c>
      <c r="AA41" s="252">
        <v>20</v>
      </c>
      <c r="AB41" s="252">
        <v>21</v>
      </c>
      <c r="AC41" s="252">
        <v>22</v>
      </c>
      <c r="AD41" s="197">
        <v>23</v>
      </c>
      <c r="AE41" s="252">
        <v>24</v>
      </c>
      <c r="AF41" s="252">
        <v>25</v>
      </c>
      <c r="AG41" s="252">
        <v>26</v>
      </c>
      <c r="AH41" s="287">
        <v>27</v>
      </c>
      <c r="AI41" s="252">
        <f>EXP(0.01)</f>
        <v>1.0100501670841679</v>
      </c>
      <c r="AJ41" s="482">
        <v>0.01</v>
      </c>
    </row>
    <row r="42" spans="1:36" s="20" customFormat="1">
      <c r="A42" s="9" t="s">
        <v>53</v>
      </c>
      <c r="B42" s="35">
        <v>1</v>
      </c>
      <c r="C42" s="330">
        <f>EIA_RE_aeo2014!E78*1000</f>
        <v>160</v>
      </c>
      <c r="D42" s="330">
        <f>MAX(D66*D$14,'Output - Jobs vs Yr (BAU)'!D16)</f>
        <v>448</v>
      </c>
      <c r="E42" s="330">
        <f>MAX(E66*E$14,'Output - Jobs vs Yr (BAU)'!E16)</f>
        <v>600.05782500000009</v>
      </c>
      <c r="F42" s="330">
        <f>MAX(F66*F$14,'Output - Jobs vs Yr (BAU)'!F16)</f>
        <v>684.90775000000008</v>
      </c>
      <c r="G42" s="330">
        <f>MAX(G66*G$14,'Output - Jobs vs Yr (BAU)'!G16)</f>
        <v>805.93487500000003</v>
      </c>
      <c r="H42" s="286">
        <f>'Output - Jobs vs Yr (BAU)'!H16</f>
        <v>808.43412499999999</v>
      </c>
      <c r="I42" s="118">
        <f>MAX(I66*I$14,'Output - Jobs vs Yr (BAU)'!I16)</f>
        <v>956.57973231272751</v>
      </c>
      <c r="J42" s="118">
        <f>MAX(J66*J$14,'Output - Jobs vs Yr (BAU)'!J16)</f>
        <v>1155.7922225976358</v>
      </c>
      <c r="K42" s="118">
        <f>MAX(K66*K$14,'Output - Jobs vs Yr (BAU)'!K16)</f>
        <v>1420.3047813922237</v>
      </c>
      <c r="L42" s="118">
        <f>MAX(L66*L$14,'Output - Jobs vs Yr (BAU)'!L16)</f>
        <v>1736.7873185458491</v>
      </c>
      <c r="M42" s="118">
        <f>MAX(M66*M$14,'Output - Jobs vs Yr (BAU)'!M16)</f>
        <v>2090.0903090682673</v>
      </c>
      <c r="N42" s="184">
        <f>MAX(Inputs!$E23*N$21,'Output - Jobs vs Yr (BAU)'!N16)</f>
        <v>2520.5940455383889</v>
      </c>
      <c r="O42" s="174">
        <f>MAX(O66*O$14,'Output - Jobs vs Yr (BAU)'!O16)</f>
        <v>2574.0118150027197</v>
      </c>
      <c r="P42" s="174">
        <f>MAX(P66*P$14,'Output - Jobs vs Yr (BAU)'!P16)</f>
        <v>2660.4460202988357</v>
      </c>
      <c r="Q42" s="174">
        <f>MAX(Q66*Q$14,'Output - Jobs vs Yr (BAU)'!Q16)</f>
        <v>2757.2916472325924</v>
      </c>
      <c r="R42" s="174">
        <f>MAX(R66*R$14,'Output - Jobs vs Yr (BAU)'!R16)</f>
        <v>2831.0965538340224</v>
      </c>
      <c r="S42" s="174">
        <f>MAX(S66*S$14,'Output - Jobs vs Yr (BAU)'!S16)</f>
        <v>2921.7712675267317</v>
      </c>
      <c r="T42" s="174">
        <f>MAX(T66*T$14,'Output - Jobs vs Yr (BAU)'!T16)</f>
        <v>3022.6582549853265</v>
      </c>
      <c r="U42" s="174">
        <f>MAX(U66*U$14,'Output - Jobs vs Yr (BAU)'!U16)</f>
        <v>3109.0694125227292</v>
      </c>
      <c r="V42" s="174">
        <f>MAX(V66*V$14,'Output - Jobs vs Yr (BAU)'!V16)</f>
        <v>3186.4294938322491</v>
      </c>
      <c r="W42" s="174">
        <f>MAX(W66*W$14,'Output - Jobs vs Yr (BAU)'!W16)</f>
        <v>3287.0249159084328</v>
      </c>
      <c r="X42" s="184">
        <f>Inputs!F23*'Output -Jobs vs Yr'!$X$14</f>
        <v>3387.8710884848297</v>
      </c>
      <c r="Y42" s="174">
        <f>MAX(Y66*Y$14,'Output - Jobs vs Yr (BAU)'!Y16)</f>
        <v>3470.5338528763923</v>
      </c>
      <c r="Z42" s="174">
        <f>MAX(Z66*Z$14,'Output - Jobs vs Yr (BAU)'!Z16)</f>
        <v>3593.7349760542515</v>
      </c>
      <c r="AA42" s="174">
        <f>MAX(AA66*AA$14,'Output - Jobs vs Yr (BAU)'!AA16)</f>
        <v>3704.5513463276211</v>
      </c>
      <c r="AB42" s="174">
        <f>MAX(AB66*AB$14,'Output - Jobs vs Yr (BAU)'!AB16)</f>
        <v>3808.8793775057416</v>
      </c>
      <c r="AC42" s="174">
        <f>MAX(AC66*AC$14,'Output - Jobs vs Yr (BAU)'!AC16)</f>
        <v>3909.2398739215469</v>
      </c>
      <c r="AD42" s="174">
        <f>MAX(AD66*AD$14,'Output - Jobs vs Yr (BAU)'!AD16)</f>
        <v>3997.960051102717</v>
      </c>
      <c r="AE42" s="174">
        <f>MAX(AE66*AE$14,'Output - Jobs vs Yr (BAU)'!AE16)</f>
        <v>4096.449276265249</v>
      </c>
      <c r="AF42" s="174">
        <f>MAX(AF66*AF$14,'Output - Jobs vs Yr (BAU)'!AF16)</f>
        <v>4210.9755999022918</v>
      </c>
      <c r="AG42" s="174">
        <f>MAX(AG66*AG$14,'Output - Jobs vs Yr (BAU)'!AG16)</f>
        <v>4355.4314817573377</v>
      </c>
      <c r="AH42" s="184">
        <f>Inputs!I23*'Output -Jobs vs Yr'!$AH$14</f>
        <v>4494.7119072248388</v>
      </c>
      <c r="AI42" s="127"/>
    </row>
    <row r="43" spans="1:36">
      <c r="A43" s="10" t="s">
        <v>332</v>
      </c>
      <c r="B43" s="37"/>
      <c r="C43" s="330">
        <f>SUM(C31:C42)</f>
        <v>1322</v>
      </c>
      <c r="D43" s="330">
        <f t="shared" ref="D43:AG43" si="29">SUM(D31:D42)</f>
        <v>1656.9772864419374</v>
      </c>
      <c r="E43" s="330">
        <f t="shared" si="29"/>
        <v>1965.2478616102578</v>
      </c>
      <c r="F43" s="330">
        <f t="shared" si="29"/>
        <v>2262.8895045630379</v>
      </c>
      <c r="G43" s="330">
        <f t="shared" si="29"/>
        <v>2582.7301454301</v>
      </c>
      <c r="H43" s="286">
        <f t="shared" si="29"/>
        <v>1893.5762695719552</v>
      </c>
      <c r="I43" s="83">
        <f t="shared" si="29"/>
        <v>2157.3862661158246</v>
      </c>
      <c r="J43" s="83">
        <f t="shared" si="29"/>
        <v>2538.471222652779</v>
      </c>
      <c r="K43" s="83">
        <f t="shared" si="29"/>
        <v>3070.848860256825</v>
      </c>
      <c r="L43" s="83">
        <f t="shared" si="29"/>
        <v>3734.6796339528323</v>
      </c>
      <c r="M43" s="83">
        <f t="shared" si="29"/>
        <v>4512.9035137691517</v>
      </c>
      <c r="N43" s="184">
        <f t="shared" si="29"/>
        <v>5513.241602069751</v>
      </c>
      <c r="O43" s="83">
        <f t="shared" si="29"/>
        <v>5611.3898983887138</v>
      </c>
      <c r="P43" s="83">
        <f t="shared" si="29"/>
        <v>5780.8412127386864</v>
      </c>
      <c r="Q43" s="83">
        <f t="shared" si="29"/>
        <v>5972.0197831061796</v>
      </c>
      <c r="R43" s="83">
        <f t="shared" si="29"/>
        <v>6112.6437116570651</v>
      </c>
      <c r="S43" s="83">
        <f t="shared" si="29"/>
        <v>6288.9693998055445</v>
      </c>
      <c r="T43" s="83">
        <f t="shared" si="29"/>
        <v>6486.4256933154265</v>
      </c>
      <c r="U43" s="83">
        <f t="shared" si="29"/>
        <v>6652.1346717367942</v>
      </c>
      <c r="V43" s="83">
        <f t="shared" si="29"/>
        <v>6797.9590019020634</v>
      </c>
      <c r="W43" s="83">
        <f t="shared" si="29"/>
        <v>6992.6244977459728</v>
      </c>
      <c r="X43" s="184">
        <f t="shared" si="29"/>
        <v>7187.087604249421</v>
      </c>
      <c r="Y43" s="174">
        <f t="shared" si="29"/>
        <v>7343.6475293597105</v>
      </c>
      <c r="Z43" s="174">
        <f t="shared" si="29"/>
        <v>7585.1502526534578</v>
      </c>
      <c r="AA43" s="174">
        <f t="shared" si="29"/>
        <v>7799.8316078336338</v>
      </c>
      <c r="AB43" s="174">
        <f t="shared" si="29"/>
        <v>8000.2743959566433</v>
      </c>
      <c r="AC43" s="174">
        <f t="shared" si="29"/>
        <v>8191.8767986834546</v>
      </c>
      <c r="AD43" s="174">
        <f t="shared" si="29"/>
        <v>8358.7277435912765</v>
      </c>
      <c r="AE43" s="174">
        <f t="shared" si="29"/>
        <v>8545.5558430164583</v>
      </c>
      <c r="AF43" s="174">
        <f t="shared" si="29"/>
        <v>8765.2554329709274</v>
      </c>
      <c r="AG43" s="174">
        <f t="shared" si="29"/>
        <v>9046.404556649235</v>
      </c>
      <c r="AH43" s="184">
        <f>SUM(AH31:AH42)</f>
        <v>9316.0856272288675</v>
      </c>
      <c r="AI43" s="127"/>
    </row>
    <row r="44" spans="1:36">
      <c r="A44" s="10" t="s">
        <v>124</v>
      </c>
      <c r="B44" s="37"/>
      <c r="C44" s="331">
        <f>SUMPRODUCT($B34:$B42,C34:C42)</f>
        <v>487.01</v>
      </c>
      <c r="D44" s="331">
        <f>SUMPRODUCT($B34:$B42,D34:D42)</f>
        <v>865.35565891317765</v>
      </c>
      <c r="E44" s="331">
        <f t="shared" ref="E44:AG44" si="30">SUMPRODUCT($B34:$B42*E34:E42)</f>
        <v>1168.7911902251503</v>
      </c>
      <c r="F44" s="331">
        <f t="shared" si="30"/>
        <v>1458.9337699467037</v>
      </c>
      <c r="G44" s="331">
        <f t="shared" si="30"/>
        <v>1810.4092615137654</v>
      </c>
      <c r="H44" s="402">
        <f t="shared" si="30"/>
        <v>1228.6680750195237</v>
      </c>
      <c r="I44" s="14">
        <f>SUMPRODUCT($B34:$B42*I34:I42)</f>
        <v>1501.91354388125</v>
      </c>
      <c r="J44" s="14">
        <f t="shared" si="30"/>
        <v>1878.6506290947373</v>
      </c>
      <c r="K44" s="14">
        <f t="shared" si="30"/>
        <v>2395.3314824886015</v>
      </c>
      <c r="L44" s="14">
        <f t="shared" si="30"/>
        <v>3046.4922604838084</v>
      </c>
      <c r="M44" s="14">
        <f t="shared" si="30"/>
        <v>3822.939595900787</v>
      </c>
      <c r="N44" s="182">
        <f t="shared" si="30"/>
        <v>4820.0366417613513</v>
      </c>
      <c r="O44" s="14">
        <f t="shared" si="30"/>
        <v>4923.0370738452357</v>
      </c>
      <c r="P44" s="14">
        <f t="shared" si="30"/>
        <v>5089.081896484603</v>
      </c>
      <c r="Q44" s="14">
        <f t="shared" si="30"/>
        <v>5275.0071730683449</v>
      </c>
      <c r="R44" s="14">
        <f t="shared" si="30"/>
        <v>5416.9365386848458</v>
      </c>
      <c r="S44" s="14">
        <f t="shared" si="30"/>
        <v>5591.0785487029698</v>
      </c>
      <c r="T44" s="14">
        <f t="shared" si="30"/>
        <v>5784.7207427820322</v>
      </c>
      <c r="U44" s="14">
        <f t="shared" si="30"/>
        <v>5950.7215560707491</v>
      </c>
      <c r="V44" s="14">
        <f t="shared" si="30"/>
        <v>6099.4394746349926</v>
      </c>
      <c r="W44" s="14">
        <f t="shared" si="30"/>
        <v>6292.5249289758576</v>
      </c>
      <c r="X44" s="187">
        <f t="shared" si="30"/>
        <v>6486.0891876476335</v>
      </c>
      <c r="Y44" s="14">
        <f t="shared" si="30"/>
        <v>6644.9325002707483</v>
      </c>
      <c r="Z44" s="14">
        <f t="shared" si="30"/>
        <v>6881.1832028623794</v>
      </c>
      <c r="AA44" s="14">
        <f t="shared" si="30"/>
        <v>7093.7854049610514</v>
      </c>
      <c r="AB44" s="14">
        <f t="shared" si="30"/>
        <v>7293.9982205716897</v>
      </c>
      <c r="AC44" s="14">
        <f t="shared" si="30"/>
        <v>7486.6350878766962</v>
      </c>
      <c r="AD44" s="14">
        <f t="shared" si="30"/>
        <v>7657.0449396504755</v>
      </c>
      <c r="AE44" s="14">
        <f t="shared" si="30"/>
        <v>7846.1086424768073</v>
      </c>
      <c r="AF44" s="14">
        <f t="shared" si="30"/>
        <v>8065.7949450517899</v>
      </c>
      <c r="AG44" s="14">
        <f t="shared" si="30"/>
        <v>8342.6312915340641</v>
      </c>
      <c r="AH44" s="187">
        <f>SUMPRODUCT($B34:$B42*AH34:AH42)</f>
        <v>8609.5851814283033</v>
      </c>
      <c r="AI44" s="127"/>
    </row>
    <row r="45" spans="1:36">
      <c r="A45" s="10" t="s">
        <v>117</v>
      </c>
      <c r="B45" s="37"/>
      <c r="C45" s="332">
        <f t="shared" ref="C45:AG45" si="31">C44/C14</f>
        <v>1.119177295185568E-2</v>
      </c>
      <c r="D45" s="332">
        <f t="shared" si="31"/>
        <v>2.0500228819131473E-2</v>
      </c>
      <c r="E45" s="332">
        <f t="shared" si="31"/>
        <v>2.688203313994016E-2</v>
      </c>
      <c r="F45" s="332">
        <f t="shared" si="31"/>
        <v>3.2452737081347188E-2</v>
      </c>
      <c r="G45" s="332">
        <f t="shared" si="31"/>
        <v>4.0900658141487772E-2</v>
      </c>
      <c r="H45" s="284">
        <f t="shared" si="31"/>
        <v>2.709053862342202E-2</v>
      </c>
      <c r="I45" s="23">
        <f t="shared" si="31"/>
        <v>3.3493520695492399E-2</v>
      </c>
      <c r="J45" s="23">
        <f t="shared" si="31"/>
        <v>4.149661161301977E-2</v>
      </c>
      <c r="K45" s="23">
        <f t="shared" si="31"/>
        <v>5.1527585681735953E-2</v>
      </c>
      <c r="L45" s="23">
        <f t="shared" si="31"/>
        <v>6.4138455784758949E-2</v>
      </c>
      <c r="M45" s="23">
        <f t="shared" si="31"/>
        <v>8.0039945325477188E-2</v>
      </c>
      <c r="N45" s="178">
        <f t="shared" si="31"/>
        <v>0.10014543832763007</v>
      </c>
      <c r="O45" s="23">
        <f t="shared" si="31"/>
        <v>0.10200569821603199</v>
      </c>
      <c r="P45" s="23">
        <f t="shared" si="31"/>
        <v>0.10389747076685237</v>
      </c>
      <c r="Q45" s="207">
        <f t="shared" si="31"/>
        <v>0.10582260815056221</v>
      </c>
      <c r="R45" s="207">
        <f t="shared" si="31"/>
        <v>0.10778424972630543</v>
      </c>
      <c r="S45" s="207">
        <f t="shared" si="31"/>
        <v>0.10978013000443609</v>
      </c>
      <c r="T45" s="207">
        <f t="shared" si="31"/>
        <v>0.1118113357312301</v>
      </c>
      <c r="U45" s="207">
        <f t="shared" si="31"/>
        <v>0.11388061962814346</v>
      </c>
      <c r="V45" s="207">
        <f t="shared" si="31"/>
        <v>0.11598834393033891</v>
      </c>
      <c r="W45" s="207">
        <f t="shared" si="31"/>
        <v>0.11813234039044983</v>
      </c>
      <c r="X45" s="185">
        <f t="shared" si="31"/>
        <v>0.12031534578374575</v>
      </c>
      <c r="Y45" s="172">
        <f t="shared" si="31"/>
        <v>0.1230411195222109</v>
      </c>
      <c r="Z45" s="172">
        <f t="shared" si="31"/>
        <v>0.12582416609113489</v>
      </c>
      <c r="AA45" s="172">
        <f t="shared" si="31"/>
        <v>0.12867092283422674</v>
      </c>
      <c r="AB45" s="172">
        <f t="shared" si="31"/>
        <v>0.13158228471816077</v>
      </c>
      <c r="AC45" s="172">
        <f t="shared" si="31"/>
        <v>0.13455949111095186</v>
      </c>
      <c r="AD45" s="172">
        <f t="shared" si="31"/>
        <v>0.13760484886130567</v>
      </c>
      <c r="AE45" s="172">
        <f t="shared" si="31"/>
        <v>0.1407177002658048</v>
      </c>
      <c r="AF45" s="172">
        <f t="shared" si="31"/>
        <v>0.14389889080384519</v>
      </c>
      <c r="AG45" s="172">
        <f t="shared" si="31"/>
        <v>0.14714850694717765</v>
      </c>
      <c r="AH45" s="185">
        <f>AH44/AH14</f>
        <v>0.1504718857913305</v>
      </c>
      <c r="AI45" s="127"/>
    </row>
    <row r="46" spans="1:36" s="252" customFormat="1">
      <c r="A46" s="10" t="s">
        <v>333</v>
      </c>
      <c r="B46" s="37"/>
      <c r="C46" s="330">
        <f>SUM(EIA_electricity_aeo2014!E50,EIA_electricity_aeo2014!E55)*1000</f>
        <v>223</v>
      </c>
      <c r="D46" s="330">
        <f>SUM(EIA_electricity_aeo2014!F50,EIA_electricity_aeo2014!F55)*1000</f>
        <v>223.99999999999997</v>
      </c>
      <c r="E46" s="330">
        <f>SUM(EIA_electricity_aeo2014!G50,EIA_electricity_aeo2014!G55)*1000</f>
        <v>86.101126293861441</v>
      </c>
      <c r="F46" s="330">
        <f>SUM(EIA_electricity_aeo2014!H50,EIA_electricity_aeo2014!H55)*1000</f>
        <v>101.17558509063173</v>
      </c>
      <c r="G46" s="330">
        <f>SUM(EIA_electricity_aeo2014!I50,EIA_electricity_aeo2014!I55)*1000</f>
        <v>69.864790188240818</v>
      </c>
      <c r="H46" s="286">
        <f>SUM(EIA_electricity_aeo2014!J50,EIA_electricity_aeo2014!J55)*1000</f>
        <v>71.152594826767228</v>
      </c>
      <c r="I46" s="286">
        <f>SUM(EIA_electricity_aeo2014!K50,EIA_electricity_aeo2014!K55)*1000</f>
        <v>73.832342690202779</v>
      </c>
      <c r="J46" s="286">
        <f>SUM(EIA_electricity_aeo2014!L50,EIA_electricity_aeo2014!L55)*1000</f>
        <v>73.851863982531185</v>
      </c>
      <c r="K46" s="286">
        <f>SUM(EIA_electricity_aeo2014!M50,EIA_electricity_aeo2014!M55)*1000</f>
        <v>75.04392792601503</v>
      </c>
      <c r="L46" s="286">
        <f>SUM(EIA_electricity_aeo2014!N50,EIA_electricity_aeo2014!N55)*1000</f>
        <v>75.551445037742752</v>
      </c>
      <c r="M46" s="286">
        <f>SUM(EIA_electricity_aeo2014!O50,EIA_electricity_aeo2014!O55)*1000</f>
        <v>75.456575084420152</v>
      </c>
      <c r="N46" s="286">
        <f>SUM(EIA_electricity_aeo2014!P50,EIA_electricity_aeo2014!P55)*1000</f>
        <v>75.514988602374231</v>
      </c>
      <c r="O46" s="286">
        <f>SUM(EIA_electricity_aeo2014!Q50,EIA_electricity_aeo2014!Q55)*1000</f>
        <v>74.73680162219695</v>
      </c>
      <c r="P46" s="286">
        <f>SUM(EIA_electricity_aeo2014!R50,EIA_electricity_aeo2014!R55)*1000</f>
        <v>74.355366262903658</v>
      </c>
      <c r="Q46" s="286">
        <f>SUM(EIA_electricity_aeo2014!S50,EIA_electricity_aeo2014!S55)*1000</f>
        <v>74.373535885903806</v>
      </c>
      <c r="R46" s="286">
        <f>SUM(EIA_electricity_aeo2014!T50,EIA_electricity_aeo2014!T55)*1000</f>
        <v>74.422514976693051</v>
      </c>
      <c r="S46" s="286">
        <f>SUM(EIA_electricity_aeo2014!U50,EIA_electricity_aeo2014!U55)*1000</f>
        <v>74.489875844017618</v>
      </c>
      <c r="T46" s="286">
        <f>SUM(EIA_electricity_aeo2014!V50,EIA_electricity_aeo2014!V55)*1000</f>
        <v>74.447384525188298</v>
      </c>
      <c r="U46" s="286">
        <f>SUM(EIA_electricity_aeo2014!W50,EIA_electricity_aeo2014!W55)*1000</f>
        <v>74.376007926315594</v>
      </c>
      <c r="V46" s="286">
        <f>SUM(EIA_electricity_aeo2014!X50,EIA_electricity_aeo2014!X55)*1000</f>
        <v>74.328719523133543</v>
      </c>
      <c r="W46" s="286">
        <f>SUM(EIA_electricity_aeo2014!Y50,EIA_electricity_aeo2014!Y55)*1000</f>
        <v>74.303743924975578</v>
      </c>
      <c r="X46" s="286">
        <f>SUM(EIA_electricity_aeo2014!Z50,EIA_electricity_aeo2014!Z55)*1000</f>
        <v>74.275703451814749</v>
      </c>
      <c r="Y46" s="286">
        <f>SUM(EIA_electricity_aeo2014!AA50,EIA_electricity_aeo2014!AA55)*1000</f>
        <v>74.270261261910733</v>
      </c>
      <c r="Z46" s="286">
        <f>SUM(EIA_electricity_aeo2014!AB50,EIA_electricity_aeo2014!AB55)*1000</f>
        <v>74.246950655178892</v>
      </c>
      <c r="AA46" s="286">
        <f>SUM(EIA_electricity_aeo2014!AC50,EIA_electricity_aeo2014!AC55)*1000</f>
        <v>74.215101668695311</v>
      </c>
      <c r="AB46" s="286">
        <f>SUM(EIA_electricity_aeo2014!AD50,EIA_electricity_aeo2014!AD55)*1000</f>
        <v>74.186644947677976</v>
      </c>
      <c r="AC46" s="286">
        <f>SUM(EIA_electricity_aeo2014!AE50,EIA_electricity_aeo2014!AE55)*1000</f>
        <v>74.169040955345508</v>
      </c>
      <c r="AD46" s="286">
        <f>SUM(EIA_electricity_aeo2014!AF50,EIA_electricity_aeo2014!AF55)*1000</f>
        <v>74.197473986831483</v>
      </c>
      <c r="AE46" s="286">
        <f>SUM(EIA_electricity_aeo2014!AG50,EIA_electricity_aeo2014!AG55)*1000</f>
        <v>74.160559977107752</v>
      </c>
      <c r="AF46" s="286">
        <f>SUM(EIA_electricity_aeo2014!AH50,EIA_electricity_aeo2014!AH55)*1000</f>
        <v>74.1393108250072</v>
      </c>
      <c r="AG46" s="286">
        <f>SUM(EIA_electricity_aeo2014!AI50,EIA_electricity_aeo2014!AI55)*1000</f>
        <v>74.120123322781964</v>
      </c>
      <c r="AH46" s="286">
        <f>SUM(EIA_electricity_aeo2014!AJ50,EIA_electricity_aeo2014!AJ55)*1000</f>
        <v>74.092799522673971</v>
      </c>
      <c r="AI46" s="292"/>
    </row>
    <row r="47" spans="1:36" s="252" customFormat="1">
      <c r="A47" s="10" t="s">
        <v>142</v>
      </c>
      <c r="B47" s="37"/>
      <c r="C47" s="330">
        <f>(C$14-C$43-C$46)*0.7</f>
        <v>29379.000000000004</v>
      </c>
      <c r="D47" s="330">
        <f>(D$14-D$30-D$43-D$46)*EIA_electricity_aeo2014!F60</f>
        <v>33904.858820982598</v>
      </c>
      <c r="E47" s="330">
        <f>(E$14-E$30-E$43-E$46)*EIA_electricity_aeo2014!G60</f>
        <v>34836.645065395962</v>
      </c>
      <c r="F47" s="330">
        <f>(F$14-F$30-F$43-F$46)*EIA_electricity_aeo2014!H60</f>
        <v>34741.34150245718</v>
      </c>
      <c r="G47" s="330">
        <f>(G$14-G$30-G$43-G$46)*EIA_electricity_aeo2014!I60</f>
        <v>31963.902280423023</v>
      </c>
      <c r="H47" s="286">
        <f>(H$14-H$30-H$43-H$46)*EIA_electricity_aeo2014!J60</f>
        <v>33771.215021646894</v>
      </c>
      <c r="I47" s="286">
        <f>(I$14-I$30-I$43-I$46)*EIA_electricity_aeo2014!K60</f>
        <v>36418.174797954649</v>
      </c>
      <c r="J47" s="286">
        <f>(J$14-J$30-J$43-J$46)*EIA_electricity_aeo2014!L60</f>
        <v>36003.113952820408</v>
      </c>
      <c r="K47" s="286">
        <f>(K$14-K$30-K$43-K$46)*EIA_electricity_aeo2014!M60</f>
        <v>36779.877219044931</v>
      </c>
      <c r="L47" s="286">
        <f>(L$14-L$30-L$43-L$46)*EIA_electricity_aeo2014!N60</f>
        <v>36538.99004857408</v>
      </c>
      <c r="M47" s="286">
        <f>(M$14-M$30-M$43-M$46)*EIA_electricity_aeo2014!O60</f>
        <v>35864.912711864228</v>
      </c>
      <c r="N47" s="287">
        <f>(N$14-N$43-N$46)*EIA_electricity_aeo2014!P60 - N30</f>
        <v>35087.451661869047</v>
      </c>
      <c r="O47" s="286">
        <f>(O$14-O$43-O$46)*EIA_electricity_aeo2014!Q60 - O30</f>
        <v>34016.656159009231</v>
      </c>
      <c r="P47" s="286">
        <f>(P$14-P$43-P$46)*EIA_electricity_aeo2014!R60 - P30</f>
        <v>33540.394231241808</v>
      </c>
      <c r="Q47" s="286">
        <f>(Q$14-Q$43-Q$46)*EIA_electricity_aeo2014!S60 - Q30</f>
        <v>33534.301617076089</v>
      </c>
      <c r="R47" s="286">
        <f>(R$14-R$43-R$46)*EIA_electricity_aeo2014!T60 - R30</f>
        <v>33532.616059522203</v>
      </c>
      <c r="S47" s="286">
        <f>(S$14-S$43-S$46)*EIA_electricity_aeo2014!U60 - S30</f>
        <v>33501.823174080324</v>
      </c>
      <c r="T47" s="286">
        <f>(T$14-T$43-T$46)*EIA_electricity_aeo2014!V60 - T30</f>
        <v>33374.882759791435</v>
      </c>
      <c r="U47" s="286">
        <f>(U$14-U$43-U$46)*EIA_electricity_aeo2014!W60 - U30</f>
        <v>33302.845639099549</v>
      </c>
      <c r="V47" s="286">
        <f>(V$14-V$43-V$46)*EIA_electricity_aeo2014!X60 - V30</f>
        <v>33205.601454684504</v>
      </c>
      <c r="W47" s="286">
        <f>(W$14-W$43-W$46)*EIA_electricity_aeo2014!Y60 - W30</f>
        <v>33074.062273792653</v>
      </c>
      <c r="X47" s="287">
        <f>(X$14-X$43-X$46)*EIA_electricity_aeo2014!Z60 - X30</f>
        <v>32969.502676408374</v>
      </c>
      <c r="Y47" s="286">
        <f>(Y$14-Y$43-Y$46)*EIA_electricity_aeo2014!AA60 - Y30</f>
        <v>32921.044379778497</v>
      </c>
      <c r="Z47" s="286">
        <f>(Z$14-Z$43-Z$46)*EIA_electricity_aeo2014!AB60 - Z30</f>
        <v>32805.605704050482</v>
      </c>
      <c r="AA47" s="286">
        <f>(AA$14-AA$43-AA$46)*EIA_electricity_aeo2014!AC60 - AA30</f>
        <v>32771.286799951617</v>
      </c>
      <c r="AB47" s="286">
        <f>(AB$14-AB$43-AB$46)*EIA_electricity_aeo2014!AD60 - AB30</f>
        <v>32738.351321061509</v>
      </c>
      <c r="AC47" s="286">
        <f>(AC$14-AC$43-AC$46)*EIA_electricity_aeo2014!AE60 - AC30</f>
        <v>32619.525420477737</v>
      </c>
      <c r="AD47" s="286">
        <f>(AD$14-AD$43-AD$46)*EIA_electricity_aeo2014!AF60 - AD30</f>
        <v>32568.460608257727</v>
      </c>
      <c r="AE47" s="286">
        <f>(AE$14-AE$43-AE$46)*EIA_electricity_aeo2014!AG60 - AE30</f>
        <v>32473.486654921588</v>
      </c>
      <c r="AF47" s="286">
        <f>(AF$14-AF$43-AF$46)*EIA_electricity_aeo2014!AH60 - AF30</f>
        <v>32350.955601677622</v>
      </c>
      <c r="AG47" s="286">
        <f>(AG$14-AG$43-AG$46)*EIA_electricity_aeo2014!AI60 - AG30</f>
        <v>32209.653172630955</v>
      </c>
      <c r="AH47" s="287">
        <f>(AH$14-AH$43-AH$46)*EIA_electricity_aeo2014!AJ60 - AH30</f>
        <v>32036.688119546387</v>
      </c>
      <c r="AI47" s="292"/>
      <c r="AJ47" s="398"/>
    </row>
    <row r="48" spans="1:36" s="252" customFormat="1">
      <c r="A48" s="10" t="s">
        <v>222</v>
      </c>
      <c r="B48" s="37"/>
      <c r="C48" s="330">
        <f>(C$14-C$43-C$46)* 0.3</f>
        <v>12591.000000000002</v>
      </c>
      <c r="D48" s="330">
        <f t="shared" ref="D48:AH48" si="32">(D$14-SUM(D30:D42,D46:D47))</f>
        <v>6426.1638925754596</v>
      </c>
      <c r="E48" s="330">
        <f t="shared" si="32"/>
        <v>6590.5324458214091</v>
      </c>
      <c r="F48" s="330">
        <f>(F$14-SUM(F30:F42,F46:F47))</f>
        <v>7850.2397156162406</v>
      </c>
      <c r="G48" s="330">
        <f t="shared" si="32"/>
        <v>9647.0756401951076</v>
      </c>
      <c r="H48" s="286">
        <f t="shared" si="32"/>
        <v>9618.1958783530936</v>
      </c>
      <c r="I48" s="286">
        <f t="shared" si="32"/>
        <v>6192.5196765473884</v>
      </c>
      <c r="J48" s="286">
        <f t="shared" si="32"/>
        <v>6656.9492125654288</v>
      </c>
      <c r="K48" s="286">
        <f t="shared" si="32"/>
        <v>6560.6207443892054</v>
      </c>
      <c r="L48" s="286">
        <f t="shared" si="32"/>
        <v>7149.4631361705833</v>
      </c>
      <c r="M48" s="286">
        <f t="shared" si="32"/>
        <v>7309.6233426397885</v>
      </c>
      <c r="N48" s="287">
        <f t="shared" si="32"/>
        <v>7454.1581650723383</v>
      </c>
      <c r="O48" s="286">
        <f t="shared" si="32"/>
        <v>8559.5903215351209</v>
      </c>
      <c r="P48" s="286">
        <f t="shared" si="32"/>
        <v>9586.1780328556488</v>
      </c>
      <c r="Q48" s="286">
        <f t="shared" si="32"/>
        <v>10266.9441011702</v>
      </c>
      <c r="R48" s="286">
        <f t="shared" si="32"/>
        <v>10537.535743750756</v>
      </c>
      <c r="S48" s="286">
        <f t="shared" si="32"/>
        <v>11064.503737233463</v>
      </c>
      <c r="T48" s="286">
        <f t="shared" si="32"/>
        <v>11800.686670194082</v>
      </c>
      <c r="U48" s="286">
        <f t="shared" si="32"/>
        <v>12224.675802784914</v>
      </c>
      <c r="V48" s="286">
        <f t="shared" si="32"/>
        <v>12508.769689355577</v>
      </c>
      <c r="W48" s="286">
        <f t="shared" si="32"/>
        <v>13125.751751538541</v>
      </c>
      <c r="X48" s="287">
        <f t="shared" si="32"/>
        <v>13678.210579620674</v>
      </c>
      <c r="Y48" s="286">
        <f t="shared" si="32"/>
        <v>13666.82488740726</v>
      </c>
      <c r="Z48" s="286">
        <f t="shared" si="32"/>
        <v>14223.880926596219</v>
      </c>
      <c r="AA48" s="286">
        <f t="shared" si="32"/>
        <v>14485.889992380537</v>
      </c>
      <c r="AB48" s="286">
        <f t="shared" si="32"/>
        <v>14620.168120132337</v>
      </c>
      <c r="AC48" s="286">
        <f t="shared" si="32"/>
        <v>14752.533685624854</v>
      </c>
      <c r="AD48" s="286">
        <f t="shared" si="32"/>
        <v>14643.782226113733</v>
      </c>
      <c r="AE48" s="286">
        <f t="shared" si="32"/>
        <v>14664.591644926906</v>
      </c>
      <c r="AF48" s="286">
        <f t="shared" si="32"/>
        <v>14861.471180007306</v>
      </c>
      <c r="AG48" s="286">
        <f t="shared" si="32"/>
        <v>15365.139447006753</v>
      </c>
      <c r="AH48" s="287">
        <f t="shared" si="32"/>
        <v>15790.367996557441</v>
      </c>
      <c r="AI48" s="292"/>
    </row>
    <row r="49" spans="1:35" s="252" customFormat="1">
      <c r="A49" s="10" t="s">
        <v>334</v>
      </c>
      <c r="B49" s="37"/>
      <c r="C49" s="330">
        <f>SUM(C43,C46:C48)</f>
        <v>43515.000000000007</v>
      </c>
      <c r="D49" s="330">
        <f t="shared" ref="D49:M49" si="33">SUM(D43,D46:D48)+D30</f>
        <v>42211.999999999993</v>
      </c>
      <c r="E49" s="330">
        <f t="shared" si="33"/>
        <v>43478.526499121494</v>
      </c>
      <c r="F49" s="330">
        <f t="shared" si="33"/>
        <v>44955.646307727089</v>
      </c>
      <c r="G49" s="330">
        <f t="shared" si="33"/>
        <v>44263.572856236467</v>
      </c>
      <c r="H49" s="286">
        <f>SUM(H43,H46:H48)+H30</f>
        <v>45354.139764398707</v>
      </c>
      <c r="I49" s="286">
        <f t="shared" si="33"/>
        <v>44841.913083308064</v>
      </c>
      <c r="J49" s="286">
        <f t="shared" si="33"/>
        <v>45272.386252021148</v>
      </c>
      <c r="K49" s="286">
        <f t="shared" si="33"/>
        <v>46486.390751616978</v>
      </c>
      <c r="L49" s="286">
        <f t="shared" si="33"/>
        <v>47498.684263735238</v>
      </c>
      <c r="M49" s="286">
        <f t="shared" si="33"/>
        <v>47762.89614335759</v>
      </c>
      <c r="N49" s="287">
        <f t="shared" ref="N49:AH49" si="34">SUM(N43,N46:N48)+N30</f>
        <v>48130.366417613513</v>
      </c>
      <c r="O49" s="286">
        <f t="shared" si="34"/>
        <v>48262.37318055526</v>
      </c>
      <c r="P49" s="286">
        <f t="shared" si="34"/>
        <v>48981.768843099046</v>
      </c>
      <c r="Q49" s="286">
        <f t="shared" si="34"/>
        <v>49847.639037238376</v>
      </c>
      <c r="R49" s="286">
        <f t="shared" si="34"/>
        <v>50257.218029906719</v>
      </c>
      <c r="S49" s="286">
        <f t="shared" si="34"/>
        <v>50929.786186963349</v>
      </c>
      <c r="T49" s="286">
        <f t="shared" si="34"/>
        <v>51736.442507826134</v>
      </c>
      <c r="U49" s="286">
        <f t="shared" si="34"/>
        <v>52254.032121547571</v>
      </c>
      <c r="V49" s="286">
        <f t="shared" si="34"/>
        <v>52586.658865465281</v>
      </c>
      <c r="W49" s="286">
        <f t="shared" si="34"/>
        <v>53266.742267002141</v>
      </c>
      <c r="X49" s="287">
        <f t="shared" si="34"/>
        <v>53909.076563730283</v>
      </c>
      <c r="Y49" s="286">
        <f t="shared" si="34"/>
        <v>54005.787057807378</v>
      </c>
      <c r="Z49" s="286">
        <f t="shared" si="34"/>
        <v>54688.88383395534</v>
      </c>
      <c r="AA49" s="286">
        <f t="shared" si="34"/>
        <v>55131.22350183448</v>
      </c>
      <c r="AB49" s="286">
        <f t="shared" si="34"/>
        <v>55432.980482098166</v>
      </c>
      <c r="AC49" s="286">
        <f t="shared" si="34"/>
        <v>55638.10494574139</v>
      </c>
      <c r="AD49" s="286">
        <f t="shared" si="34"/>
        <v>55645.168051949571</v>
      </c>
      <c r="AE49" s="286">
        <f t="shared" si="34"/>
        <v>55757.79470284206</v>
      </c>
      <c r="AF49" s="286">
        <f t="shared" si="34"/>
        <v>56051.82152548086</v>
      </c>
      <c r="AG49" s="286">
        <f t="shared" si="34"/>
        <v>56695.317299609727</v>
      </c>
      <c r="AH49" s="287">
        <f t="shared" si="34"/>
        <v>57217.234542855367</v>
      </c>
      <c r="AI49" s="292"/>
    </row>
    <row r="50" spans="1:35">
      <c r="A50" s="10"/>
      <c r="B50" s="37"/>
      <c r="C50" s="332" t="b">
        <f t="shared" ref="C50:AH50" si="35">(C49=C14)</f>
        <v>1</v>
      </c>
      <c r="D50" s="332" t="b">
        <f t="shared" si="35"/>
        <v>1</v>
      </c>
      <c r="E50" s="332" t="b">
        <f t="shared" si="35"/>
        <v>1</v>
      </c>
      <c r="F50" s="332" t="b">
        <f t="shared" si="35"/>
        <v>1</v>
      </c>
      <c r="G50" s="332" t="b">
        <f t="shared" si="35"/>
        <v>1</v>
      </c>
      <c r="H50" s="284" t="b">
        <f t="shared" si="35"/>
        <v>1</v>
      </c>
      <c r="I50" s="91" t="b">
        <f t="shared" si="35"/>
        <v>1</v>
      </c>
      <c r="J50" s="91" t="b">
        <f t="shared" si="35"/>
        <v>1</v>
      </c>
      <c r="K50" s="91" t="b">
        <f t="shared" si="35"/>
        <v>1</v>
      </c>
      <c r="L50" s="91" t="b">
        <f t="shared" si="35"/>
        <v>1</v>
      </c>
      <c r="M50" s="91" t="b">
        <f t="shared" si="35"/>
        <v>1</v>
      </c>
      <c r="N50" s="185"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5" t="b">
        <f t="shared" si="35"/>
        <v>1</v>
      </c>
      <c r="Y50" s="172" t="b">
        <f t="shared" si="35"/>
        <v>1</v>
      </c>
      <c r="Z50" s="172" t="b">
        <f t="shared" si="35"/>
        <v>1</v>
      </c>
      <c r="AA50" s="172" t="b">
        <f t="shared" si="35"/>
        <v>1</v>
      </c>
      <c r="AB50" s="172" t="b">
        <f t="shared" si="35"/>
        <v>1</v>
      </c>
      <c r="AC50" s="172" t="b">
        <f t="shared" si="35"/>
        <v>1</v>
      </c>
      <c r="AD50" s="172" t="b">
        <f t="shared" si="35"/>
        <v>1</v>
      </c>
      <c r="AE50" s="172" t="b">
        <f t="shared" si="35"/>
        <v>1</v>
      </c>
      <c r="AF50" s="172" t="b">
        <f t="shared" si="35"/>
        <v>1</v>
      </c>
      <c r="AG50" s="172" t="b">
        <f t="shared" si="35"/>
        <v>1</v>
      </c>
      <c r="AH50" s="185" t="b">
        <f t="shared" si="35"/>
        <v>1</v>
      </c>
      <c r="AI50" s="127"/>
    </row>
    <row r="51" spans="1:35">
      <c r="A51" s="10" t="s">
        <v>543</v>
      </c>
      <c r="B51" s="37"/>
      <c r="C51" s="332"/>
      <c r="D51" s="332">
        <f>D44/C44-1</f>
        <v>0.77687451779876726</v>
      </c>
      <c r="E51" s="332">
        <f t="shared" ref="E51:X51" si="36">E44/D44-1</f>
        <v>0.35064834693872005</v>
      </c>
      <c r="F51" s="332">
        <f t="shared" si="36"/>
        <v>0.24824158681899511</v>
      </c>
      <c r="G51" s="332">
        <f>G44/F44-1</f>
        <v>0.24091257520202669</v>
      </c>
      <c r="H51" s="284"/>
      <c r="I51" s="164">
        <f t="shared" ref="I51:N51" si="37">I44/H44-1</f>
        <v>0.22239160796733848</v>
      </c>
      <c r="J51" s="172">
        <f t="shared" si="37"/>
        <v>0.25083806371432149</v>
      </c>
      <c r="K51" s="172">
        <f t="shared" si="37"/>
        <v>0.27502764238970645</v>
      </c>
      <c r="L51" s="172">
        <f t="shared" si="37"/>
        <v>0.27184578950997262</v>
      </c>
      <c r="M51" s="172">
        <f t="shared" si="37"/>
        <v>0.25486601278733345</v>
      </c>
      <c r="N51" s="172">
        <f t="shared" si="37"/>
        <v>0.26081946126737621</v>
      </c>
      <c r="O51" s="172">
        <f t="shared" ref="O51:R51" si="38">O44/N44-1</f>
        <v>2.1369221800406457E-2</v>
      </c>
      <c r="P51" s="172">
        <f t="shared" si="38"/>
        <v>3.372812760674071E-2</v>
      </c>
      <c r="Q51" s="172">
        <f t="shared" si="38"/>
        <v>3.6534149059808563E-2</v>
      </c>
      <c r="R51" s="172">
        <f t="shared" si="38"/>
        <v>2.690600428775225E-2</v>
      </c>
      <c r="S51" s="164">
        <f t="shared" si="36"/>
        <v>3.2147692477933809E-2</v>
      </c>
      <c r="T51" s="164">
        <f t="shared" si="36"/>
        <v>3.4634139440588685E-2</v>
      </c>
      <c r="U51" s="164">
        <f t="shared" si="36"/>
        <v>2.8696426443030498E-2</v>
      </c>
      <c r="V51" s="164">
        <f t="shared" si="36"/>
        <v>2.4991577435265144E-2</v>
      </c>
      <c r="W51" s="164">
        <f t="shared" si="36"/>
        <v>3.1656262045689054E-2</v>
      </c>
      <c r="X51" s="185">
        <f t="shared" si="36"/>
        <v>3.076098400189875E-2</v>
      </c>
      <c r="Y51" s="172">
        <f t="shared" ref="Y51:AH51" si="39">Y44/X44-1</f>
        <v>2.4489844038164454E-2</v>
      </c>
      <c r="Z51" s="172">
        <f t="shared" si="39"/>
        <v>3.5553514288069188E-2</v>
      </c>
      <c r="AA51" s="172">
        <f t="shared" si="39"/>
        <v>3.0896169427699016E-2</v>
      </c>
      <c r="AB51" s="172">
        <f t="shared" si="39"/>
        <v>2.8223692172957282E-2</v>
      </c>
      <c r="AC51" s="172">
        <f t="shared" si="39"/>
        <v>2.641032551416056E-2</v>
      </c>
      <c r="AD51" s="172">
        <f t="shared" si="39"/>
        <v>2.2761874964325246E-2</v>
      </c>
      <c r="AE51" s="172">
        <f t="shared" si="39"/>
        <v>2.4691470967775464E-2</v>
      </c>
      <c r="AF51" s="172">
        <f t="shared" si="39"/>
        <v>2.7999395953512307E-2</v>
      </c>
      <c r="AG51" s="172">
        <f t="shared" si="39"/>
        <v>3.4322264372975253E-2</v>
      </c>
      <c r="AH51" s="185">
        <f t="shared" si="39"/>
        <v>3.1998764006883285E-2</v>
      </c>
      <c r="AI51" s="127"/>
    </row>
    <row r="52" spans="1:35">
      <c r="A52" s="10"/>
      <c r="B52" s="37"/>
      <c r="C52" s="332"/>
      <c r="D52" s="332"/>
      <c r="E52" s="332"/>
      <c r="F52" s="332"/>
      <c r="G52" s="332"/>
      <c r="H52" s="284"/>
      <c r="I52" s="172"/>
      <c r="J52" s="172"/>
      <c r="K52" s="172"/>
      <c r="L52" s="172"/>
      <c r="M52" s="172"/>
      <c r="N52" s="185"/>
      <c r="O52" s="172"/>
      <c r="P52" s="172"/>
      <c r="Q52" s="172"/>
      <c r="R52" s="172"/>
      <c r="S52" s="172"/>
      <c r="T52" s="172"/>
      <c r="U52" s="172"/>
      <c r="V52" s="172"/>
      <c r="W52" s="172"/>
      <c r="X52" s="185"/>
      <c r="Y52" s="20"/>
      <c r="Z52" s="20"/>
      <c r="AA52" s="20"/>
      <c r="AB52" s="20"/>
      <c r="AC52" s="20"/>
      <c r="AD52" s="20"/>
      <c r="AE52" s="20"/>
      <c r="AF52" s="20"/>
      <c r="AG52" s="20"/>
      <c r="AH52" s="279"/>
      <c r="AI52" s="127"/>
    </row>
    <row r="53" spans="1:35">
      <c r="A53" s="1" t="s">
        <v>542</v>
      </c>
      <c r="B53" s="37"/>
      <c r="C53" s="332"/>
      <c r="D53" s="332"/>
      <c r="E53" s="332"/>
      <c r="F53" s="332"/>
      <c r="G53" s="332"/>
      <c r="H53" s="284"/>
      <c r="I53" s="164"/>
      <c r="J53" s="164"/>
      <c r="K53" s="164"/>
      <c r="L53" s="164"/>
      <c r="M53" s="164"/>
      <c r="N53" s="184" t="s">
        <v>0</v>
      </c>
      <c r="O53" s="174" t="s">
        <v>0</v>
      </c>
      <c r="P53" s="164"/>
      <c r="Q53" s="164"/>
      <c r="R53" s="164"/>
      <c r="S53" s="164"/>
      <c r="T53" s="164"/>
      <c r="U53" s="164"/>
      <c r="V53" s="164"/>
      <c r="W53" s="164"/>
      <c r="X53" s="185"/>
      <c r="Y53" s="20"/>
      <c r="Z53" s="20"/>
      <c r="AA53" s="20"/>
      <c r="AB53" s="20"/>
      <c r="AC53" s="20"/>
      <c r="AD53" s="20"/>
      <c r="AE53" s="20"/>
      <c r="AF53" s="20"/>
      <c r="AG53" s="20"/>
      <c r="AH53" s="279"/>
      <c r="AI53" s="127"/>
    </row>
    <row r="54" spans="1:35">
      <c r="A54" s="9" t="s">
        <v>282</v>
      </c>
      <c r="B54" s="37"/>
      <c r="C54" s="332"/>
      <c r="D54" s="332"/>
      <c r="E54" s="332"/>
      <c r="F54" s="332"/>
      <c r="G54" s="332"/>
      <c r="H54" s="284"/>
      <c r="I54" s="164"/>
      <c r="J54" s="164"/>
      <c r="K54" s="164"/>
      <c r="L54" s="164"/>
      <c r="M54" s="164"/>
      <c r="N54" s="185" t="s">
        <v>0</v>
      </c>
      <c r="O54" s="164"/>
      <c r="P54" s="164"/>
      <c r="Q54" s="164"/>
      <c r="R54" s="164"/>
      <c r="S54" s="164"/>
      <c r="T54" s="164"/>
      <c r="U54" s="164"/>
      <c r="V54" s="164"/>
      <c r="W54" s="164"/>
      <c r="X54" s="185"/>
      <c r="Y54" s="20"/>
      <c r="Z54" s="20"/>
      <c r="AA54" s="20"/>
      <c r="AB54" s="20"/>
      <c r="AC54" s="20"/>
      <c r="AD54" s="20"/>
      <c r="AE54" s="20"/>
      <c r="AF54" s="20"/>
      <c r="AG54" s="20"/>
      <c r="AH54" s="279"/>
      <c r="AI54" s="127"/>
    </row>
    <row r="55" spans="1:35">
      <c r="A55" s="20" t="s">
        <v>122</v>
      </c>
      <c r="B55" s="37"/>
      <c r="C55" s="332"/>
      <c r="D55" s="332"/>
      <c r="E55" s="332"/>
      <c r="F55" s="332"/>
      <c r="G55" s="332"/>
      <c r="H55" s="284"/>
      <c r="I55" s="164"/>
      <c r="J55" s="164"/>
      <c r="K55" s="164"/>
      <c r="L55" s="164"/>
      <c r="M55" s="164"/>
      <c r="N55" s="185"/>
      <c r="O55" s="164"/>
      <c r="P55" s="164"/>
      <c r="Q55" s="164"/>
      <c r="R55" s="164"/>
      <c r="S55" s="164"/>
      <c r="T55" s="164"/>
      <c r="U55" s="164"/>
      <c r="V55" s="164"/>
      <c r="W55" s="164"/>
      <c r="X55" s="185"/>
      <c r="Y55" s="20"/>
      <c r="Z55" s="20"/>
      <c r="AA55" s="20"/>
      <c r="AB55" s="20"/>
      <c r="AC55" s="20"/>
      <c r="AD55" s="20"/>
      <c r="AE55" s="20"/>
      <c r="AF55" s="20"/>
      <c r="AG55" s="20"/>
      <c r="AH55" s="279"/>
      <c r="AI55" s="127"/>
    </row>
    <row r="56" spans="1:35">
      <c r="A56" s="9" t="s">
        <v>49</v>
      </c>
      <c r="B56" s="37"/>
      <c r="C56" s="336">
        <f t="shared" ref="C56:M56" si="40">C31/C$49</f>
        <v>1.9188555670458459E-2</v>
      </c>
      <c r="D56" s="336">
        <f t="shared" si="40"/>
        <v>1.8753473598236519E-2</v>
      </c>
      <c r="E56" s="336">
        <f t="shared" si="40"/>
        <v>1.8318391526014579E-2</v>
      </c>
      <c r="F56" s="336">
        <f t="shared" si="40"/>
        <v>1.7883309453792639E-2</v>
      </c>
      <c r="G56" s="336">
        <f t="shared" si="40"/>
        <v>1.7448227381570699E-2</v>
      </c>
      <c r="H56" s="396">
        <f t="shared" si="40"/>
        <v>1.4660363927227639E-2</v>
      </c>
      <c r="I56" s="173">
        <f t="shared" si="40"/>
        <v>1.4617412085359221E-2</v>
      </c>
      <c r="J56" s="173">
        <f t="shared" si="40"/>
        <v>1.4574460243490805E-2</v>
      </c>
      <c r="K56" s="173">
        <f t="shared" si="40"/>
        <v>1.4531508401622385E-2</v>
      </c>
      <c r="L56" s="173">
        <f t="shared" si="40"/>
        <v>1.4488556559753967E-2</v>
      </c>
      <c r="M56" s="173">
        <f t="shared" si="40"/>
        <v>1.4445604717885549E-2</v>
      </c>
      <c r="N56" s="178">
        <f>N26</f>
        <v>1.4402652876017134E-2</v>
      </c>
      <c r="O56" s="116">
        <f t="shared" ref="O56:AH56" si="41">O31/O$49</f>
        <v>1.4262722265402662E-2</v>
      </c>
      <c r="P56" s="116">
        <f t="shared" si="41"/>
        <v>1.4122791654788193E-2</v>
      </c>
      <c r="Q56" s="116">
        <f t="shared" si="41"/>
        <v>1.3982861044173723E-2</v>
      </c>
      <c r="R56" s="116">
        <f t="shared" si="41"/>
        <v>1.3842930433559253E-2</v>
      </c>
      <c r="S56" s="116">
        <f t="shared" si="41"/>
        <v>1.3702999822944782E-2</v>
      </c>
      <c r="T56" s="116">
        <f t="shared" si="41"/>
        <v>1.3563069212330314E-2</v>
      </c>
      <c r="U56" s="116">
        <f t="shared" si="41"/>
        <v>1.3423138601715841E-2</v>
      </c>
      <c r="V56" s="116">
        <f t="shared" si="41"/>
        <v>1.3283207991101371E-2</v>
      </c>
      <c r="W56" s="116">
        <f t="shared" si="41"/>
        <v>1.3143277380486901E-2</v>
      </c>
      <c r="X56" s="178">
        <f t="shared" si="41"/>
        <v>1.3003346769872427E-2</v>
      </c>
      <c r="Y56" s="173">
        <f t="shared" si="41"/>
        <v>1.2937780692670271E-2</v>
      </c>
      <c r="Z56" s="173">
        <f t="shared" si="41"/>
        <v>1.2872214615468116E-2</v>
      </c>
      <c r="AA56" s="173">
        <f t="shared" si="41"/>
        <v>1.280664853826596E-2</v>
      </c>
      <c r="AB56" s="173">
        <f t="shared" si="41"/>
        <v>1.2741082461063804E-2</v>
      </c>
      <c r="AC56" s="173">
        <f t="shared" si="41"/>
        <v>1.2675516383861647E-2</v>
      </c>
      <c r="AD56" s="173">
        <f t="shared" si="41"/>
        <v>1.2609950306659495E-2</v>
      </c>
      <c r="AE56" s="173">
        <f t="shared" si="41"/>
        <v>1.2544384229457337E-2</v>
      </c>
      <c r="AF56" s="173">
        <f t="shared" si="41"/>
        <v>1.2478818152255182E-2</v>
      </c>
      <c r="AG56" s="173">
        <f t="shared" si="41"/>
        <v>1.2413252075053026E-2</v>
      </c>
      <c r="AH56" s="178">
        <f t="shared" si="41"/>
        <v>1.2347685997850874E-2</v>
      </c>
      <c r="AI56" s="127"/>
    </row>
    <row r="57" spans="1:35">
      <c r="A57" s="9" t="s">
        <v>59</v>
      </c>
      <c r="B57" s="37"/>
      <c r="C57" s="336">
        <f t="shared" ref="C57:M57" si="42">C32/C$49</f>
        <v>0</v>
      </c>
      <c r="D57" s="336">
        <f t="shared" si="42"/>
        <v>0</v>
      </c>
      <c r="E57" s="336">
        <f t="shared" si="42"/>
        <v>0</v>
      </c>
      <c r="F57" s="336">
        <f t="shared" si="42"/>
        <v>0</v>
      </c>
      <c r="G57" s="336">
        <f t="shared" si="42"/>
        <v>0</v>
      </c>
      <c r="H57" s="396">
        <f t="shared" si="42"/>
        <v>0</v>
      </c>
      <c r="I57" s="116">
        <f t="shared" si="42"/>
        <v>0</v>
      </c>
      <c r="J57" s="116">
        <f t="shared" si="42"/>
        <v>0</v>
      </c>
      <c r="K57" s="116">
        <f t="shared" si="42"/>
        <v>0</v>
      </c>
      <c r="L57" s="116">
        <f t="shared" si="42"/>
        <v>0</v>
      </c>
      <c r="M57" s="116">
        <f t="shared" si="42"/>
        <v>0</v>
      </c>
      <c r="N57" s="178">
        <f>N18</f>
        <v>0</v>
      </c>
      <c r="O57" s="116">
        <f t="shared" ref="O57:AH57" si="43">O32/O$49</f>
        <v>0</v>
      </c>
      <c r="P57" s="116">
        <f t="shared" si="43"/>
        <v>0</v>
      </c>
      <c r="Q57" s="116">
        <f t="shared" si="43"/>
        <v>0</v>
      </c>
      <c r="R57" s="116">
        <f t="shared" si="43"/>
        <v>0</v>
      </c>
      <c r="S57" s="116">
        <f t="shared" si="43"/>
        <v>0</v>
      </c>
      <c r="T57" s="116">
        <f t="shared" si="43"/>
        <v>0</v>
      </c>
      <c r="U57" s="116">
        <f t="shared" si="43"/>
        <v>0</v>
      </c>
      <c r="V57" s="116">
        <f t="shared" si="43"/>
        <v>0</v>
      </c>
      <c r="W57" s="116">
        <f>W32/W$49</f>
        <v>0</v>
      </c>
      <c r="X57" s="178">
        <f t="shared" si="43"/>
        <v>0</v>
      </c>
      <c r="Y57" s="173">
        <f t="shared" si="43"/>
        <v>0</v>
      </c>
      <c r="Z57" s="173">
        <f t="shared" si="43"/>
        <v>0</v>
      </c>
      <c r="AA57" s="173">
        <f t="shared" si="43"/>
        <v>0</v>
      </c>
      <c r="AB57" s="173">
        <f t="shared" si="43"/>
        <v>0</v>
      </c>
      <c r="AC57" s="173">
        <f t="shared" si="43"/>
        <v>0</v>
      </c>
      <c r="AD57" s="173">
        <f t="shared" si="43"/>
        <v>0</v>
      </c>
      <c r="AE57" s="173">
        <f t="shared" si="43"/>
        <v>0</v>
      </c>
      <c r="AF57" s="173">
        <f t="shared" si="43"/>
        <v>0</v>
      </c>
      <c r="AG57" s="173">
        <f t="shared" si="43"/>
        <v>0</v>
      </c>
      <c r="AH57" s="178">
        <f t="shared" si="43"/>
        <v>0</v>
      </c>
      <c r="AI57" s="127"/>
    </row>
    <row r="58" spans="1:35">
      <c r="A58" s="9" t="s">
        <v>121</v>
      </c>
      <c r="B58" s="37"/>
      <c r="C58" s="336">
        <f>C34/C$49</f>
        <v>0</v>
      </c>
      <c r="D58" s="336">
        <f t="shared" ref="D58:G59" si="44">C58*($N71)</f>
        <v>0</v>
      </c>
      <c r="E58" s="336">
        <f t="shared" si="44"/>
        <v>0</v>
      </c>
      <c r="F58" s="336">
        <f t="shared" si="44"/>
        <v>0</v>
      </c>
      <c r="G58" s="336">
        <f t="shared" si="44"/>
        <v>0</v>
      </c>
      <c r="H58" s="396">
        <f>H34/H$49</f>
        <v>5.8395066332598376E-5</v>
      </c>
      <c r="I58" s="116">
        <f t="shared" ref="I58:N59" si="45">H58*($N71)</f>
        <v>7.4513503926935536E-5</v>
      </c>
      <c r="J58" s="116">
        <f t="shared" si="45"/>
        <v>9.5081016533925074E-5</v>
      </c>
      <c r="K58" s="116">
        <f t="shared" si="45"/>
        <v>1.2132565546762004E-4</v>
      </c>
      <c r="L58" s="116">
        <f t="shared" si="45"/>
        <v>1.5481444363182157E-4</v>
      </c>
      <c r="M58" s="116">
        <f t="shared" si="45"/>
        <v>1.9754693980142578E-4</v>
      </c>
      <c r="N58" s="178">
        <f t="shared" si="45"/>
        <v>2.5207462888744789E-4</v>
      </c>
      <c r="O58" s="116">
        <f t="shared" ref="O58:W58" si="46">N58*$X71</f>
        <v>2.5671264480146957E-4</v>
      </c>
      <c r="P58" s="116">
        <f t="shared" si="46"/>
        <v>2.6143599731486922E-4</v>
      </c>
      <c r="Q58" s="116">
        <f t="shared" si="46"/>
        <v>2.6624625656783792E-4</v>
      </c>
      <c r="R58" s="116">
        <f t="shared" si="46"/>
        <v>2.711450215901667E-4</v>
      </c>
      <c r="S58" s="116">
        <f t="shared" si="46"/>
        <v>2.7613392083279719E-4</v>
      </c>
      <c r="T58" s="116">
        <f t="shared" si="46"/>
        <v>2.8121461270915241E-4</v>
      </c>
      <c r="U58" s="116">
        <f t="shared" si="46"/>
        <v>2.8638878614642785E-4</v>
      </c>
      <c r="V58" s="116">
        <f t="shared" si="46"/>
        <v>2.9165816114702566E-4</v>
      </c>
      <c r="W58" s="116">
        <f t="shared" si="46"/>
        <v>2.970244893603192E-4</v>
      </c>
      <c r="X58" s="178">
        <f t="shared" ref="X58:X66" si="47">X34/X$49</f>
        <v>3.0248955466493748E-4</v>
      </c>
      <c r="Y58" s="173">
        <f>X58*$AH71</f>
        <v>3.0931528668952564E-4</v>
      </c>
      <c r="Z58" s="173">
        <f t="shared" ref="Z58:AG58" si="48">Y58*$AH71</f>
        <v>3.1629504260337869E-4</v>
      </c>
      <c r="AA58" s="173">
        <f t="shared" si="48"/>
        <v>3.2343229798367698E-4</v>
      </c>
      <c r="AB58" s="173">
        <f t="shared" si="48"/>
        <v>3.3073060683463457E-4</v>
      </c>
      <c r="AC58" s="173">
        <f t="shared" si="48"/>
        <v>3.3819360335721936E-4</v>
      </c>
      <c r="AD58" s="173">
        <f t="shared" si="48"/>
        <v>3.4582500375880757E-4</v>
      </c>
      <c r="AE58" s="173">
        <f t="shared" si="48"/>
        <v>3.5362860810367336E-4</v>
      </c>
      <c r="AF58" s="173">
        <f t="shared" si="48"/>
        <v>3.6160830220523493E-4</v>
      </c>
      <c r="AG58" s="173">
        <f t="shared" si="48"/>
        <v>3.6976805956099966E-4</v>
      </c>
      <c r="AH58" s="178">
        <f t="shared" ref="AH58:AH66" si="49">AH34/AH$49</f>
        <v>3.7811194333117184E-4</v>
      </c>
      <c r="AI58" s="127"/>
    </row>
    <row r="59" spans="1:35">
      <c r="A59" s="9" t="s">
        <v>50</v>
      </c>
      <c r="B59" s="37"/>
      <c r="C59" s="336">
        <f t="shared" ref="C59:C65" si="50">C35/C$49</f>
        <v>6.4115822130299885E-3</v>
      </c>
      <c r="D59" s="336">
        <f t="shared" si="44"/>
        <v>8.5415675771320435E-3</v>
      </c>
      <c r="E59" s="336">
        <f t="shared" si="44"/>
        <v>1.1379153265233522E-2</v>
      </c>
      <c r="F59" s="336">
        <f t="shared" si="44"/>
        <v>1.5159410478743909E-2</v>
      </c>
      <c r="G59" s="336">
        <f t="shared" si="44"/>
        <v>2.0195503189607011E-2</v>
      </c>
      <c r="H59" s="396">
        <f>H35/H$49</f>
        <v>7.4590160931538186E-3</v>
      </c>
      <c r="I59" s="116">
        <f t="shared" si="45"/>
        <v>9.9369684270927995E-3</v>
      </c>
      <c r="J59" s="116">
        <f t="shared" si="45"/>
        <v>1.3238118846756439E-2</v>
      </c>
      <c r="K59" s="116">
        <f t="shared" si="45"/>
        <v>1.7635941171257122E-2</v>
      </c>
      <c r="L59" s="116">
        <f t="shared" si="45"/>
        <v>2.3494759685757673E-2</v>
      </c>
      <c r="M59" s="116">
        <f t="shared" si="45"/>
        <v>3.129993048463748E-2</v>
      </c>
      <c r="N59" s="178">
        <f t="shared" si="45"/>
        <v>4.1698049328719705E-2</v>
      </c>
      <c r="O59" s="116">
        <f t="shared" ref="O59:V59" si="51">N59*$X72</f>
        <v>4.2465267422915988E-2</v>
      </c>
      <c r="P59" s="116">
        <f t="shared" si="51"/>
        <v>4.3246601851414192E-2</v>
      </c>
      <c r="Q59" s="116">
        <f t="shared" si="51"/>
        <v>4.4042312345958956E-2</v>
      </c>
      <c r="R59" s="116">
        <f t="shared" si="51"/>
        <v>4.4852663417196986E-2</v>
      </c>
      <c r="S59" s="116">
        <f t="shared" si="51"/>
        <v>4.567792444260587E-2</v>
      </c>
      <c r="T59" s="116">
        <f t="shared" si="51"/>
        <v>4.6518369756040727E-2</v>
      </c>
      <c r="U59" s="116">
        <f t="shared" si="51"/>
        <v>4.737427873892848E-2</v>
      </c>
      <c r="V59" s="116">
        <f t="shared" si="51"/>
        <v>4.8245935913139998E-2</v>
      </c>
      <c r="W59" s="116">
        <f>V59*$X72</f>
        <v>4.9133631035571085E-2</v>
      </c>
      <c r="X59" s="178">
        <f t="shared" si="47"/>
        <v>5.0037659194463652E-2</v>
      </c>
      <c r="Y59" s="173">
        <f>X59*$AH72</f>
        <v>5.1166768109240562E-2</v>
      </c>
      <c r="Z59" s="173">
        <f t="shared" ref="Z59:AG59" si="52">Y59*$AH72</f>
        <v>5.2321355572813574E-2</v>
      </c>
      <c r="AA59" s="173">
        <f t="shared" si="52"/>
        <v>5.3501996513287721E-2</v>
      </c>
      <c r="AB59" s="173">
        <f t="shared" si="52"/>
        <v>5.4709278832125695E-2</v>
      </c>
      <c r="AC59" s="173">
        <f t="shared" si="52"/>
        <v>5.5943803696894022E-2</v>
      </c>
      <c r="AD59" s="173">
        <f t="shared" si="52"/>
        <v>5.7206185840615119E-2</v>
      </c>
      <c r="AE59" s="173">
        <f t="shared" si="52"/>
        <v>5.849705386787428E-2</v>
      </c>
      <c r="AF59" s="173">
        <f t="shared" si="52"/>
        <v>5.9817050567834019E-2</v>
      </c>
      <c r="AG59" s="173">
        <f t="shared" si="52"/>
        <v>6.1166833234311664E-2</v>
      </c>
      <c r="AH59" s="178">
        <f t="shared" si="49"/>
        <v>6.2547073993079558E-2</v>
      </c>
      <c r="AI59" s="127"/>
    </row>
    <row r="60" spans="1:35">
      <c r="A60" s="9" t="s">
        <v>119</v>
      </c>
      <c r="B60" s="37"/>
      <c r="C60" s="336">
        <f t="shared" si="50"/>
        <v>0</v>
      </c>
      <c r="D60" s="336">
        <v>0</v>
      </c>
      <c r="E60" s="336">
        <v>0</v>
      </c>
      <c r="F60" s="336">
        <v>0</v>
      </c>
      <c r="G60" s="336">
        <v>0</v>
      </c>
      <c r="H60" s="396">
        <f t="shared" ref="H60:H66" si="53">H36/H$49</f>
        <v>0</v>
      </c>
      <c r="I60" s="173">
        <v>0</v>
      </c>
      <c r="J60" s="173">
        <v>0</v>
      </c>
      <c r="K60" s="173">
        <v>0</v>
      </c>
      <c r="L60" s="173">
        <v>0</v>
      </c>
      <c r="M60" s="173">
        <v>0</v>
      </c>
      <c r="N60" s="178">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8">
        <f t="shared" si="47"/>
        <v>0</v>
      </c>
      <c r="Y60" s="173">
        <f t="shared" ref="Y60:AG66" si="55">X60*$AH73</f>
        <v>0</v>
      </c>
      <c r="Z60" s="173">
        <f t="shared" si="55"/>
        <v>0</v>
      </c>
      <c r="AA60" s="173">
        <f t="shared" si="55"/>
        <v>0</v>
      </c>
      <c r="AB60" s="173">
        <f t="shared" si="55"/>
        <v>0</v>
      </c>
      <c r="AC60" s="173">
        <f t="shared" si="55"/>
        <v>0</v>
      </c>
      <c r="AD60" s="173">
        <f t="shared" si="55"/>
        <v>0</v>
      </c>
      <c r="AE60" s="173">
        <f t="shared" si="55"/>
        <v>0</v>
      </c>
      <c r="AF60" s="173">
        <f t="shared" si="55"/>
        <v>0</v>
      </c>
      <c r="AG60" s="173">
        <f t="shared" si="55"/>
        <v>0</v>
      </c>
      <c r="AH60" s="178">
        <f t="shared" si="49"/>
        <v>0</v>
      </c>
      <c r="AI60" s="127"/>
    </row>
    <row r="61" spans="1:35">
      <c r="A61" s="9" t="s">
        <v>51</v>
      </c>
      <c r="B61" s="37"/>
      <c r="C61" s="336">
        <f t="shared" si="50"/>
        <v>1.1030679076180626E-3</v>
      </c>
      <c r="D61" s="336">
        <f t="shared" ref="D61:M61" si="56">C61*($N74)</f>
        <v>1.3452951563714109E-3</v>
      </c>
      <c r="E61" s="336">
        <f t="shared" si="56"/>
        <v>1.6407140895472673E-3</v>
      </c>
      <c r="F61" s="336">
        <f t="shared" si="56"/>
        <v>2.0010052893520737E-3</v>
      </c>
      <c r="G61" s="336">
        <f t="shared" si="56"/>
        <v>2.4404143253989072E-3</v>
      </c>
      <c r="H61" s="396">
        <f t="shared" si="53"/>
        <v>1.7252721368369609E-3</v>
      </c>
      <c r="I61" s="116">
        <f t="shared" si="56"/>
        <v>2.1041317883331661E-3</v>
      </c>
      <c r="J61" s="116">
        <f t="shared" si="56"/>
        <v>2.5661867992553778E-3</v>
      </c>
      <c r="K61" s="116">
        <f t="shared" si="56"/>
        <v>3.1297063830252104E-3</v>
      </c>
      <c r="L61" s="116">
        <f t="shared" si="56"/>
        <v>3.8169715652776903E-3</v>
      </c>
      <c r="M61" s="116">
        <f t="shared" si="56"/>
        <v>4.6551561543148956E-3</v>
      </c>
      <c r="N61" s="178">
        <f>M61*($N74)</f>
        <v>5.6774011675089046E-3</v>
      </c>
      <c r="O61" s="116">
        <f t="shared" ref="O61:W61" si="57">N61*$X74</f>
        <v>5.7818618071274553E-3</v>
      </c>
      <c r="P61" s="116">
        <f t="shared" si="57"/>
        <v>5.8882444573469068E-3</v>
      </c>
      <c r="Q61" s="116">
        <f t="shared" si="57"/>
        <v>5.9965844819632628E-3</v>
      </c>
      <c r="R61" s="116">
        <f t="shared" si="57"/>
        <v>6.1069178954443132E-3</v>
      </c>
      <c r="S61" s="116">
        <f t="shared" si="57"/>
        <v>6.2192813749015865E-3</v>
      </c>
      <c r="T61" s="116">
        <f t="shared" si="57"/>
        <v>6.3337122722825828E-3</v>
      </c>
      <c r="U61" s="116">
        <f t="shared" si="57"/>
        <v>6.4502486267873334E-3</v>
      </c>
      <c r="V61" s="116">
        <f t="shared" si="57"/>
        <v>6.56892917751342E-3</v>
      </c>
      <c r="W61" s="116">
        <f t="shared" si="57"/>
        <v>6.689793376333652E-3</v>
      </c>
      <c r="X61" s="178">
        <f t="shared" si="47"/>
        <v>6.8128814010106854E-3</v>
      </c>
      <c r="Y61" s="173">
        <f t="shared" si="55"/>
        <v>6.9666153136084619E-3</v>
      </c>
      <c r="Z61" s="173">
        <f t="shared" si="55"/>
        <v>7.1238182600102196E-3</v>
      </c>
      <c r="AA61" s="173">
        <f t="shared" si="55"/>
        <v>7.2845685195970641E-3</v>
      </c>
      <c r="AB61" s="173">
        <f t="shared" si="55"/>
        <v>7.4489461381386278E-3</v>
      </c>
      <c r="AC61" s="173">
        <f t="shared" si="55"/>
        <v>7.6170329676519474E-3</v>
      </c>
      <c r="AD61" s="173">
        <f t="shared" si="55"/>
        <v>7.7889127071597668E-3</v>
      </c>
      <c r="AE61" s="173">
        <f t="shared" si="55"/>
        <v>7.9646709443685591E-3</v>
      </c>
      <c r="AF61" s="173">
        <f t="shared" si="55"/>
        <v>8.1443951982870192E-3</v>
      </c>
      <c r="AG61" s="173">
        <f t="shared" si="55"/>
        <v>8.3281749628062521E-3</v>
      </c>
      <c r="AH61" s="178">
        <f t="shared" si="49"/>
        <v>8.516101751263357E-3</v>
      </c>
      <c r="AI61" s="127"/>
    </row>
    <row r="62" spans="1:35">
      <c r="A62" s="9" t="s">
        <v>347</v>
      </c>
      <c r="B62" s="37"/>
      <c r="C62" s="339">
        <f t="shared" si="50"/>
        <v>0</v>
      </c>
      <c r="D62" s="339">
        <f t="shared" ref="D62:N62" si="58">C62*($N75)</f>
        <v>0</v>
      </c>
      <c r="E62" s="339">
        <f t="shared" si="58"/>
        <v>0</v>
      </c>
      <c r="F62" s="339">
        <f t="shared" si="58"/>
        <v>0</v>
      </c>
      <c r="G62" s="339">
        <f t="shared" si="58"/>
        <v>0</v>
      </c>
      <c r="H62" s="396">
        <f t="shared" si="53"/>
        <v>4.4097407874769677E-7</v>
      </c>
      <c r="I62" s="116">
        <f t="shared" si="58"/>
        <v>5.1864663176274222E-7</v>
      </c>
      <c r="J62" s="116">
        <f t="shared" si="58"/>
        <v>6.1000031884582166E-7</v>
      </c>
      <c r="K62" s="116">
        <f t="shared" si="58"/>
        <v>7.1744491567858773E-7</v>
      </c>
      <c r="L62" s="116">
        <f t="shared" si="58"/>
        <v>8.4381465243652401E-7</v>
      </c>
      <c r="M62" s="116">
        <f t="shared" si="58"/>
        <v>9.9244297660554497E-7</v>
      </c>
      <c r="N62" s="178">
        <f t="shared" si="58"/>
        <v>1.1672504844157902E-6</v>
      </c>
      <c r="O62" s="116">
        <f t="shared" ref="O62:W62" si="59">N62*$X75</f>
        <v>1.1887271651363527E-6</v>
      </c>
      <c r="P62" s="116">
        <f t="shared" si="59"/>
        <v>1.2105990033838823E-6</v>
      </c>
      <c r="Q62" s="116">
        <f t="shared" si="59"/>
        <v>1.2328732698103549E-6</v>
      </c>
      <c r="R62" s="116">
        <f t="shared" si="59"/>
        <v>1.2555573688432074E-6</v>
      </c>
      <c r="S62" s="116">
        <f t="shared" si="59"/>
        <v>1.2786588411467216E-6</v>
      </c>
      <c r="T62" s="116">
        <f t="shared" si="59"/>
        <v>1.3021853661286983E-6</v>
      </c>
      <c r="U62" s="116">
        <f t="shared" si="59"/>
        <v>1.3261447644932506E-6</v>
      </c>
      <c r="V62" s="116">
        <f t="shared" si="59"/>
        <v>1.3505450008405688E-6</v>
      </c>
      <c r="W62" s="116">
        <f t="shared" si="59"/>
        <v>1.3753941863145176E-6</v>
      </c>
      <c r="X62" s="178">
        <f t="shared" si="47"/>
        <v>1.4007005812989481E-6</v>
      </c>
      <c r="Y62" s="173">
        <f t="shared" si="55"/>
        <v>1.4323076456328614E-6</v>
      </c>
      <c r="Z62" s="173">
        <f t="shared" si="55"/>
        <v>1.4646279291437683E-6</v>
      </c>
      <c r="AA62" s="173">
        <f t="shared" si="55"/>
        <v>1.497677525752605E-6</v>
      </c>
      <c r="AB62" s="173">
        <f t="shared" si="55"/>
        <v>1.5314728925425727E-6</v>
      </c>
      <c r="AC62" s="173">
        <f t="shared" si="55"/>
        <v>1.5660308579539589E-6</v>
      </c>
      <c r="AD62" s="173">
        <f t="shared" si="55"/>
        <v>1.6013686301638786E-6</v>
      </c>
      <c r="AE62" s="173">
        <f t="shared" si="55"/>
        <v>1.6375038056551052E-6</v>
      </c>
      <c r="AF62" s="173">
        <f t="shared" si="55"/>
        <v>1.6744543779782581E-6</v>
      </c>
      <c r="AG62" s="173">
        <f t="shared" si="55"/>
        <v>1.7122387467117112E-6</v>
      </c>
      <c r="AH62" s="178">
        <f t="shared" si="49"/>
        <v>1.750875726623685E-6</v>
      </c>
      <c r="AI62" s="127"/>
    </row>
    <row r="63" spans="1:35">
      <c r="A63" s="9" t="s">
        <v>348</v>
      </c>
      <c r="B63" s="37"/>
      <c r="C63" s="339">
        <f t="shared" si="50"/>
        <v>0</v>
      </c>
      <c r="D63" s="339">
        <f t="shared" ref="D63:N63" si="60">C63*($N76)</f>
        <v>0</v>
      </c>
      <c r="E63" s="339">
        <f t="shared" si="60"/>
        <v>0</v>
      </c>
      <c r="F63" s="339">
        <f t="shared" si="60"/>
        <v>0</v>
      </c>
      <c r="G63" s="339">
        <f t="shared" si="60"/>
        <v>0</v>
      </c>
      <c r="H63" s="396">
        <f t="shared" si="53"/>
        <v>2.2048703937384838E-7</v>
      </c>
      <c r="I63" s="116">
        <f t="shared" si="60"/>
        <v>2.5932331588137111E-7</v>
      </c>
      <c r="J63" s="116">
        <f t="shared" si="60"/>
        <v>3.0500015942291083E-7</v>
      </c>
      <c r="K63" s="116">
        <f t="shared" si="60"/>
        <v>3.5872245783929386E-7</v>
      </c>
      <c r="L63" s="116">
        <f t="shared" si="60"/>
        <v>4.2190732621826201E-7</v>
      </c>
      <c r="M63" s="116">
        <f t="shared" si="60"/>
        <v>4.9622148830277249E-7</v>
      </c>
      <c r="N63" s="178">
        <f t="shared" si="60"/>
        <v>5.8362524220789512E-7</v>
      </c>
      <c r="O63" s="116">
        <f t="shared" ref="O63:W63" si="61">N63*$X76</f>
        <v>5.9436358256817637E-7</v>
      </c>
      <c r="P63" s="116">
        <f t="shared" si="61"/>
        <v>6.0529950169194115E-7</v>
      </c>
      <c r="Q63" s="116">
        <f t="shared" si="61"/>
        <v>6.1643663490517747E-7</v>
      </c>
      <c r="R63" s="116">
        <f t="shared" si="61"/>
        <v>6.2777868442160368E-7</v>
      </c>
      <c r="S63" s="116">
        <f t="shared" si="61"/>
        <v>6.3932942057336079E-7</v>
      </c>
      <c r="T63" s="116">
        <f t="shared" si="61"/>
        <v>6.5109268306434913E-7</v>
      </c>
      <c r="U63" s="116">
        <f t="shared" si="61"/>
        <v>6.6307238224662532E-7</v>
      </c>
      <c r="V63" s="116">
        <f t="shared" si="61"/>
        <v>6.7527250042028441E-7</v>
      </c>
      <c r="W63" s="116">
        <f t="shared" si="61"/>
        <v>6.876970931572588E-7</v>
      </c>
      <c r="X63" s="178">
        <f t="shared" si="47"/>
        <v>7.0035029064947404E-7</v>
      </c>
      <c r="Y63" s="173">
        <f t="shared" si="55"/>
        <v>7.1615382281643072E-7</v>
      </c>
      <c r="Z63" s="173">
        <f t="shared" si="55"/>
        <v>7.3231396457188414E-7</v>
      </c>
      <c r="AA63" s="173">
        <f t="shared" si="55"/>
        <v>7.4883876287630252E-7</v>
      </c>
      <c r="AB63" s="173">
        <f t="shared" si="55"/>
        <v>7.6573644627128633E-7</v>
      </c>
      <c r="AC63" s="173">
        <f t="shared" si="55"/>
        <v>7.8301542897697947E-7</v>
      </c>
      <c r="AD63" s="173">
        <f t="shared" si="55"/>
        <v>8.006843150819393E-7</v>
      </c>
      <c r="AE63" s="173">
        <f t="shared" si="55"/>
        <v>8.1875190282755258E-7</v>
      </c>
      <c r="AF63" s="173">
        <f t="shared" si="55"/>
        <v>8.3722718898912903E-7</v>
      </c>
      <c r="AG63" s="173">
        <f t="shared" si="55"/>
        <v>8.5611937335585561E-7</v>
      </c>
      <c r="AH63" s="178">
        <f t="shared" si="49"/>
        <v>8.7543786331184252E-7</v>
      </c>
      <c r="AI63" s="127"/>
    </row>
    <row r="64" spans="1:35">
      <c r="A64" s="9" t="s">
        <v>344</v>
      </c>
      <c r="B64" s="37"/>
      <c r="C64" s="336">
        <f t="shared" si="50"/>
        <v>2.2980581408709637E-7</v>
      </c>
      <c r="D64" s="336">
        <f t="shared" ref="D64:N64" si="62">C64*($N77)</f>
        <v>2.7028348644492746E-7</v>
      </c>
      <c r="E64" s="336">
        <f t="shared" si="62"/>
        <v>3.1789083898955722E-7</v>
      </c>
      <c r="F64" s="336">
        <f t="shared" si="62"/>
        <v>3.7388368354525917E-7</v>
      </c>
      <c r="G64" s="336">
        <f t="shared" si="62"/>
        <v>4.397390288619283E-7</v>
      </c>
      <c r="H64" s="396">
        <f t="shared" si="53"/>
        <v>2.2048703937384838E-7</v>
      </c>
      <c r="I64" s="116">
        <f t="shared" si="62"/>
        <v>2.5932331588137111E-7</v>
      </c>
      <c r="J64" s="116">
        <f t="shared" si="62"/>
        <v>3.0500015942291083E-7</v>
      </c>
      <c r="K64" s="116">
        <f t="shared" si="62"/>
        <v>3.5872245783929386E-7</v>
      </c>
      <c r="L64" s="116">
        <f t="shared" si="62"/>
        <v>4.2190732621826201E-7</v>
      </c>
      <c r="M64" s="116">
        <f t="shared" si="62"/>
        <v>4.9622148830277249E-7</v>
      </c>
      <c r="N64" s="178">
        <f t="shared" si="62"/>
        <v>5.8362524220789512E-7</v>
      </c>
      <c r="O64" s="116">
        <f t="shared" ref="O64:W64" si="63">N64*$X77</f>
        <v>5.9436358256817637E-7</v>
      </c>
      <c r="P64" s="116">
        <f t="shared" si="63"/>
        <v>6.0529950169194115E-7</v>
      </c>
      <c r="Q64" s="116">
        <f t="shared" si="63"/>
        <v>6.1643663490517747E-7</v>
      </c>
      <c r="R64" s="116">
        <f t="shared" si="63"/>
        <v>6.2777868442160368E-7</v>
      </c>
      <c r="S64" s="116">
        <f t="shared" si="63"/>
        <v>6.3932942057336079E-7</v>
      </c>
      <c r="T64" s="116">
        <f t="shared" si="63"/>
        <v>6.5109268306434913E-7</v>
      </c>
      <c r="U64" s="116">
        <f t="shared" si="63"/>
        <v>6.6307238224662532E-7</v>
      </c>
      <c r="V64" s="116">
        <f t="shared" si="63"/>
        <v>6.7527250042028441E-7</v>
      </c>
      <c r="W64" s="116">
        <f t="shared" si="63"/>
        <v>6.876970931572588E-7</v>
      </c>
      <c r="X64" s="178">
        <f t="shared" si="47"/>
        <v>7.0035029064947404E-7</v>
      </c>
      <c r="Y64" s="173">
        <f t="shared" si="55"/>
        <v>7.1615382281643072E-7</v>
      </c>
      <c r="Z64" s="173">
        <f t="shared" si="55"/>
        <v>7.3231396457188414E-7</v>
      </c>
      <c r="AA64" s="173">
        <f t="shared" si="55"/>
        <v>7.4883876287630252E-7</v>
      </c>
      <c r="AB64" s="173">
        <f t="shared" si="55"/>
        <v>7.6573644627128633E-7</v>
      </c>
      <c r="AC64" s="173">
        <f t="shared" si="55"/>
        <v>7.8301542897697947E-7</v>
      </c>
      <c r="AD64" s="173">
        <f t="shared" si="55"/>
        <v>8.006843150819393E-7</v>
      </c>
      <c r="AE64" s="173">
        <f t="shared" si="55"/>
        <v>8.1875190282755258E-7</v>
      </c>
      <c r="AF64" s="173">
        <f t="shared" si="55"/>
        <v>8.3722718898912903E-7</v>
      </c>
      <c r="AG64" s="173">
        <f t="shared" si="55"/>
        <v>8.5611937335585561E-7</v>
      </c>
      <c r="AH64" s="178">
        <f t="shared" si="49"/>
        <v>8.7543786331184252E-7</v>
      </c>
      <c r="AI64" s="127"/>
    </row>
    <row r="65" spans="1:35">
      <c r="A65" s="9" t="s">
        <v>120</v>
      </c>
      <c r="B65" s="37"/>
      <c r="C65" s="336">
        <f t="shared" si="50"/>
        <v>0</v>
      </c>
      <c r="D65" s="336">
        <v>0</v>
      </c>
      <c r="E65" s="336">
        <v>0</v>
      </c>
      <c r="F65" s="336">
        <v>0</v>
      </c>
      <c r="G65" s="336">
        <v>0</v>
      </c>
      <c r="H65" s="396">
        <f t="shared" si="53"/>
        <v>2.2048703937384836E-5</v>
      </c>
      <c r="I65" s="173">
        <v>0</v>
      </c>
      <c r="J65" s="173">
        <v>0</v>
      </c>
      <c r="K65" s="173">
        <v>0</v>
      </c>
      <c r="L65" s="173">
        <v>0</v>
      </c>
      <c r="M65" s="173">
        <v>0</v>
      </c>
      <c r="N65" s="178">
        <v>0</v>
      </c>
      <c r="O65" s="116">
        <f t="shared" ref="O65:AG65" si="64">O41/O$49</f>
        <v>1.6576060132955029E-4</v>
      </c>
      <c r="P65" s="116">
        <f t="shared" si="64"/>
        <v>1.8374183318755328E-4</v>
      </c>
      <c r="Q65" s="116">
        <f t="shared" si="64"/>
        <v>2.0061130663639979E-4</v>
      </c>
      <c r="R65" s="116">
        <f t="shared" si="64"/>
        <v>2.1887403304843089E-4</v>
      </c>
      <c r="S65" s="116">
        <f t="shared" si="64"/>
        <v>2.3561850340286087E-4</v>
      </c>
      <c r="T65" s="116">
        <f t="shared" si="64"/>
        <v>2.5127355824733214E-4</v>
      </c>
      <c r="U65" s="116">
        <f t="shared" si="64"/>
        <v>2.6792190825455811E-4</v>
      </c>
      <c r="V65" s="116">
        <f t="shared" si="64"/>
        <v>2.8524345002361052E-4</v>
      </c>
      <c r="W65" s="116">
        <f t="shared" si="64"/>
        <v>3.0037504302026245E-4</v>
      </c>
      <c r="X65" s="178">
        <f t="shared" si="47"/>
        <v>3.1534578374576541E-4</v>
      </c>
      <c r="Y65" s="173">
        <f t="shared" si="64"/>
        <v>3.3329761458217316E-4</v>
      </c>
      <c r="Z65" s="173">
        <f t="shared" si="64"/>
        <v>3.4741978018215181E-4</v>
      </c>
      <c r="AA65" s="173">
        <f t="shared" si="64"/>
        <v>3.6277083528419251E-4</v>
      </c>
      <c r="AB65" s="173">
        <f t="shared" si="64"/>
        <v>3.7883584496745321E-4</v>
      </c>
      <c r="AC65" s="173">
        <f t="shared" si="64"/>
        <v>3.9541246096455894E-4</v>
      </c>
      <c r="AD65" s="173">
        <f t="shared" si="64"/>
        <v>4.1333328310784348E-4</v>
      </c>
      <c r="AE65" s="173">
        <f t="shared" si="64"/>
        <v>4.3043309241168185E-4</v>
      </c>
      <c r="AF65" s="173">
        <f t="shared" si="64"/>
        <v>4.4601583533971566E-4</v>
      </c>
      <c r="AG65" s="173">
        <f t="shared" si="64"/>
        <v>4.5859166573848555E-4</v>
      </c>
      <c r="AH65" s="178">
        <f t="shared" si="49"/>
        <v>4.718857913305328E-4</v>
      </c>
      <c r="AI65" s="127"/>
    </row>
    <row r="66" spans="1:35">
      <c r="A66" s="9" t="s">
        <v>53</v>
      </c>
      <c r="B66" s="37"/>
      <c r="C66" s="336">
        <f>C42/C$49</f>
        <v>3.676893025393542E-3</v>
      </c>
      <c r="D66" s="336">
        <f t="shared" ref="D66:N66" si="65">C66*($N79)</f>
        <v>4.400381538075422E-3</v>
      </c>
      <c r="E66" s="336">
        <f t="shared" si="65"/>
        <v>5.2662281842052044E-3</v>
      </c>
      <c r="F66" s="336">
        <f t="shared" si="65"/>
        <v>6.3024442421978693E-3</v>
      </c>
      <c r="G66" s="336">
        <f t="shared" si="65"/>
        <v>7.5425526651401375E-3</v>
      </c>
      <c r="H66" s="396">
        <f t="shared" si="53"/>
        <v>1.7824924675003767E-2</v>
      </c>
      <c r="I66" s="116">
        <f t="shared" si="65"/>
        <v>2.1332268552761734E-2</v>
      </c>
      <c r="J66" s="116">
        <f t="shared" si="65"/>
        <v>2.5529739390444357E-2</v>
      </c>
      <c r="K66" s="116">
        <f t="shared" si="65"/>
        <v>3.0553130893321075E-2</v>
      </c>
      <c r="L66" s="116">
        <f t="shared" si="65"/>
        <v>3.6564956387052358E-2</v>
      </c>
      <c r="M66" s="116">
        <f t="shared" si="65"/>
        <v>4.3759706337634582E-2</v>
      </c>
      <c r="N66" s="178">
        <f t="shared" si="65"/>
        <v>5.2370140373915117E-2</v>
      </c>
      <c r="O66" s="116">
        <f t="shared" ref="O66:W66" si="66">N66*$X79</f>
        <v>5.3333718285527243E-2</v>
      </c>
      <c r="P66" s="116">
        <f t="shared" si="66"/>
        <v>5.4315025429582081E-2</v>
      </c>
      <c r="Q66" s="116">
        <f t="shared" si="66"/>
        <v>5.5314388012896148E-2</v>
      </c>
      <c r="R66" s="116">
        <f t="shared" si="66"/>
        <v>5.6332138244287872E-2</v>
      </c>
      <c r="S66" s="116">
        <f t="shared" si="66"/>
        <v>5.7368614445010693E-2</v>
      </c>
      <c r="T66" s="116">
        <f t="shared" si="66"/>
        <v>5.8424161161218055E-2</v>
      </c>
      <c r="U66" s="116">
        <f t="shared" si="66"/>
        <v>5.9499129278497674E-2</v>
      </c>
      <c r="V66" s="116">
        <f t="shared" si="66"/>
        <v>6.0593876138513178E-2</v>
      </c>
      <c r="W66" s="116">
        <f t="shared" si="66"/>
        <v>6.1708765657791882E-2</v>
      </c>
      <c r="X66" s="178">
        <f t="shared" si="47"/>
        <v>6.2844168448698112E-2</v>
      </c>
      <c r="Y66" s="173">
        <f t="shared" si="55"/>
        <v>6.4262258582798909E-2</v>
      </c>
      <c r="Z66" s="173">
        <f t="shared" si="55"/>
        <v>6.5712348179667299E-2</v>
      </c>
      <c r="AA66" s="173">
        <f t="shared" si="55"/>
        <v>6.7195159313022557E-2</v>
      </c>
      <c r="AB66" s="173">
        <f t="shared" si="55"/>
        <v>6.8711430350309272E-2</v>
      </c>
      <c r="AC66" s="173">
        <f t="shared" si="55"/>
        <v>7.0261916320368226E-2</v>
      </c>
      <c r="AD66" s="173">
        <f t="shared" si="55"/>
        <v>7.1847389289403818E-2</v>
      </c>
      <c r="AE66" s="173">
        <f t="shared" si="55"/>
        <v>7.34686387454353E-2</v>
      </c>
      <c r="AF66" s="173">
        <f t="shared" si="55"/>
        <v>7.5126471991423235E-2</v>
      </c>
      <c r="AG66" s="173">
        <f t="shared" si="55"/>
        <v>7.6821714547266842E-2</v>
      </c>
      <c r="AH66" s="178">
        <f t="shared" si="49"/>
        <v>7.855521056087264E-2</v>
      </c>
      <c r="AI66" s="127"/>
    </row>
    <row r="67" spans="1:35" s="1" customFormat="1">
      <c r="A67" s="11" t="s">
        <v>541</v>
      </c>
      <c r="B67" s="36"/>
      <c r="C67" s="340">
        <f t="shared" ref="C67:AG67" si="67">SUM(C58:C66)</f>
        <v>1.119177295185568E-2</v>
      </c>
      <c r="D67" s="340">
        <f t="shared" si="67"/>
        <v>1.4287514555065321E-2</v>
      </c>
      <c r="E67" s="340">
        <f t="shared" si="67"/>
        <v>1.8286413429824983E-2</v>
      </c>
      <c r="F67" s="340">
        <f t="shared" si="67"/>
        <v>2.3463233893977396E-2</v>
      </c>
      <c r="G67" s="340">
        <f t="shared" si="67"/>
        <v>3.0178909919174917E-2</v>
      </c>
      <c r="H67" s="403">
        <f t="shared" si="67"/>
        <v>2.7090538623422027E-2</v>
      </c>
      <c r="I67" s="85">
        <f t="shared" si="67"/>
        <v>3.3448919565378162E-2</v>
      </c>
      <c r="J67" s="85">
        <f t="shared" si="67"/>
        <v>4.143034605362779E-2</v>
      </c>
      <c r="K67" s="85">
        <f t="shared" si="67"/>
        <v>5.144153899290238E-2</v>
      </c>
      <c r="L67" s="85">
        <f t="shared" si="67"/>
        <v>6.4033189711024424E-2</v>
      </c>
      <c r="M67" s="85">
        <f t="shared" si="67"/>
        <v>7.9914324802341591E-2</v>
      </c>
      <c r="N67" s="183">
        <f>SUM(N58:N66)</f>
        <v>0.1</v>
      </c>
      <c r="O67" s="85">
        <f t="shared" si="67"/>
        <v>0.10200569821603198</v>
      </c>
      <c r="P67" s="85">
        <f t="shared" si="67"/>
        <v>0.10389747076685238</v>
      </c>
      <c r="Q67" s="85">
        <f t="shared" si="67"/>
        <v>0.10582260815056221</v>
      </c>
      <c r="R67" s="85">
        <f t="shared" si="67"/>
        <v>0.10778424972630546</v>
      </c>
      <c r="S67" s="85">
        <f t="shared" si="67"/>
        <v>0.10978013000443609</v>
      </c>
      <c r="T67" s="85">
        <f t="shared" si="67"/>
        <v>0.11181133573123012</v>
      </c>
      <c r="U67" s="85">
        <f t="shared" si="67"/>
        <v>0.11388061962814347</v>
      </c>
      <c r="V67" s="85">
        <f t="shared" si="67"/>
        <v>0.11598834393033892</v>
      </c>
      <c r="W67" s="85">
        <f t="shared" si="67"/>
        <v>0.11813234039044983</v>
      </c>
      <c r="X67" s="183">
        <f t="shared" si="67"/>
        <v>0.12031534578374575</v>
      </c>
      <c r="Y67" s="85">
        <f t="shared" si="67"/>
        <v>0.12304111952221089</v>
      </c>
      <c r="Z67" s="85">
        <f t="shared" si="67"/>
        <v>0.12582416609113492</v>
      </c>
      <c r="AA67" s="85">
        <f t="shared" si="67"/>
        <v>0.12867092283422671</v>
      </c>
      <c r="AB67" s="85">
        <f t="shared" si="67"/>
        <v>0.13158228471816077</v>
      </c>
      <c r="AC67" s="85">
        <f t="shared" si="67"/>
        <v>0.13455949111095189</v>
      </c>
      <c r="AD67" s="85">
        <f t="shared" si="67"/>
        <v>0.1376048488613057</v>
      </c>
      <c r="AE67" s="85">
        <f t="shared" si="67"/>
        <v>0.14071770026580482</v>
      </c>
      <c r="AF67" s="85">
        <f t="shared" si="67"/>
        <v>0.14389889080384519</v>
      </c>
      <c r="AG67" s="85">
        <f t="shared" si="67"/>
        <v>0.14714850694717768</v>
      </c>
      <c r="AH67" s="183">
        <f>SUM(AH58:AH66)</f>
        <v>0.15047188579133053</v>
      </c>
      <c r="AI67" s="196"/>
    </row>
    <row r="68" spans="1:35" s="252" customFormat="1">
      <c r="A68" s="10" t="s">
        <v>549</v>
      </c>
      <c r="B68" s="37"/>
      <c r="C68" s="332"/>
      <c r="D68" s="332">
        <f>D67/C67-1</f>
        <v>0.27660868537333427</v>
      </c>
      <c r="E68" s="332">
        <f t="shared" ref="E68:W68" si="68">E67/D67-1</f>
        <v>0.27988765011210015</v>
      </c>
      <c r="F68" s="332">
        <f t="shared" si="68"/>
        <v>0.28309654509446136</v>
      </c>
      <c r="G68" s="332">
        <f t="shared" si="68"/>
        <v>0.28622124535532678</v>
      </c>
      <c r="H68" s="284"/>
      <c r="I68" s="284">
        <f t="shared" si="68"/>
        <v>0.2347085464169687</v>
      </c>
      <c r="J68" s="284">
        <f t="shared" si="68"/>
        <v>0.23861537508407094</v>
      </c>
      <c r="K68" s="284">
        <f t="shared" si="68"/>
        <v>0.24163913394100112</v>
      </c>
      <c r="L68" s="284">
        <f t="shared" si="68"/>
        <v>0.24477593331450231</v>
      </c>
      <c r="M68" s="284">
        <f t="shared" si="68"/>
        <v>0.24801411834998688</v>
      </c>
      <c r="N68" s="283">
        <f t="shared" si="68"/>
        <v>0.25134011014092783</v>
      </c>
      <c r="O68" s="284">
        <f t="shared" si="68"/>
        <v>2.0056982160319592E-2</v>
      </c>
      <c r="P68" s="284">
        <f t="shared" si="68"/>
        <v>1.8545753657937203E-2</v>
      </c>
      <c r="Q68" s="284">
        <f t="shared" si="68"/>
        <v>1.8529203545578854E-2</v>
      </c>
      <c r="R68" s="284">
        <f t="shared" si="68"/>
        <v>1.8537074544149101E-2</v>
      </c>
      <c r="S68" s="284">
        <f t="shared" si="68"/>
        <v>1.8517364858026353E-2</v>
      </c>
      <c r="T68" s="284">
        <f t="shared" si="68"/>
        <v>1.8502489719332216E-2</v>
      </c>
      <c r="U68" s="284">
        <f t="shared" si="68"/>
        <v>1.8506924037536399E-2</v>
      </c>
      <c r="V68" s="284">
        <f t="shared" si="68"/>
        <v>1.8508191376880756E-2</v>
      </c>
      <c r="W68" s="284">
        <f t="shared" si="68"/>
        <v>1.8484585497647643E-2</v>
      </c>
      <c r="X68" s="284">
        <f>X67/W67-1</f>
        <v>1.8479320616866524E-2</v>
      </c>
      <c r="Y68" s="289">
        <f t="shared" ref="Y68:AG68" si="69">Y67/X67-1</f>
        <v>2.2655245851717298E-2</v>
      </c>
      <c r="Z68" s="289">
        <f t="shared" si="69"/>
        <v>2.2618833278915673E-2</v>
      </c>
      <c r="AA68" s="289">
        <f t="shared" si="69"/>
        <v>2.2624880669027236E-2</v>
      </c>
      <c r="AB68" s="289">
        <f t="shared" si="69"/>
        <v>2.2626416441303698E-2</v>
      </c>
      <c r="AC68" s="289">
        <f t="shared" si="69"/>
        <v>2.2626194697622504E-2</v>
      </c>
      <c r="AD68" s="289">
        <f t="shared" si="69"/>
        <v>2.2632054604329044E-2</v>
      </c>
      <c r="AE68" s="289">
        <f t="shared" si="69"/>
        <v>2.2621669441580616E-2</v>
      </c>
      <c r="AF68" s="289">
        <f t="shared" si="69"/>
        <v>2.2606896872471305E-2</v>
      </c>
      <c r="AG68" s="289">
        <f t="shared" si="69"/>
        <v>2.2582635107050164E-2</v>
      </c>
      <c r="AH68" s="283">
        <f>AH67/AG67-1</f>
        <v>2.2585202616740352E-2</v>
      </c>
      <c r="AI68" s="292"/>
    </row>
    <row r="69" spans="1:35">
      <c r="A69" s="10"/>
      <c r="B69" s="37"/>
      <c r="C69" s="332"/>
      <c r="D69" s="332"/>
      <c r="E69" s="332"/>
      <c r="F69" s="332"/>
      <c r="G69" s="332"/>
      <c r="H69" s="284"/>
      <c r="I69" s="164"/>
      <c r="J69" s="164"/>
      <c r="K69" s="164"/>
      <c r="L69" s="164"/>
      <c r="M69" s="164"/>
      <c r="N69" s="185"/>
      <c r="O69" s="164"/>
      <c r="P69" s="164"/>
      <c r="Q69" s="164"/>
      <c r="R69" s="164"/>
      <c r="S69" s="164"/>
      <c r="T69" s="164"/>
      <c r="U69" s="164"/>
      <c r="V69" s="164"/>
      <c r="W69" s="164"/>
      <c r="X69" s="185"/>
      <c r="Y69" s="20"/>
      <c r="Z69" s="20"/>
      <c r="AA69" s="20"/>
      <c r="AB69" s="20"/>
      <c r="AC69" s="20"/>
      <c r="AD69" s="20"/>
      <c r="AE69" s="20"/>
      <c r="AF69" s="20"/>
      <c r="AG69" s="20"/>
      <c r="AH69" s="279"/>
      <c r="AI69" s="127"/>
    </row>
    <row r="70" spans="1:35">
      <c r="A70" s="11" t="s">
        <v>546</v>
      </c>
      <c r="B70" s="37"/>
      <c r="C70" s="332"/>
      <c r="D70" s="332"/>
      <c r="E70" s="332"/>
      <c r="F70" s="332"/>
      <c r="G70" s="332"/>
      <c r="H70" s="284"/>
      <c r="I70" s="164"/>
      <c r="J70" s="164"/>
      <c r="K70" s="164"/>
      <c r="L70" s="164"/>
      <c r="M70" s="164"/>
      <c r="N70" s="199" t="s">
        <v>712</v>
      </c>
      <c r="O70" s="164"/>
      <c r="P70" s="164"/>
      <c r="Q70" s="164"/>
      <c r="R70" s="164"/>
      <c r="S70" s="164"/>
      <c r="T70" s="164"/>
      <c r="U70" s="164"/>
      <c r="V70" s="164"/>
      <c r="W70" s="164"/>
      <c r="X70" s="199" t="s">
        <v>547</v>
      </c>
      <c r="Y70" s="20"/>
      <c r="Z70" s="20"/>
      <c r="AA70" s="20"/>
      <c r="AB70" s="20"/>
      <c r="AC70" s="20"/>
      <c r="AD70" s="20"/>
      <c r="AE70" s="20"/>
      <c r="AF70" s="20"/>
      <c r="AG70" s="20"/>
      <c r="AH70" s="279" t="s">
        <v>709</v>
      </c>
      <c r="AI70" s="127"/>
    </row>
    <row r="71" spans="1:35">
      <c r="A71" s="9" t="s">
        <v>121</v>
      </c>
      <c r="B71" s="37"/>
      <c r="C71" s="332"/>
      <c r="D71" s="332"/>
      <c r="E71" s="332"/>
      <c r="F71" s="332"/>
      <c r="G71" s="332"/>
      <c r="H71" s="284"/>
      <c r="I71" s="164"/>
      <c r="J71" s="164"/>
      <c r="K71" s="395"/>
      <c r="L71" s="395"/>
      <c r="M71" s="164"/>
      <c r="N71" s="186">
        <f>(N86/H86)^(1/6)</f>
        <v>1.276023962410318</v>
      </c>
      <c r="O71" s="164"/>
      <c r="P71" s="164"/>
      <c r="Q71" s="164"/>
      <c r="R71" s="164"/>
      <c r="S71" s="164"/>
      <c r="T71" s="164"/>
      <c r="U71" s="164"/>
      <c r="V71" s="164"/>
      <c r="W71" s="164"/>
      <c r="X71" s="186">
        <f>(X86/N86)^(1/10)</f>
        <v>1.0183993761470242</v>
      </c>
      <c r="Y71" s="20"/>
      <c r="Z71" s="20"/>
      <c r="AA71" s="20"/>
      <c r="AB71" s="20"/>
      <c r="AC71" s="20"/>
      <c r="AD71" s="20"/>
      <c r="AE71" s="20"/>
      <c r="AF71" s="20"/>
      <c r="AG71" s="20"/>
      <c r="AH71" s="186">
        <f>(AH86/X86)^(1/10)</f>
        <v>1.0225651825635729</v>
      </c>
      <c r="AI71" s="127"/>
    </row>
    <row r="72" spans="1:35">
      <c r="A72" s="9" t="s">
        <v>50</v>
      </c>
      <c r="B72" s="37"/>
      <c r="C72" s="332"/>
      <c r="D72" s="332"/>
      <c r="E72" s="332"/>
      <c r="F72" s="332"/>
      <c r="G72" s="332"/>
      <c r="H72" s="284"/>
      <c r="I72" s="164"/>
      <c r="J72" s="164"/>
      <c r="K72" s="395"/>
      <c r="L72" s="395"/>
      <c r="M72" s="164"/>
      <c r="N72" s="186">
        <f>(N87/H87)^(1/6)</f>
        <v>1.3322090075946269</v>
      </c>
      <c r="O72" s="164"/>
      <c r="P72" s="164"/>
      <c r="Q72" s="164"/>
      <c r="R72" s="164"/>
      <c r="S72" s="164"/>
      <c r="T72" s="164"/>
      <c r="U72" s="164"/>
      <c r="V72" s="164"/>
      <c r="W72" s="164"/>
      <c r="X72" s="186">
        <f>(X87/N87)^(1/10)</f>
        <v>1.0183993761470242</v>
      </c>
      <c r="Y72" s="20"/>
      <c r="Z72" s="20"/>
      <c r="AA72" s="20"/>
      <c r="AB72" s="20"/>
      <c r="AC72" s="20"/>
      <c r="AD72" s="20"/>
      <c r="AE72" s="20"/>
      <c r="AF72" s="20"/>
      <c r="AG72" s="20"/>
      <c r="AH72" s="186">
        <f>(AH87/X87)^(1/10)</f>
        <v>1.0225651825635729</v>
      </c>
      <c r="AI72" s="127"/>
    </row>
    <row r="73" spans="1:35">
      <c r="A73" s="9" t="s">
        <v>119</v>
      </c>
      <c r="B73" s="37"/>
      <c r="C73" s="332"/>
      <c r="D73" s="332"/>
      <c r="E73" s="332"/>
      <c r="F73" s="332"/>
      <c r="G73" s="332"/>
      <c r="H73" s="284"/>
      <c r="I73" s="164"/>
      <c r="J73" s="164"/>
      <c r="K73" s="395"/>
      <c r="L73" s="395"/>
      <c r="M73" s="164"/>
      <c r="N73" s="186"/>
      <c r="O73" s="164"/>
      <c r="P73" s="164"/>
      <c r="Q73" s="164"/>
      <c r="R73" s="164"/>
      <c r="S73" s="164"/>
      <c r="T73" s="164"/>
      <c r="U73" s="164"/>
      <c r="V73" s="164"/>
      <c r="W73" s="164"/>
      <c r="X73" s="186"/>
      <c r="AH73" s="186"/>
      <c r="AI73" s="127"/>
    </row>
    <row r="74" spans="1:35">
      <c r="A74" s="9" t="s">
        <v>51</v>
      </c>
      <c r="B74" s="37"/>
      <c r="C74" s="332"/>
      <c r="D74" s="332"/>
      <c r="E74" s="332"/>
      <c r="F74" s="332"/>
      <c r="G74" s="332"/>
      <c r="H74" s="284"/>
      <c r="I74" s="164"/>
      <c r="J74" s="164"/>
      <c r="K74" s="395"/>
      <c r="L74" s="395"/>
      <c r="M74" s="164"/>
      <c r="N74" s="179">
        <f>(N89/H89)^(1/6)</f>
        <v>1.2195941401979573</v>
      </c>
      <c r="O74" s="164"/>
      <c r="P74" s="164"/>
      <c r="Q74" s="164"/>
      <c r="R74" s="164"/>
      <c r="S74" s="164"/>
      <c r="T74" s="164"/>
      <c r="U74" s="164"/>
      <c r="V74" s="164"/>
      <c r="W74" s="164"/>
      <c r="X74" s="186">
        <f>(X89/N89)^(1/10)</f>
        <v>1.0183993761470242</v>
      </c>
      <c r="AH74" s="186">
        <f>(AH89/X89)^(1/10)</f>
        <v>1.0225651825635729</v>
      </c>
      <c r="AI74" s="127"/>
    </row>
    <row r="75" spans="1:35">
      <c r="A75" s="9" t="s">
        <v>347</v>
      </c>
      <c r="B75" s="37"/>
      <c r="C75" s="332"/>
      <c r="D75" s="332"/>
      <c r="E75" s="332"/>
      <c r="F75" s="332"/>
      <c r="G75" s="332"/>
      <c r="H75" s="284"/>
      <c r="I75" s="164"/>
      <c r="J75" s="164"/>
      <c r="K75" s="395"/>
      <c r="L75" s="395"/>
      <c r="M75" s="164"/>
      <c r="N75" s="179">
        <f>(N90/H90)^(1/6)</f>
        <v>1.1761385912651019</v>
      </c>
      <c r="O75" s="164"/>
      <c r="P75" s="164"/>
      <c r="Q75" s="164"/>
      <c r="R75" s="164"/>
      <c r="S75" s="164"/>
      <c r="T75" s="164"/>
      <c r="U75" s="164"/>
      <c r="V75" s="164"/>
      <c r="W75" s="164"/>
      <c r="X75" s="186">
        <f>(X90/N90)^(1/10)</f>
        <v>1.0183993761470242</v>
      </c>
      <c r="AH75" s="186">
        <f>(AH90/X90)^(1/10)</f>
        <v>1.0225651825635729</v>
      </c>
      <c r="AI75" s="127"/>
    </row>
    <row r="76" spans="1:35">
      <c r="A76" s="9" t="s">
        <v>348</v>
      </c>
      <c r="B76" s="37"/>
      <c r="C76" s="332"/>
      <c r="D76" s="332"/>
      <c r="E76" s="332"/>
      <c r="F76" s="332"/>
      <c r="G76" s="332"/>
      <c r="H76" s="284"/>
      <c r="I76" s="164"/>
      <c r="J76" s="164"/>
      <c r="K76" s="395"/>
      <c r="L76" s="395"/>
      <c r="M76" s="164"/>
      <c r="N76" s="179">
        <f>(N91/H91)^(1/6)</f>
        <v>1.1761385912651019</v>
      </c>
      <c r="O76" s="164"/>
      <c r="P76" s="164"/>
      <c r="Q76" s="164"/>
      <c r="R76" s="164"/>
      <c r="S76" s="164"/>
      <c r="T76" s="164"/>
      <c r="U76" s="164"/>
      <c r="V76" s="164"/>
      <c r="W76" s="164"/>
      <c r="X76" s="186">
        <f>(X91/N91)^(1/10)</f>
        <v>1.0183993761470242</v>
      </c>
      <c r="AH76" s="186">
        <f>(AH91/X91)^(1/10)</f>
        <v>1.0225651825635729</v>
      </c>
      <c r="AI76" s="127"/>
    </row>
    <row r="77" spans="1:35">
      <c r="A77" s="9" t="s">
        <v>344</v>
      </c>
      <c r="B77" s="37"/>
      <c r="C77" s="332"/>
      <c r="D77" s="332"/>
      <c r="E77" s="332"/>
      <c r="F77" s="332"/>
      <c r="G77" s="332"/>
      <c r="H77" s="284"/>
      <c r="I77" s="164"/>
      <c r="J77" s="164"/>
      <c r="K77" s="395"/>
      <c r="L77" s="395"/>
      <c r="M77" s="164"/>
      <c r="N77" s="179">
        <f>(N92/H92)^(1/6)</f>
        <v>1.1761385912651019</v>
      </c>
      <c r="O77" s="164"/>
      <c r="P77" s="164"/>
      <c r="Q77" s="164"/>
      <c r="R77" s="164"/>
      <c r="S77" s="164"/>
      <c r="T77" s="164"/>
      <c r="U77" s="164"/>
      <c r="V77" s="164"/>
      <c r="W77" s="164"/>
      <c r="X77" s="186">
        <f>(X92/N92)^(1/10)</f>
        <v>1.0183993761470242</v>
      </c>
      <c r="AH77" s="186">
        <f>(AH92/X92)^(1/10)</f>
        <v>1.0225651825635729</v>
      </c>
      <c r="AI77" s="127"/>
    </row>
    <row r="78" spans="1:35">
      <c r="A78" s="9" t="s">
        <v>120</v>
      </c>
      <c r="B78" s="37"/>
      <c r="C78" s="332"/>
      <c r="D78" s="332"/>
      <c r="E78" s="332"/>
      <c r="F78" s="332"/>
      <c r="G78" s="332"/>
      <c r="H78" s="284"/>
      <c r="I78" s="164"/>
      <c r="J78" s="164"/>
      <c r="K78" s="395"/>
      <c r="L78" s="395"/>
      <c r="M78" s="164"/>
      <c r="N78" s="186">
        <f t="shared" ref="N78:N79" si="70">(N93/H93)^(1/6)</f>
        <v>1.3694598403502123</v>
      </c>
      <c r="O78" s="164"/>
      <c r="P78" s="164"/>
      <c r="Q78" s="164"/>
      <c r="R78" s="164"/>
      <c r="S78" s="164"/>
      <c r="T78" s="164"/>
      <c r="U78" s="164"/>
      <c r="V78" s="164"/>
      <c r="W78" s="164"/>
      <c r="X78" s="186">
        <f t="shared" ref="X78:X79" si="71">(X93/N93)^(1/10)</f>
        <v>1.0804652799463115</v>
      </c>
      <c r="AH78" s="186">
        <f t="shared" ref="AH78:AH79" si="72">(AH93/X93)^(1/10)</f>
        <v>1.0411300633270932</v>
      </c>
      <c r="AI78" s="127"/>
    </row>
    <row r="79" spans="1:35">
      <c r="A79" s="9" t="s">
        <v>53</v>
      </c>
      <c r="B79" s="37"/>
      <c r="C79" s="332"/>
      <c r="D79" s="332"/>
      <c r="E79" s="332"/>
      <c r="F79" s="332"/>
      <c r="G79" s="332"/>
      <c r="H79" s="284"/>
      <c r="I79" s="164"/>
      <c r="J79" s="164"/>
      <c r="K79" s="395"/>
      <c r="L79" s="395"/>
      <c r="M79" s="164"/>
      <c r="N79" s="186">
        <f t="shared" si="70"/>
        <v>1.19676626643345</v>
      </c>
      <c r="O79" s="164"/>
      <c r="P79" s="164"/>
      <c r="Q79" s="164"/>
      <c r="R79" s="164"/>
      <c r="S79" s="164"/>
      <c r="T79" s="164"/>
      <c r="U79" s="164"/>
      <c r="V79" s="164"/>
      <c r="W79" s="164"/>
      <c r="X79" s="186">
        <f t="shared" si="71"/>
        <v>1.0183993761470242</v>
      </c>
      <c r="AH79" s="186">
        <f t="shared" si="72"/>
        <v>1.0225651825635729</v>
      </c>
      <c r="AI79" s="127"/>
    </row>
    <row r="80" spans="1:35">
      <c r="A80" s="10"/>
      <c r="B80" s="37"/>
      <c r="C80" s="332"/>
      <c r="D80" s="332"/>
      <c r="E80" s="332"/>
      <c r="F80" s="332"/>
      <c r="G80" s="332"/>
      <c r="H80" s="284"/>
      <c r="I80" s="164"/>
      <c r="J80" s="164"/>
      <c r="K80" s="164"/>
      <c r="L80" s="164"/>
      <c r="M80" s="164"/>
      <c r="N80" s="180"/>
      <c r="O80" s="164"/>
      <c r="P80" s="164"/>
      <c r="Q80" s="164"/>
      <c r="R80" s="164"/>
      <c r="S80" s="164"/>
      <c r="T80" s="164"/>
      <c r="U80" s="164"/>
      <c r="V80" s="164"/>
      <c r="W80" s="164"/>
      <c r="X80" s="185"/>
      <c r="AI80" s="127"/>
    </row>
    <row r="81" spans="1:35">
      <c r="A81" s="1" t="s">
        <v>548</v>
      </c>
      <c r="B81" s="37"/>
      <c r="C81" s="332"/>
      <c r="D81" s="332"/>
      <c r="E81" s="332"/>
      <c r="F81" s="332"/>
      <c r="G81" s="332"/>
      <c r="H81" s="284"/>
      <c r="I81" s="164"/>
      <c r="J81" s="164"/>
      <c r="K81" s="164"/>
      <c r="L81" s="164"/>
      <c r="M81" s="164"/>
      <c r="N81" s="184" t="s">
        <v>0</v>
      </c>
      <c r="O81" s="164"/>
      <c r="P81" s="164"/>
      <c r="Q81" s="164"/>
      <c r="R81" s="164"/>
      <c r="S81" s="164"/>
      <c r="T81" s="164"/>
      <c r="U81" s="164"/>
      <c r="V81" s="164"/>
      <c r="W81" s="164"/>
      <c r="X81" s="185"/>
      <c r="AI81" s="127"/>
    </row>
    <row r="82" spans="1:35">
      <c r="A82" s="9" t="s">
        <v>282</v>
      </c>
      <c r="B82" s="37"/>
      <c r="C82" s="332"/>
      <c r="D82" s="332"/>
      <c r="E82" s="332"/>
      <c r="F82" s="332"/>
      <c r="G82" s="332"/>
      <c r="H82" s="284"/>
      <c r="I82" s="164"/>
      <c r="J82" s="164"/>
      <c r="K82" s="164"/>
      <c r="L82" s="164"/>
      <c r="M82" s="164"/>
      <c r="N82" s="185" t="s">
        <v>0</v>
      </c>
      <c r="O82" s="164"/>
      <c r="P82" s="164"/>
      <c r="Q82" s="164"/>
      <c r="R82" s="164"/>
      <c r="S82" s="164"/>
      <c r="T82" s="164"/>
      <c r="U82" s="164"/>
      <c r="V82" s="164"/>
      <c r="W82" s="164"/>
      <c r="X82" s="185"/>
      <c r="AI82" s="127"/>
    </row>
    <row r="83" spans="1:35">
      <c r="A83" s="20" t="s">
        <v>122</v>
      </c>
      <c r="B83" s="37"/>
      <c r="C83" s="332"/>
      <c r="D83" s="332"/>
      <c r="E83" s="332"/>
      <c r="F83" s="332"/>
      <c r="G83" s="332"/>
      <c r="H83" s="284"/>
      <c r="I83" s="164"/>
      <c r="J83" s="164"/>
      <c r="K83" s="164"/>
      <c r="L83" s="164"/>
      <c r="M83" s="164"/>
      <c r="N83" s="180"/>
      <c r="O83" s="164"/>
      <c r="P83" s="164"/>
      <c r="Q83" s="164"/>
      <c r="R83" s="164"/>
      <c r="S83" s="164"/>
      <c r="T83" s="164"/>
      <c r="U83" s="164"/>
      <c r="V83" s="164"/>
      <c r="W83" s="164"/>
      <c r="X83" s="185"/>
      <c r="AI83" s="127"/>
    </row>
    <row r="84" spans="1:35">
      <c r="A84" s="9" t="s">
        <v>49</v>
      </c>
      <c r="B84" s="37"/>
      <c r="C84" s="336">
        <f t="shared" ref="C84:AH84" si="73">C31/C$49</f>
        <v>1.9188555670458459E-2</v>
      </c>
      <c r="D84" s="336">
        <f t="shared" si="73"/>
        <v>1.8753473598236519E-2</v>
      </c>
      <c r="E84" s="336">
        <f t="shared" si="73"/>
        <v>1.8318391526014579E-2</v>
      </c>
      <c r="F84" s="336">
        <f t="shared" si="73"/>
        <v>1.7883309453792639E-2</v>
      </c>
      <c r="G84" s="336">
        <f t="shared" si="73"/>
        <v>1.7448227381570699E-2</v>
      </c>
      <c r="H84" s="396">
        <f t="shared" si="73"/>
        <v>1.4660363927227639E-2</v>
      </c>
      <c r="I84" s="116">
        <f t="shared" si="73"/>
        <v>1.4617412085359221E-2</v>
      </c>
      <c r="J84" s="116">
        <f t="shared" si="73"/>
        <v>1.4574460243490805E-2</v>
      </c>
      <c r="K84" s="116">
        <f t="shared" si="73"/>
        <v>1.4531508401622385E-2</v>
      </c>
      <c r="L84" s="116">
        <f t="shared" si="73"/>
        <v>1.4488556559753967E-2</v>
      </c>
      <c r="M84" s="116">
        <f t="shared" si="73"/>
        <v>1.4445604717885549E-2</v>
      </c>
      <c r="N84" s="178">
        <f t="shared" si="73"/>
        <v>1.4402652876017134E-2</v>
      </c>
      <c r="O84" s="116">
        <f t="shared" si="73"/>
        <v>1.4262722265402662E-2</v>
      </c>
      <c r="P84" s="116">
        <f t="shared" si="73"/>
        <v>1.4122791654788193E-2</v>
      </c>
      <c r="Q84" s="116">
        <f t="shared" si="73"/>
        <v>1.3982861044173723E-2</v>
      </c>
      <c r="R84" s="116">
        <f t="shared" si="73"/>
        <v>1.3842930433559253E-2</v>
      </c>
      <c r="S84" s="116">
        <f t="shared" si="73"/>
        <v>1.3702999822944782E-2</v>
      </c>
      <c r="T84" s="116">
        <f t="shared" si="73"/>
        <v>1.3563069212330314E-2</v>
      </c>
      <c r="U84" s="116">
        <f t="shared" si="73"/>
        <v>1.3423138601715841E-2</v>
      </c>
      <c r="V84" s="116">
        <f t="shared" si="73"/>
        <v>1.3283207991101371E-2</v>
      </c>
      <c r="W84" s="116">
        <f t="shared" si="73"/>
        <v>1.3143277380486901E-2</v>
      </c>
      <c r="X84" s="178">
        <f t="shared" si="73"/>
        <v>1.3003346769872427E-2</v>
      </c>
      <c r="Y84" s="173">
        <f t="shared" si="73"/>
        <v>1.2937780692670271E-2</v>
      </c>
      <c r="Z84" s="173">
        <f t="shared" si="73"/>
        <v>1.2872214615468116E-2</v>
      </c>
      <c r="AA84" s="173">
        <f t="shared" si="73"/>
        <v>1.280664853826596E-2</v>
      </c>
      <c r="AB84" s="173">
        <f t="shared" si="73"/>
        <v>1.2741082461063804E-2</v>
      </c>
      <c r="AC84" s="173">
        <f t="shared" si="73"/>
        <v>1.2675516383861647E-2</v>
      </c>
      <c r="AD84" s="173">
        <f t="shared" si="73"/>
        <v>1.2609950306659495E-2</v>
      </c>
      <c r="AE84" s="173">
        <f t="shared" si="73"/>
        <v>1.2544384229457337E-2</v>
      </c>
      <c r="AF84" s="173">
        <f t="shared" si="73"/>
        <v>1.2478818152255182E-2</v>
      </c>
      <c r="AG84" s="173">
        <f t="shared" si="73"/>
        <v>1.2413252075053026E-2</v>
      </c>
      <c r="AH84" s="178">
        <f t="shared" si="73"/>
        <v>1.2347685997850874E-2</v>
      </c>
      <c r="AI84" s="127"/>
    </row>
    <row r="85" spans="1:35">
      <c r="A85" s="9" t="s">
        <v>59</v>
      </c>
      <c r="B85" s="37"/>
      <c r="C85" s="336">
        <f t="shared" ref="C85:AH85" si="74">C32/C$49</f>
        <v>0</v>
      </c>
      <c r="D85" s="336">
        <f t="shared" si="74"/>
        <v>0</v>
      </c>
      <c r="E85" s="336">
        <f t="shared" si="74"/>
        <v>0</v>
      </c>
      <c r="F85" s="336">
        <f t="shared" si="74"/>
        <v>0</v>
      </c>
      <c r="G85" s="336">
        <f t="shared" si="74"/>
        <v>0</v>
      </c>
      <c r="H85" s="396">
        <f t="shared" si="74"/>
        <v>0</v>
      </c>
      <c r="I85" s="116">
        <f t="shared" si="74"/>
        <v>0</v>
      </c>
      <c r="J85" s="116">
        <f t="shared" si="74"/>
        <v>0</v>
      </c>
      <c r="K85" s="116">
        <f t="shared" si="74"/>
        <v>0</v>
      </c>
      <c r="L85" s="116">
        <f t="shared" si="74"/>
        <v>0</v>
      </c>
      <c r="M85" s="116">
        <f t="shared" si="74"/>
        <v>0</v>
      </c>
      <c r="N85" s="178">
        <f t="shared" si="74"/>
        <v>0</v>
      </c>
      <c r="O85" s="116">
        <f t="shared" si="74"/>
        <v>0</v>
      </c>
      <c r="P85" s="116">
        <f t="shared" si="74"/>
        <v>0</v>
      </c>
      <c r="Q85" s="116">
        <f t="shared" si="74"/>
        <v>0</v>
      </c>
      <c r="R85" s="116">
        <f t="shared" si="74"/>
        <v>0</v>
      </c>
      <c r="S85" s="116">
        <f t="shared" si="74"/>
        <v>0</v>
      </c>
      <c r="T85" s="116">
        <f t="shared" si="74"/>
        <v>0</v>
      </c>
      <c r="U85" s="116">
        <f t="shared" si="74"/>
        <v>0</v>
      </c>
      <c r="V85" s="116">
        <f t="shared" si="74"/>
        <v>0</v>
      </c>
      <c r="W85" s="116">
        <f t="shared" si="74"/>
        <v>0</v>
      </c>
      <c r="X85" s="178">
        <f t="shared" si="74"/>
        <v>0</v>
      </c>
      <c r="Y85" s="173">
        <f t="shared" si="74"/>
        <v>0</v>
      </c>
      <c r="Z85" s="173">
        <f t="shared" si="74"/>
        <v>0</v>
      </c>
      <c r="AA85" s="173">
        <f t="shared" si="74"/>
        <v>0</v>
      </c>
      <c r="AB85" s="173">
        <f t="shared" si="74"/>
        <v>0</v>
      </c>
      <c r="AC85" s="173">
        <f t="shared" si="74"/>
        <v>0</v>
      </c>
      <c r="AD85" s="173">
        <f t="shared" si="74"/>
        <v>0</v>
      </c>
      <c r="AE85" s="173">
        <f t="shared" si="74"/>
        <v>0</v>
      </c>
      <c r="AF85" s="173">
        <f t="shared" si="74"/>
        <v>0</v>
      </c>
      <c r="AG85" s="173">
        <f t="shared" si="74"/>
        <v>0</v>
      </c>
      <c r="AH85" s="178">
        <f t="shared" si="74"/>
        <v>0</v>
      </c>
      <c r="AI85" s="127"/>
    </row>
    <row r="86" spans="1:35" s="252" customFormat="1">
      <c r="A86" s="10" t="s">
        <v>121</v>
      </c>
      <c r="B86" s="37"/>
      <c r="C86" s="410">
        <f t="shared" ref="C86:AH86" si="75">C34/C$49</f>
        <v>0</v>
      </c>
      <c r="D86" s="336">
        <f t="shared" si="75"/>
        <v>0</v>
      </c>
      <c r="E86" s="336">
        <f t="shared" si="75"/>
        <v>5.9912241967368266E-5</v>
      </c>
      <c r="F86" s="336">
        <f t="shared" si="75"/>
        <v>5.6091508122008156E-5</v>
      </c>
      <c r="G86" s="336">
        <f t="shared" si="75"/>
        <v>5.5990464394941343E-5</v>
      </c>
      <c r="H86" s="409">
        <f t="shared" si="75"/>
        <v>5.8395066332598376E-5</v>
      </c>
      <c r="I86" s="396">
        <f t="shared" si="75"/>
        <v>7.4513503926935536E-5</v>
      </c>
      <c r="J86" s="396">
        <f t="shared" si="75"/>
        <v>9.5081016533925074E-5</v>
      </c>
      <c r="K86" s="396">
        <f t="shared" si="75"/>
        <v>1.2132565546762004E-4</v>
      </c>
      <c r="L86" s="396">
        <f t="shared" si="75"/>
        <v>1.5481444363182157E-4</v>
      </c>
      <c r="M86" s="396">
        <f t="shared" si="75"/>
        <v>1.9754693980142578E-4</v>
      </c>
      <c r="N86" s="397">
        <f>N34/N$49</f>
        <v>2.5207462888744789E-4</v>
      </c>
      <c r="O86" s="396">
        <f t="shared" si="75"/>
        <v>2.5671264480146957E-4</v>
      </c>
      <c r="P86" s="396">
        <f t="shared" si="75"/>
        <v>2.6143599731486922E-4</v>
      </c>
      <c r="Q86" s="396">
        <f t="shared" si="75"/>
        <v>2.6624625656783792E-4</v>
      </c>
      <c r="R86" s="396">
        <f t="shared" si="75"/>
        <v>2.711450215901667E-4</v>
      </c>
      <c r="S86" s="396">
        <f t="shared" si="75"/>
        <v>2.7613392083279719E-4</v>
      </c>
      <c r="T86" s="396">
        <f t="shared" si="75"/>
        <v>2.8121461270915241E-4</v>
      </c>
      <c r="U86" s="396">
        <f t="shared" si="75"/>
        <v>2.8638878614642785E-4</v>
      </c>
      <c r="V86" s="396">
        <f t="shared" si="75"/>
        <v>2.9165816114702566E-4</v>
      </c>
      <c r="W86" s="396">
        <f t="shared" si="75"/>
        <v>2.970244893603192E-4</v>
      </c>
      <c r="X86" s="397">
        <f t="shared" si="75"/>
        <v>3.0248955466493748E-4</v>
      </c>
      <c r="Y86" s="396">
        <f>Y34/Y$49</f>
        <v>3.0931528668952558E-4</v>
      </c>
      <c r="Z86" s="396">
        <f t="shared" si="75"/>
        <v>3.1629504260337869E-4</v>
      </c>
      <c r="AA86" s="396">
        <f t="shared" si="75"/>
        <v>3.2343229798367698E-4</v>
      </c>
      <c r="AB86" s="396">
        <f t="shared" si="75"/>
        <v>3.3073060683463463E-4</v>
      </c>
      <c r="AC86" s="396">
        <f t="shared" si="75"/>
        <v>3.3819360335721936E-4</v>
      </c>
      <c r="AD86" s="396">
        <f t="shared" si="75"/>
        <v>3.4582500375880752E-4</v>
      </c>
      <c r="AE86" s="396">
        <f t="shared" si="75"/>
        <v>3.5362860810367336E-4</v>
      </c>
      <c r="AF86" s="396">
        <f t="shared" si="75"/>
        <v>3.6160830220523493E-4</v>
      </c>
      <c r="AG86" s="396">
        <f t="shared" si="75"/>
        <v>3.6976805956099966E-4</v>
      </c>
      <c r="AH86" s="397">
        <f t="shared" si="75"/>
        <v>3.7811194333117184E-4</v>
      </c>
      <c r="AI86" s="292"/>
    </row>
    <row r="87" spans="1:35">
      <c r="A87" s="9" t="s">
        <v>50</v>
      </c>
      <c r="B87" s="37"/>
      <c r="C87" s="410">
        <f t="shared" ref="C87:AH87" si="76">C35/C$49</f>
        <v>6.4115822130299885E-3</v>
      </c>
      <c r="D87" s="336">
        <f t="shared" si="76"/>
        <v>8.5415675771320435E-3</v>
      </c>
      <c r="E87" s="336">
        <f t="shared" si="76"/>
        <v>1.1379153265233522E-2</v>
      </c>
      <c r="F87" s="336">
        <f t="shared" si="76"/>
        <v>1.5159410478743909E-2</v>
      </c>
      <c r="G87" s="336">
        <f t="shared" si="76"/>
        <v>2.0195503189607011E-2</v>
      </c>
      <c r="H87" s="409">
        <f t="shared" si="76"/>
        <v>7.4590160931538186E-3</v>
      </c>
      <c r="I87" s="116">
        <f t="shared" si="76"/>
        <v>9.9369684270927995E-3</v>
      </c>
      <c r="J87" s="116">
        <f>J35/J$49</f>
        <v>1.3238118846756439E-2</v>
      </c>
      <c r="K87" s="116">
        <f t="shared" si="76"/>
        <v>1.7635941171257122E-2</v>
      </c>
      <c r="L87" s="116">
        <f t="shared" si="76"/>
        <v>2.3494759685757673E-2</v>
      </c>
      <c r="M87" s="116">
        <f t="shared" si="76"/>
        <v>3.129993048463748E-2</v>
      </c>
      <c r="N87" s="178">
        <f t="shared" si="76"/>
        <v>4.1698049328719712E-2</v>
      </c>
      <c r="O87" s="116">
        <f t="shared" si="76"/>
        <v>4.2465267422915988E-2</v>
      </c>
      <c r="P87" s="116">
        <f t="shared" si="76"/>
        <v>4.3246601851414192E-2</v>
      </c>
      <c r="Q87" s="116">
        <f t="shared" si="76"/>
        <v>4.4042312345958956E-2</v>
      </c>
      <c r="R87" s="116">
        <f t="shared" si="76"/>
        <v>4.4852663417196979E-2</v>
      </c>
      <c r="S87" s="116">
        <f t="shared" si="76"/>
        <v>4.5677924442605877E-2</v>
      </c>
      <c r="T87" s="116">
        <f t="shared" si="76"/>
        <v>4.6518369756040727E-2</v>
      </c>
      <c r="U87" s="116">
        <f t="shared" si="76"/>
        <v>4.737427873892848E-2</v>
      </c>
      <c r="V87" s="116">
        <f t="shared" si="76"/>
        <v>4.8245935913139998E-2</v>
      </c>
      <c r="W87" s="116">
        <f t="shared" si="76"/>
        <v>4.9133631035571092E-2</v>
      </c>
      <c r="X87" s="178">
        <f t="shared" si="76"/>
        <v>5.0037659194463652E-2</v>
      </c>
      <c r="Y87" s="173">
        <f t="shared" si="76"/>
        <v>5.1166768109240569E-2</v>
      </c>
      <c r="Z87" s="173">
        <f t="shared" si="76"/>
        <v>5.2321355572813574E-2</v>
      </c>
      <c r="AA87" s="173">
        <f t="shared" si="76"/>
        <v>5.3501996513287721E-2</v>
      </c>
      <c r="AB87" s="173">
        <f t="shared" si="76"/>
        <v>5.4709278832125695E-2</v>
      </c>
      <c r="AC87" s="173">
        <f t="shared" si="76"/>
        <v>5.5943803696894022E-2</v>
      </c>
      <c r="AD87" s="173">
        <f t="shared" si="76"/>
        <v>5.7206185840615119E-2</v>
      </c>
      <c r="AE87" s="173">
        <f t="shared" si="76"/>
        <v>5.849705386787428E-2</v>
      </c>
      <c r="AF87" s="173">
        <f t="shared" si="76"/>
        <v>5.9817050567834019E-2</v>
      </c>
      <c r="AG87" s="173">
        <f t="shared" si="76"/>
        <v>6.1166833234311664E-2</v>
      </c>
      <c r="AH87" s="178">
        <f t="shared" si="76"/>
        <v>6.2547073993079558E-2</v>
      </c>
      <c r="AI87" s="127"/>
    </row>
    <row r="88" spans="1:35">
      <c r="A88" s="9" t="s">
        <v>119</v>
      </c>
      <c r="B88" s="37"/>
      <c r="C88" s="410">
        <f t="shared" ref="C88:AH88" si="77">C36/C$49</f>
        <v>0</v>
      </c>
      <c r="D88" s="336">
        <f t="shared" si="77"/>
        <v>0</v>
      </c>
      <c r="E88" s="336">
        <f t="shared" si="77"/>
        <v>0</v>
      </c>
      <c r="F88" s="336">
        <f t="shared" si="77"/>
        <v>0</v>
      </c>
      <c r="G88" s="336">
        <f t="shared" si="77"/>
        <v>0</v>
      </c>
      <c r="H88" s="409">
        <f t="shared" si="77"/>
        <v>0</v>
      </c>
      <c r="I88" s="116">
        <f t="shared" si="77"/>
        <v>0</v>
      </c>
      <c r="J88" s="116">
        <f t="shared" si="77"/>
        <v>0</v>
      </c>
      <c r="K88" s="116">
        <f t="shared" si="77"/>
        <v>0</v>
      </c>
      <c r="L88" s="116">
        <f t="shared" si="77"/>
        <v>0</v>
      </c>
      <c r="M88" s="116">
        <f t="shared" si="77"/>
        <v>0</v>
      </c>
      <c r="N88" s="178">
        <f t="shared" si="77"/>
        <v>0</v>
      </c>
      <c r="O88" s="116">
        <f t="shared" si="77"/>
        <v>0</v>
      </c>
      <c r="P88" s="116">
        <f t="shared" si="77"/>
        <v>0</v>
      </c>
      <c r="Q88" s="116">
        <f t="shared" si="77"/>
        <v>0</v>
      </c>
      <c r="R88" s="116">
        <f t="shared" si="77"/>
        <v>0</v>
      </c>
      <c r="S88" s="116">
        <f t="shared" si="77"/>
        <v>0</v>
      </c>
      <c r="T88" s="116">
        <f t="shared" si="77"/>
        <v>0</v>
      </c>
      <c r="U88" s="116">
        <f t="shared" si="77"/>
        <v>0</v>
      </c>
      <c r="V88" s="116">
        <f t="shared" si="77"/>
        <v>0</v>
      </c>
      <c r="W88" s="116">
        <f t="shared" si="77"/>
        <v>0</v>
      </c>
      <c r="X88" s="178">
        <f t="shared" si="77"/>
        <v>0</v>
      </c>
      <c r="Y88" s="173">
        <f t="shared" si="77"/>
        <v>0</v>
      </c>
      <c r="Z88" s="173">
        <f t="shared" si="77"/>
        <v>0</v>
      </c>
      <c r="AA88" s="173">
        <f t="shared" si="77"/>
        <v>0</v>
      </c>
      <c r="AB88" s="173">
        <f t="shared" si="77"/>
        <v>0</v>
      </c>
      <c r="AC88" s="173">
        <f t="shared" si="77"/>
        <v>0</v>
      </c>
      <c r="AD88" s="173">
        <f t="shared" si="77"/>
        <v>0</v>
      </c>
      <c r="AE88" s="173">
        <f t="shared" si="77"/>
        <v>0</v>
      </c>
      <c r="AF88" s="173">
        <f t="shared" si="77"/>
        <v>0</v>
      </c>
      <c r="AG88" s="173">
        <f t="shared" si="77"/>
        <v>0</v>
      </c>
      <c r="AH88" s="178">
        <f t="shared" si="77"/>
        <v>0</v>
      </c>
      <c r="AI88" s="127"/>
    </row>
    <row r="89" spans="1:35">
      <c r="A89" s="9" t="s">
        <v>51</v>
      </c>
      <c r="B89" s="37"/>
      <c r="C89" s="410">
        <f t="shared" ref="C89:AH89" si="78">C37/C$49</f>
        <v>1.1030679076180626E-3</v>
      </c>
      <c r="D89" s="336">
        <f t="shared" si="78"/>
        <v>1.3452951563714109E-3</v>
      </c>
      <c r="E89" s="336">
        <f t="shared" si="78"/>
        <v>1.6407140895472671E-3</v>
      </c>
      <c r="F89" s="336">
        <f t="shared" si="78"/>
        <v>2.0010052893520737E-3</v>
      </c>
      <c r="G89" s="336">
        <f t="shared" si="78"/>
        <v>2.4404143253989072E-3</v>
      </c>
      <c r="H89" s="409">
        <f t="shared" si="78"/>
        <v>1.7252721368369609E-3</v>
      </c>
      <c r="I89" s="116">
        <f t="shared" si="78"/>
        <v>2.1041317883331661E-3</v>
      </c>
      <c r="J89" s="116">
        <f t="shared" si="78"/>
        <v>2.5661867992553778E-3</v>
      </c>
      <c r="K89" s="116">
        <f t="shared" si="78"/>
        <v>3.1297063830252104E-3</v>
      </c>
      <c r="L89" s="116">
        <f t="shared" si="78"/>
        <v>3.8169715652776903E-3</v>
      </c>
      <c r="M89" s="116">
        <f t="shared" si="78"/>
        <v>4.6551561543148956E-3</v>
      </c>
      <c r="N89" s="178">
        <f t="shared" si="78"/>
        <v>5.6774011675089055E-3</v>
      </c>
      <c r="O89" s="116">
        <f t="shared" si="78"/>
        <v>5.7818618071274553E-3</v>
      </c>
      <c r="P89" s="116">
        <f t="shared" si="78"/>
        <v>5.8882444573469068E-3</v>
      </c>
      <c r="Q89" s="116">
        <f t="shared" si="78"/>
        <v>5.9965844819632628E-3</v>
      </c>
      <c r="R89" s="116">
        <f t="shared" si="78"/>
        <v>6.1069178954443132E-3</v>
      </c>
      <c r="S89" s="116">
        <f t="shared" si="78"/>
        <v>6.2192813749015856E-3</v>
      </c>
      <c r="T89" s="116">
        <f t="shared" si="78"/>
        <v>6.3337122722825828E-3</v>
      </c>
      <c r="U89" s="116">
        <f t="shared" si="78"/>
        <v>6.4502486267873334E-3</v>
      </c>
      <c r="V89" s="116">
        <f t="shared" si="78"/>
        <v>6.56892917751342E-3</v>
      </c>
      <c r="W89" s="116">
        <f t="shared" si="78"/>
        <v>6.689793376333652E-3</v>
      </c>
      <c r="X89" s="178">
        <f t="shared" si="78"/>
        <v>6.8128814010106854E-3</v>
      </c>
      <c r="Y89" s="173">
        <f t="shared" si="78"/>
        <v>6.9666153136084619E-3</v>
      </c>
      <c r="Z89" s="173">
        <f t="shared" si="78"/>
        <v>7.1238182600102196E-3</v>
      </c>
      <c r="AA89" s="173">
        <f t="shared" si="78"/>
        <v>7.2845685195970632E-3</v>
      </c>
      <c r="AB89" s="173">
        <f t="shared" si="78"/>
        <v>7.4489461381386278E-3</v>
      </c>
      <c r="AC89" s="173">
        <f t="shared" si="78"/>
        <v>7.6170329676519474E-3</v>
      </c>
      <c r="AD89" s="173">
        <f t="shared" si="78"/>
        <v>7.7889127071597668E-3</v>
      </c>
      <c r="AE89" s="173">
        <f t="shared" si="78"/>
        <v>7.9646709443685591E-3</v>
      </c>
      <c r="AF89" s="173">
        <f t="shared" si="78"/>
        <v>8.1443951982870192E-3</v>
      </c>
      <c r="AG89" s="173">
        <f t="shared" si="78"/>
        <v>8.3281749628062521E-3</v>
      </c>
      <c r="AH89" s="178">
        <f t="shared" si="78"/>
        <v>8.516101751263357E-3</v>
      </c>
      <c r="AI89" s="127"/>
    </row>
    <row r="90" spans="1:35" s="252" customFormat="1">
      <c r="A90" s="10" t="s">
        <v>347</v>
      </c>
      <c r="B90" s="37"/>
      <c r="C90" s="410">
        <f t="shared" ref="C90:AH90" si="79">C38/C$49</f>
        <v>0</v>
      </c>
      <c r="D90" s="336">
        <f t="shared" si="79"/>
        <v>0</v>
      </c>
      <c r="E90" s="336">
        <f t="shared" si="79"/>
        <v>4.5999718965646436E-7</v>
      </c>
      <c r="F90" s="336">
        <f t="shared" si="79"/>
        <v>4.4488293779823491E-7</v>
      </c>
      <c r="G90" s="336">
        <f t="shared" si="79"/>
        <v>4.5183880806364057E-7</v>
      </c>
      <c r="H90" s="409">
        <f t="shared" si="79"/>
        <v>4.4097407874769677E-7</v>
      </c>
      <c r="I90" s="396">
        <f t="shared" si="79"/>
        <v>5.1864663176274222E-7</v>
      </c>
      <c r="J90" s="396">
        <f t="shared" si="79"/>
        <v>6.1000031884582166E-7</v>
      </c>
      <c r="K90" s="396">
        <f t="shared" si="79"/>
        <v>7.1744491567858762E-7</v>
      </c>
      <c r="L90" s="396">
        <f t="shared" si="79"/>
        <v>8.4381465243652401E-7</v>
      </c>
      <c r="M90" s="396">
        <f t="shared" si="79"/>
        <v>9.9244297660554497E-7</v>
      </c>
      <c r="N90" s="397">
        <f t="shared" si="79"/>
        <v>1.1672504844157902E-6</v>
      </c>
      <c r="O90" s="396">
        <f t="shared" si="79"/>
        <v>1.1887271651363527E-6</v>
      </c>
      <c r="P90" s="396">
        <f t="shared" si="79"/>
        <v>1.2105990033838823E-6</v>
      </c>
      <c r="Q90" s="396">
        <f t="shared" si="79"/>
        <v>1.2328732698103549E-6</v>
      </c>
      <c r="R90" s="396">
        <f t="shared" si="79"/>
        <v>1.2555573688432074E-6</v>
      </c>
      <c r="S90" s="396">
        <f t="shared" si="79"/>
        <v>1.2786588411467216E-6</v>
      </c>
      <c r="T90" s="396">
        <f t="shared" si="79"/>
        <v>1.3021853661286983E-6</v>
      </c>
      <c r="U90" s="396">
        <f t="shared" si="79"/>
        <v>1.3261447644932506E-6</v>
      </c>
      <c r="V90" s="396">
        <f t="shared" si="79"/>
        <v>1.3505450008405688E-6</v>
      </c>
      <c r="W90" s="396">
        <f t="shared" si="79"/>
        <v>1.3753941863145176E-6</v>
      </c>
      <c r="X90" s="397">
        <f t="shared" si="79"/>
        <v>1.4007005812989481E-6</v>
      </c>
      <c r="Y90" s="396">
        <f t="shared" si="79"/>
        <v>1.4323076456328614E-6</v>
      </c>
      <c r="Z90" s="396">
        <f t="shared" si="79"/>
        <v>1.4646279291437683E-6</v>
      </c>
      <c r="AA90" s="396">
        <f t="shared" si="79"/>
        <v>1.497677525752605E-6</v>
      </c>
      <c r="AB90" s="396">
        <f t="shared" si="79"/>
        <v>1.5314728925425727E-6</v>
      </c>
      <c r="AC90" s="396">
        <f t="shared" si="79"/>
        <v>1.5660308579539589E-6</v>
      </c>
      <c r="AD90" s="396">
        <f t="shared" si="79"/>
        <v>1.6013686301638786E-6</v>
      </c>
      <c r="AE90" s="396">
        <f t="shared" si="79"/>
        <v>1.6375038056551052E-6</v>
      </c>
      <c r="AF90" s="396">
        <f t="shared" si="79"/>
        <v>1.6744543779782581E-6</v>
      </c>
      <c r="AG90" s="396">
        <f t="shared" si="79"/>
        <v>1.7122387467117112E-6</v>
      </c>
      <c r="AH90" s="397">
        <f t="shared" si="79"/>
        <v>1.750875726623685E-6</v>
      </c>
      <c r="AI90" s="292"/>
    </row>
    <row r="91" spans="1:35" s="252" customFormat="1">
      <c r="A91" s="10" t="s">
        <v>348</v>
      </c>
      <c r="B91" s="37"/>
      <c r="C91" s="410">
        <f t="shared" ref="C91:AH91" si="80">C39/C$49</f>
        <v>0</v>
      </c>
      <c r="D91" s="336">
        <f t="shared" si="80"/>
        <v>0</v>
      </c>
      <c r="E91" s="336">
        <f t="shared" si="80"/>
        <v>2.2999859482823218E-7</v>
      </c>
      <c r="F91" s="336">
        <f t="shared" si="80"/>
        <v>2.2244146889911746E-7</v>
      </c>
      <c r="G91" s="336">
        <f t="shared" si="80"/>
        <v>2.2591940403182028E-7</v>
      </c>
      <c r="H91" s="409">
        <f t="shared" si="80"/>
        <v>2.2048703937384838E-7</v>
      </c>
      <c r="I91" s="396">
        <f t="shared" si="80"/>
        <v>2.5932331588137111E-7</v>
      </c>
      <c r="J91" s="396">
        <f t="shared" si="80"/>
        <v>3.0500015942291083E-7</v>
      </c>
      <c r="K91" s="396">
        <f t="shared" si="80"/>
        <v>3.5872245783929381E-7</v>
      </c>
      <c r="L91" s="396">
        <f t="shared" si="80"/>
        <v>4.2190732621826201E-7</v>
      </c>
      <c r="M91" s="396">
        <f t="shared" si="80"/>
        <v>4.9622148830277249E-7</v>
      </c>
      <c r="N91" s="397">
        <f t="shared" si="80"/>
        <v>5.8362524220789512E-7</v>
      </c>
      <c r="O91" s="396">
        <f t="shared" si="80"/>
        <v>5.9436358256817637E-7</v>
      </c>
      <c r="P91" s="396">
        <f t="shared" si="80"/>
        <v>6.0529950169194115E-7</v>
      </c>
      <c r="Q91" s="396">
        <f t="shared" si="80"/>
        <v>6.1643663490517747E-7</v>
      </c>
      <c r="R91" s="396">
        <f t="shared" si="80"/>
        <v>6.2777868442160368E-7</v>
      </c>
      <c r="S91" s="396">
        <f t="shared" si="80"/>
        <v>6.3932942057336079E-7</v>
      </c>
      <c r="T91" s="396">
        <f t="shared" si="80"/>
        <v>6.5109268306434913E-7</v>
      </c>
      <c r="U91" s="396">
        <f t="shared" si="80"/>
        <v>6.6307238224662532E-7</v>
      </c>
      <c r="V91" s="396">
        <f t="shared" si="80"/>
        <v>6.7527250042028441E-7</v>
      </c>
      <c r="W91" s="396">
        <f t="shared" si="80"/>
        <v>6.876970931572588E-7</v>
      </c>
      <c r="X91" s="397">
        <f t="shared" si="80"/>
        <v>7.0035029064947404E-7</v>
      </c>
      <c r="Y91" s="396">
        <f t="shared" si="80"/>
        <v>7.1615382281643072E-7</v>
      </c>
      <c r="Z91" s="396">
        <f t="shared" si="80"/>
        <v>7.3231396457188414E-7</v>
      </c>
      <c r="AA91" s="396">
        <f t="shared" si="80"/>
        <v>7.4883876287630252E-7</v>
      </c>
      <c r="AB91" s="396">
        <f t="shared" si="80"/>
        <v>7.6573644627128633E-7</v>
      </c>
      <c r="AC91" s="396">
        <f t="shared" si="80"/>
        <v>7.8301542897697947E-7</v>
      </c>
      <c r="AD91" s="396">
        <f t="shared" si="80"/>
        <v>8.006843150819393E-7</v>
      </c>
      <c r="AE91" s="396">
        <f t="shared" si="80"/>
        <v>8.1875190282755258E-7</v>
      </c>
      <c r="AF91" s="396">
        <f t="shared" si="80"/>
        <v>8.3722718898912903E-7</v>
      </c>
      <c r="AG91" s="396">
        <f t="shared" si="80"/>
        <v>8.5611937335585561E-7</v>
      </c>
      <c r="AH91" s="397">
        <f t="shared" si="80"/>
        <v>8.7543786331184252E-7</v>
      </c>
      <c r="AI91" s="292"/>
    </row>
    <row r="92" spans="1:35">
      <c r="A92" s="9" t="s">
        <v>344</v>
      </c>
      <c r="B92" s="37"/>
      <c r="C92" s="410">
        <f t="shared" ref="C92:AH92" si="81">C40/C$49</f>
        <v>2.2980581408709637E-7</v>
      </c>
      <c r="D92" s="336">
        <f t="shared" si="81"/>
        <v>2.7028348644492746E-7</v>
      </c>
      <c r="E92" s="336">
        <f t="shared" si="81"/>
        <v>3.1789083898955722E-7</v>
      </c>
      <c r="F92" s="336">
        <f t="shared" si="81"/>
        <v>3.7388368354525922E-7</v>
      </c>
      <c r="G92" s="336">
        <f t="shared" si="81"/>
        <v>4.3973902886192825E-7</v>
      </c>
      <c r="H92" s="409">
        <f t="shared" si="81"/>
        <v>2.2048703937384838E-7</v>
      </c>
      <c r="I92" s="116">
        <f t="shared" si="81"/>
        <v>2.5932331588137111E-7</v>
      </c>
      <c r="J92" s="116">
        <f t="shared" si="81"/>
        <v>3.0500015942291083E-7</v>
      </c>
      <c r="K92" s="116">
        <f t="shared" si="81"/>
        <v>3.5872245783929381E-7</v>
      </c>
      <c r="L92" s="116">
        <f t="shared" si="81"/>
        <v>4.2190732621826201E-7</v>
      </c>
      <c r="M92" s="116">
        <f t="shared" si="81"/>
        <v>4.9622148830277249E-7</v>
      </c>
      <c r="N92" s="178">
        <f t="shared" si="81"/>
        <v>5.8362524220789512E-7</v>
      </c>
      <c r="O92" s="116">
        <f t="shared" si="81"/>
        <v>5.9436358256817637E-7</v>
      </c>
      <c r="P92" s="116">
        <f t="shared" si="81"/>
        <v>6.0529950169194115E-7</v>
      </c>
      <c r="Q92" s="116">
        <f t="shared" si="81"/>
        <v>6.1643663490517747E-7</v>
      </c>
      <c r="R92" s="116">
        <f t="shared" si="81"/>
        <v>6.2777868442160368E-7</v>
      </c>
      <c r="S92" s="116">
        <f t="shared" si="81"/>
        <v>6.3932942057336079E-7</v>
      </c>
      <c r="T92" s="116">
        <f t="shared" si="81"/>
        <v>6.5109268306434913E-7</v>
      </c>
      <c r="U92" s="116">
        <f t="shared" si="81"/>
        <v>6.6307238224662532E-7</v>
      </c>
      <c r="V92" s="116">
        <f t="shared" si="81"/>
        <v>6.7527250042028441E-7</v>
      </c>
      <c r="W92" s="116">
        <f t="shared" si="81"/>
        <v>6.876970931572588E-7</v>
      </c>
      <c r="X92" s="178">
        <f t="shared" si="81"/>
        <v>7.0035029064947404E-7</v>
      </c>
      <c r="Y92" s="173">
        <f t="shared" si="81"/>
        <v>7.1615382281643072E-7</v>
      </c>
      <c r="Z92" s="173">
        <f t="shared" si="81"/>
        <v>7.3231396457188414E-7</v>
      </c>
      <c r="AA92" s="173">
        <f t="shared" si="81"/>
        <v>7.4883876287630252E-7</v>
      </c>
      <c r="AB92" s="173">
        <f t="shared" si="81"/>
        <v>7.6573644627128633E-7</v>
      </c>
      <c r="AC92" s="173">
        <f t="shared" si="81"/>
        <v>7.8301542897697947E-7</v>
      </c>
      <c r="AD92" s="173">
        <f t="shared" si="81"/>
        <v>8.006843150819393E-7</v>
      </c>
      <c r="AE92" s="173">
        <f t="shared" si="81"/>
        <v>8.1875190282755258E-7</v>
      </c>
      <c r="AF92" s="173">
        <f t="shared" si="81"/>
        <v>8.3722718898912903E-7</v>
      </c>
      <c r="AG92" s="173">
        <f t="shared" si="81"/>
        <v>8.5611937335585561E-7</v>
      </c>
      <c r="AH92" s="178">
        <f t="shared" si="81"/>
        <v>8.7543786331184252E-7</v>
      </c>
      <c r="AI92" s="127"/>
    </row>
    <row r="93" spans="1:35">
      <c r="A93" s="9" t="s">
        <v>120</v>
      </c>
      <c r="B93" s="37"/>
      <c r="C93" s="410">
        <f t="shared" ref="C93:AH93" si="82">C41/C$49</f>
        <v>0</v>
      </c>
      <c r="D93" s="336">
        <f t="shared" si="82"/>
        <v>0</v>
      </c>
      <c r="E93" s="336">
        <f t="shared" si="82"/>
        <v>0</v>
      </c>
      <c r="F93" s="336">
        <f t="shared" si="82"/>
        <v>0</v>
      </c>
      <c r="G93" s="336">
        <f t="shared" si="82"/>
        <v>0</v>
      </c>
      <c r="H93" s="409">
        <f t="shared" si="82"/>
        <v>2.2048703937384836E-5</v>
      </c>
      <c r="I93" s="116">
        <f t="shared" si="82"/>
        <v>4.4601130114238572E-5</v>
      </c>
      <c r="J93" s="116">
        <f t="shared" si="82"/>
        <v>6.6265559391980752E-5</v>
      </c>
      <c r="K93" s="116">
        <f t="shared" si="82"/>
        <v>8.6046688833567154E-5</v>
      </c>
      <c r="L93" s="116">
        <f t="shared" si="82"/>
        <v>1.0526607373454025E-4</v>
      </c>
      <c r="M93" s="116">
        <f t="shared" si="82"/>
        <v>1.2562052313560185E-4</v>
      </c>
      <c r="N93" s="178">
        <f t="shared" si="82"/>
        <v>1.4543832763006599E-4</v>
      </c>
      <c r="O93" s="116">
        <f t="shared" si="82"/>
        <v>1.6576060132955029E-4</v>
      </c>
      <c r="P93" s="116">
        <f t="shared" si="82"/>
        <v>1.8374183318755328E-4</v>
      </c>
      <c r="Q93" s="116">
        <f t="shared" si="82"/>
        <v>2.0061130663639979E-4</v>
      </c>
      <c r="R93" s="116">
        <f t="shared" si="82"/>
        <v>2.1887403304843089E-4</v>
      </c>
      <c r="S93" s="116">
        <f t="shared" si="82"/>
        <v>2.3561850340286087E-4</v>
      </c>
      <c r="T93" s="116">
        <f t="shared" si="82"/>
        <v>2.5127355824733214E-4</v>
      </c>
      <c r="U93" s="116">
        <f t="shared" si="82"/>
        <v>2.6792190825455811E-4</v>
      </c>
      <c r="V93" s="116">
        <f t="shared" si="82"/>
        <v>2.8524345002361052E-4</v>
      </c>
      <c r="W93" s="116">
        <f t="shared" si="82"/>
        <v>3.0037504302026245E-4</v>
      </c>
      <c r="X93" s="178">
        <f t="shared" si="82"/>
        <v>3.1534578374576541E-4</v>
      </c>
      <c r="Y93" s="173">
        <f t="shared" si="82"/>
        <v>3.3329761458217316E-4</v>
      </c>
      <c r="Z93" s="173">
        <f t="shared" si="82"/>
        <v>3.4741978018215181E-4</v>
      </c>
      <c r="AA93" s="173">
        <f t="shared" si="82"/>
        <v>3.6277083528419251E-4</v>
      </c>
      <c r="AB93" s="173">
        <f t="shared" si="82"/>
        <v>3.7883584496745321E-4</v>
      </c>
      <c r="AC93" s="173">
        <f t="shared" si="82"/>
        <v>3.9541246096455894E-4</v>
      </c>
      <c r="AD93" s="173">
        <f t="shared" si="82"/>
        <v>4.1333328310784348E-4</v>
      </c>
      <c r="AE93" s="173">
        <f t="shared" si="82"/>
        <v>4.3043309241168185E-4</v>
      </c>
      <c r="AF93" s="173">
        <f t="shared" si="82"/>
        <v>4.4601583533971566E-4</v>
      </c>
      <c r="AG93" s="173">
        <f t="shared" si="82"/>
        <v>4.5859166573848555E-4</v>
      </c>
      <c r="AH93" s="178">
        <f t="shared" si="82"/>
        <v>4.718857913305328E-4</v>
      </c>
      <c r="AI93" s="127"/>
    </row>
    <row r="94" spans="1:35">
      <c r="A94" s="9" t="s">
        <v>53</v>
      </c>
      <c r="B94" s="37"/>
      <c r="C94" s="410">
        <f t="shared" ref="C94:AH94" si="83">C42/C$49</f>
        <v>3.676893025393542E-3</v>
      </c>
      <c r="D94" s="336">
        <f t="shared" si="83"/>
        <v>1.0613095802141573E-2</v>
      </c>
      <c r="E94" s="336">
        <f t="shared" si="83"/>
        <v>1.3801245656568527E-2</v>
      </c>
      <c r="F94" s="336">
        <f t="shared" si="83"/>
        <v>1.5235188597038953E-2</v>
      </c>
      <c r="G94" s="336">
        <f t="shared" si="83"/>
        <v>1.8207632664845957E-2</v>
      </c>
      <c r="H94" s="409">
        <f t="shared" si="83"/>
        <v>1.7824924675003767E-2</v>
      </c>
      <c r="I94" s="116">
        <f t="shared" si="83"/>
        <v>2.1332268552761734E-2</v>
      </c>
      <c r="J94" s="116">
        <f t="shared" si="83"/>
        <v>2.5529739390444357E-2</v>
      </c>
      <c r="K94" s="116">
        <f t="shared" si="83"/>
        <v>3.0553130893321075E-2</v>
      </c>
      <c r="L94" s="116">
        <f t="shared" si="83"/>
        <v>3.6564956387052358E-2</v>
      </c>
      <c r="M94" s="116">
        <f t="shared" si="83"/>
        <v>4.3759706337634575E-2</v>
      </c>
      <c r="N94" s="178">
        <f t="shared" si="83"/>
        <v>5.2370140373915096E-2</v>
      </c>
      <c r="O94" s="116">
        <f t="shared" si="83"/>
        <v>5.3333718285527243E-2</v>
      </c>
      <c r="P94" s="116">
        <f t="shared" si="83"/>
        <v>5.4315025429582074E-2</v>
      </c>
      <c r="Q94" s="116">
        <f t="shared" si="83"/>
        <v>5.5314388012896148E-2</v>
      </c>
      <c r="R94" s="116">
        <f t="shared" si="83"/>
        <v>5.6332138244287878E-2</v>
      </c>
      <c r="S94" s="116">
        <f t="shared" si="83"/>
        <v>5.7368614445010693E-2</v>
      </c>
      <c r="T94" s="116">
        <f t="shared" si="83"/>
        <v>5.8424161161218055E-2</v>
      </c>
      <c r="U94" s="116">
        <f t="shared" si="83"/>
        <v>5.9499129278497681E-2</v>
      </c>
      <c r="V94" s="116">
        <f t="shared" si="83"/>
        <v>6.0593876138513178E-2</v>
      </c>
      <c r="W94" s="116">
        <f t="shared" si="83"/>
        <v>6.1708765657791882E-2</v>
      </c>
      <c r="X94" s="178">
        <f t="shared" si="83"/>
        <v>6.2844168448698112E-2</v>
      </c>
      <c r="Y94" s="173">
        <f t="shared" si="83"/>
        <v>6.4262258582798909E-2</v>
      </c>
      <c r="Z94" s="173">
        <f t="shared" si="83"/>
        <v>6.5712348179667299E-2</v>
      </c>
      <c r="AA94" s="173">
        <f t="shared" si="83"/>
        <v>6.7195159313022557E-2</v>
      </c>
      <c r="AB94" s="173">
        <f t="shared" si="83"/>
        <v>6.8711430350309272E-2</v>
      </c>
      <c r="AC94" s="173">
        <f t="shared" si="83"/>
        <v>7.0261916320368226E-2</v>
      </c>
      <c r="AD94" s="173">
        <f t="shared" si="83"/>
        <v>7.1847389289403818E-2</v>
      </c>
      <c r="AE94" s="173">
        <f t="shared" si="83"/>
        <v>7.34686387454353E-2</v>
      </c>
      <c r="AF94" s="173">
        <f t="shared" si="83"/>
        <v>7.5126471991423235E-2</v>
      </c>
      <c r="AG94" s="173">
        <f t="shared" si="83"/>
        <v>7.6821714547266842E-2</v>
      </c>
      <c r="AH94" s="178">
        <f t="shared" si="83"/>
        <v>7.855521056087264E-2</v>
      </c>
      <c r="AI94" s="127"/>
    </row>
    <row r="95" spans="1:35" s="378" customFormat="1">
      <c r="A95" s="373" t="s">
        <v>541</v>
      </c>
      <c r="B95" s="374"/>
      <c r="C95" s="375">
        <f>SUM(C86:C94)</f>
        <v>1.119177295185568E-2</v>
      </c>
      <c r="D95" s="375">
        <f>SUM(D86:D94)</f>
        <v>2.0500228819131473E-2</v>
      </c>
      <c r="E95" s="375">
        <f>SUM(E86:E94)</f>
        <v>2.6882033139940156E-2</v>
      </c>
      <c r="F95" s="375">
        <f>SUM(F86:F94)</f>
        <v>3.2452737081347188E-2</v>
      </c>
      <c r="G95" s="375">
        <f t="shared" ref="G95:AH95" si="84">SUM(G86:G94)</f>
        <v>4.0900658141487772E-2</v>
      </c>
      <c r="H95" s="375">
        <f t="shared" si="84"/>
        <v>2.7090538623422027E-2</v>
      </c>
      <c r="I95" s="375">
        <f t="shared" si="84"/>
        <v>3.3493520695492399E-2</v>
      </c>
      <c r="J95" s="375">
        <f t="shared" si="84"/>
        <v>4.1496611613019777E-2</v>
      </c>
      <c r="K95" s="375">
        <f t="shared" si="84"/>
        <v>5.1527585681735946E-2</v>
      </c>
      <c r="L95" s="375">
        <f t="shared" si="84"/>
        <v>6.4138455784758963E-2</v>
      </c>
      <c r="M95" s="375">
        <f t="shared" si="84"/>
        <v>8.0039945325477188E-2</v>
      </c>
      <c r="N95" s="376">
        <f t="shared" si="84"/>
        <v>0.10014543832763007</v>
      </c>
      <c r="O95" s="375">
        <f t="shared" si="84"/>
        <v>0.10200569821603198</v>
      </c>
      <c r="P95" s="375">
        <f t="shared" si="84"/>
        <v>0.10389747076685237</v>
      </c>
      <c r="Q95" s="375">
        <f t="shared" si="84"/>
        <v>0.10582260815056221</v>
      </c>
      <c r="R95" s="375">
        <f t="shared" si="84"/>
        <v>0.10778424972630546</v>
      </c>
      <c r="S95" s="375">
        <f t="shared" si="84"/>
        <v>0.10978013000443611</v>
      </c>
      <c r="T95" s="375">
        <f t="shared" si="84"/>
        <v>0.11181133573123012</v>
      </c>
      <c r="U95" s="375">
        <f t="shared" si="84"/>
        <v>0.11388061962814347</v>
      </c>
      <c r="V95" s="375">
        <f t="shared" si="84"/>
        <v>0.11598834393033892</v>
      </c>
      <c r="W95" s="375">
        <f t="shared" si="84"/>
        <v>0.11813234039044984</v>
      </c>
      <c r="X95" s="376">
        <f t="shared" si="84"/>
        <v>0.12031534578374575</v>
      </c>
      <c r="Y95" s="375">
        <f t="shared" si="84"/>
        <v>0.12304111952221089</v>
      </c>
      <c r="Z95" s="375">
        <f t="shared" si="84"/>
        <v>0.12582416609113492</v>
      </c>
      <c r="AA95" s="375">
        <f t="shared" si="84"/>
        <v>0.12867092283422671</v>
      </c>
      <c r="AB95" s="375">
        <f t="shared" si="84"/>
        <v>0.13158228471816077</v>
      </c>
      <c r="AC95" s="375">
        <f t="shared" si="84"/>
        <v>0.13455949111095189</v>
      </c>
      <c r="AD95" s="375">
        <f t="shared" si="84"/>
        <v>0.1376048488613057</v>
      </c>
      <c r="AE95" s="375">
        <f t="shared" si="84"/>
        <v>0.14071770026580482</v>
      </c>
      <c r="AF95" s="375">
        <f t="shared" si="84"/>
        <v>0.14389889080384519</v>
      </c>
      <c r="AG95" s="375">
        <f t="shared" si="84"/>
        <v>0.14714850694717768</v>
      </c>
      <c r="AH95" s="376">
        <f t="shared" si="84"/>
        <v>0.15047188579133053</v>
      </c>
      <c r="AI95" s="377"/>
    </row>
    <row r="96" spans="1:35">
      <c r="A96" s="10" t="s">
        <v>544</v>
      </c>
      <c r="B96" s="37"/>
      <c r="C96" s="332"/>
      <c r="D96" s="332">
        <f>D95/C95-1</f>
        <v>0.83172307974067516</v>
      </c>
      <c r="E96" s="332">
        <f t="shared" ref="E96:O96" si="85">E95/D95-1</f>
        <v>0.31130405309686005</v>
      </c>
      <c r="F96" s="332">
        <f t="shared" si="85"/>
        <v>0.20722777597987263</v>
      </c>
      <c r="G96" s="332">
        <f t="shared" si="85"/>
        <v>0.26031459346448105</v>
      </c>
      <c r="H96" s="284"/>
      <c r="I96" s="164">
        <f t="shared" si="85"/>
        <v>0.23635491937153508</v>
      </c>
      <c r="J96" s="164">
        <f t="shared" si="85"/>
        <v>0.23894445108616025</v>
      </c>
      <c r="K96" s="164">
        <f t="shared" si="85"/>
        <v>0.24172995526142915</v>
      </c>
      <c r="L96" s="164">
        <f t="shared" si="85"/>
        <v>0.24474017045772367</v>
      </c>
      <c r="M96" s="164">
        <f t="shared" si="85"/>
        <v>0.24792442141235416</v>
      </c>
      <c r="N96" s="164">
        <f t="shared" si="85"/>
        <v>0.25119323758150025</v>
      </c>
      <c r="O96" s="172">
        <f t="shared" si="85"/>
        <v>1.8575582866949825E-2</v>
      </c>
      <c r="P96" s="172">
        <f t="shared" ref="P96:AH96" si="86">P95/O95-1</f>
        <v>1.8545753657936981E-2</v>
      </c>
      <c r="Q96" s="172">
        <f t="shared" si="86"/>
        <v>1.8529203545579076E-2</v>
      </c>
      <c r="R96" s="172">
        <f t="shared" si="86"/>
        <v>1.8537074544149101E-2</v>
      </c>
      <c r="S96" s="172">
        <f t="shared" si="86"/>
        <v>1.8517364858026575E-2</v>
      </c>
      <c r="T96" s="172">
        <f t="shared" si="86"/>
        <v>1.8502489719331994E-2</v>
      </c>
      <c r="U96" s="172">
        <f t="shared" si="86"/>
        <v>1.8506924037536399E-2</v>
      </c>
      <c r="V96" s="172">
        <f t="shared" si="86"/>
        <v>1.8508191376880756E-2</v>
      </c>
      <c r="W96" s="172">
        <f t="shared" si="86"/>
        <v>1.8484585497647643E-2</v>
      </c>
      <c r="X96" s="185">
        <f t="shared" si="86"/>
        <v>1.8479320616866302E-2</v>
      </c>
      <c r="Y96" s="172">
        <f t="shared" si="86"/>
        <v>2.2655245851717298E-2</v>
      </c>
      <c r="Z96" s="172">
        <f t="shared" si="86"/>
        <v>2.2618833278915673E-2</v>
      </c>
      <c r="AA96" s="172">
        <f t="shared" si="86"/>
        <v>2.2624880669027236E-2</v>
      </c>
      <c r="AB96" s="172">
        <f t="shared" si="86"/>
        <v>2.2626416441303698E-2</v>
      </c>
      <c r="AC96" s="172">
        <f t="shared" si="86"/>
        <v>2.2626194697622504E-2</v>
      </c>
      <c r="AD96" s="172">
        <f t="shared" si="86"/>
        <v>2.2632054604329044E-2</v>
      </c>
      <c r="AE96" s="172">
        <f t="shared" si="86"/>
        <v>2.2621669441580616E-2</v>
      </c>
      <c r="AF96" s="172">
        <f t="shared" si="86"/>
        <v>2.2606896872471305E-2</v>
      </c>
      <c r="AG96" s="172">
        <f t="shared" si="86"/>
        <v>2.2582635107050164E-2</v>
      </c>
      <c r="AH96" s="185">
        <f t="shared" si="86"/>
        <v>2.2585202616740352E-2</v>
      </c>
      <c r="AI96" s="127"/>
    </row>
    <row r="97" spans="1:36">
      <c r="A97" s="10"/>
      <c r="B97" s="37"/>
      <c r="C97" s="332"/>
      <c r="D97" s="332"/>
      <c r="E97" s="332"/>
      <c r="F97" s="332"/>
      <c r="G97" s="332"/>
      <c r="H97" s="284"/>
      <c r="I97" s="164"/>
      <c r="J97" s="164"/>
      <c r="K97" s="164"/>
      <c r="L97" s="164"/>
      <c r="M97" s="164"/>
      <c r="N97" s="180"/>
      <c r="O97" s="164"/>
      <c r="P97" s="164"/>
      <c r="Q97" s="164"/>
      <c r="R97" s="164"/>
      <c r="S97" s="164"/>
      <c r="T97" s="164"/>
      <c r="U97" s="164"/>
      <c r="V97" s="164"/>
      <c r="W97" s="164"/>
      <c r="X97" s="185"/>
      <c r="AI97" s="127"/>
    </row>
    <row r="98" spans="1:36">
      <c r="A98" s="10"/>
      <c r="B98" s="37"/>
      <c r="C98" s="332"/>
      <c r="D98" s="332"/>
      <c r="E98" s="332"/>
      <c r="F98" s="332"/>
      <c r="G98" s="332"/>
      <c r="H98" s="284"/>
      <c r="I98" s="172"/>
      <c r="J98" s="172"/>
      <c r="K98" s="172"/>
      <c r="L98" s="172"/>
      <c r="M98" s="172"/>
      <c r="N98" s="185"/>
      <c r="O98" s="172"/>
      <c r="P98" s="172"/>
      <c r="Q98" s="172"/>
      <c r="R98" s="172"/>
      <c r="S98" s="172"/>
      <c r="T98" s="172"/>
      <c r="U98" s="172"/>
      <c r="V98" s="172"/>
      <c r="W98" s="172"/>
      <c r="X98" s="185"/>
      <c r="AI98" s="127"/>
    </row>
    <row r="99" spans="1:36">
      <c r="A99" s="1" t="s">
        <v>139</v>
      </c>
      <c r="C99" s="328">
        <v>2009</v>
      </c>
      <c r="D99" s="328">
        <v>2010</v>
      </c>
      <c r="E99" s="328">
        <v>2011</v>
      </c>
      <c r="F99" s="328">
        <v>2012</v>
      </c>
      <c r="G99" s="328">
        <v>2013</v>
      </c>
      <c r="H99" s="400">
        <v>2014</v>
      </c>
      <c r="I99" s="13">
        <v>2015</v>
      </c>
      <c r="J99" s="13">
        <v>2016</v>
      </c>
      <c r="K99" s="13">
        <v>2017</v>
      </c>
      <c r="L99" s="13">
        <v>2018</v>
      </c>
      <c r="M99" s="13">
        <v>2019</v>
      </c>
      <c r="N99" s="176">
        <v>2020</v>
      </c>
      <c r="O99" s="13">
        <v>2021</v>
      </c>
      <c r="P99" s="13">
        <v>2022</v>
      </c>
      <c r="Q99" s="13">
        <v>2023</v>
      </c>
      <c r="R99" s="13">
        <v>2024</v>
      </c>
      <c r="S99" s="13">
        <v>2025</v>
      </c>
      <c r="T99" s="13">
        <v>2026</v>
      </c>
      <c r="U99" s="13">
        <v>2027</v>
      </c>
      <c r="V99" s="13">
        <v>2028</v>
      </c>
      <c r="W99" s="13">
        <v>2029</v>
      </c>
      <c r="X99" s="176">
        <v>2030</v>
      </c>
      <c r="Y99" s="13">
        <v>2031</v>
      </c>
      <c r="Z99" s="13">
        <v>2032</v>
      </c>
      <c r="AA99" s="13">
        <v>2033</v>
      </c>
      <c r="AB99" s="13">
        <v>2034</v>
      </c>
      <c r="AC99" s="13">
        <v>2035</v>
      </c>
      <c r="AD99" s="13">
        <v>2036</v>
      </c>
      <c r="AE99" s="13">
        <v>2037</v>
      </c>
      <c r="AF99" s="13">
        <v>2038</v>
      </c>
      <c r="AG99" s="13">
        <v>2039</v>
      </c>
      <c r="AH99" s="176">
        <v>2040</v>
      </c>
      <c r="AI99" s="1"/>
    </row>
    <row r="100" spans="1:36">
      <c r="A100" s="10" t="s">
        <v>61</v>
      </c>
      <c r="B100" s="35">
        <v>0</v>
      </c>
      <c r="C100" s="331">
        <v>0</v>
      </c>
      <c r="D100" s="331">
        <f xml:space="preserve"> IF(D29*Inputs!$C44 &gt; 0, D29*Inputs!$C44, 0)</f>
        <v>0</v>
      </c>
      <c r="E100" s="331">
        <f xml:space="preserve"> IF(E29*Inputs!$C44 &gt; 0, E29*Inputs!$C44, 0)</f>
        <v>0</v>
      </c>
      <c r="F100" s="331">
        <f xml:space="preserve"> IF(F29*Inputs!$C44 &gt; 0, F29*Inputs!$C44, 0)</f>
        <v>0</v>
      </c>
      <c r="G100" s="331">
        <f xml:space="preserve"> IF(G29*Inputs!$C44 &gt; 0, G29*Inputs!$C44, 0)</f>
        <v>0</v>
      </c>
      <c r="H100" s="402">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2">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7">
        <f xml:space="preserve"> IF(X29*Inputs!$C44 &gt; 0, X29*Inputs!$C44, 0)</f>
        <v>0</v>
      </c>
    </row>
    <row r="101" spans="1:36">
      <c r="A101" s="10" t="s">
        <v>60</v>
      </c>
      <c r="B101" s="35">
        <v>0</v>
      </c>
      <c r="C101" s="331">
        <v>0</v>
      </c>
      <c r="D101" s="331">
        <f>D30*Inputs!$C47</f>
        <v>0</v>
      </c>
      <c r="E101" s="331">
        <f>E30*Inputs!$C47</f>
        <v>0</v>
      </c>
      <c r="F101" s="331">
        <f>F30*Inputs!$C47</f>
        <v>0</v>
      </c>
      <c r="G101" s="331">
        <f>G30*Inputs!$C47</f>
        <v>0</v>
      </c>
      <c r="H101" s="402">
        <f>H30*Inputs!$C47</f>
        <v>0</v>
      </c>
      <c r="I101" s="14">
        <f>I30*Inputs!$C47</f>
        <v>0</v>
      </c>
      <c r="J101" s="14">
        <f>J30*Inputs!$C47</f>
        <v>0</v>
      </c>
      <c r="K101" s="14">
        <f>K30*Inputs!$C47</f>
        <v>0</v>
      </c>
      <c r="L101" s="14">
        <f>L30*Inputs!$C47</f>
        <v>0</v>
      </c>
      <c r="M101" s="14">
        <f>M30*Inputs!$C47</f>
        <v>0</v>
      </c>
      <c r="N101" s="182">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7">
        <f>X30*Inputs!$C47</f>
        <v>0</v>
      </c>
    </row>
    <row r="102" spans="1:36">
      <c r="A102" s="10" t="s">
        <v>49</v>
      </c>
      <c r="B102" s="35">
        <v>0</v>
      </c>
      <c r="C102" s="331">
        <f>C31*Inputs!$C$48</f>
        <v>125.24849999999999</v>
      </c>
      <c r="D102" s="331">
        <f>D31*Inputs!$C$48</f>
        <v>118.74324412931398</v>
      </c>
      <c r="E102" s="331">
        <f>E31*Inputs!$C$48</f>
        <v>119.46850070776611</v>
      </c>
      <c r="F102" s="331">
        <f>F31*Inputs!$C$48</f>
        <v>120.59336019245009</v>
      </c>
      <c r="G102" s="331">
        <f>G31*Inputs!$C$48</f>
        <v>115.84813258745019</v>
      </c>
      <c r="H102" s="402">
        <f>H31*Inputs!$C$48</f>
        <v>99.736229182864719</v>
      </c>
      <c r="I102" s="14">
        <f>I31*Inputs!$C$48</f>
        <v>98.320908335186246</v>
      </c>
      <c r="J102" s="14">
        <f>J31*Inputs!$C$48</f>
        <v>98.973089033706273</v>
      </c>
      <c r="K102" s="14">
        <f>K31*Inputs!$C$48</f>
        <v>101.32760666523349</v>
      </c>
      <c r="L102" s="14">
        <f>L31*Inputs!$C$48</f>
        <v>103.22810602035355</v>
      </c>
      <c r="M102" s="14">
        <f>M31*Inputs!$C$48</f>
        <v>103.49458768025458</v>
      </c>
      <c r="N102" s="182">
        <f>N31*Inputs!$C$48</f>
        <v>103.98074404625997</v>
      </c>
      <c r="O102" s="14">
        <f>O31*Inputs!$C$48</f>
        <v>103.25292368152166</v>
      </c>
      <c r="P102" s="14">
        <f>P31*Inputs!$C$48</f>
        <v>103.76389743811252</v>
      </c>
      <c r="Q102" s="14">
        <f>Q31*Inputs!$C$48</f>
        <v>104.55189150567507</v>
      </c>
      <c r="R102" s="14">
        <f>R31*Inputs!$C$48</f>
        <v>104.35607594583277</v>
      </c>
      <c r="S102" s="14">
        <f>S31*Inputs!$C$48</f>
        <v>104.68362766538615</v>
      </c>
      <c r="T102" s="14">
        <f>T31*Inputs!$C$48</f>
        <v>105.25574258000908</v>
      </c>
      <c r="U102" s="14">
        <f>U31*Inputs!$C$48</f>
        <v>105.21196734990671</v>
      </c>
      <c r="V102" s="14">
        <f>V31*Inputs!$C$48</f>
        <v>104.77792909006052</v>
      </c>
      <c r="W102" s="14">
        <f>W31*Inputs!$C$48</f>
        <v>105.01493531551721</v>
      </c>
      <c r="X102" s="187">
        <f>X31*Inputs!$C$48</f>
        <v>105.14976249026813</v>
      </c>
      <c r="Y102" s="158">
        <f>Y31*Inputs!$C$48</f>
        <v>104.80725436334434</v>
      </c>
      <c r="Z102" s="158">
        <f>Z31*Inputs!$C$48</f>
        <v>105.59505746866168</v>
      </c>
      <c r="AA102" s="158">
        <f>AA31*Inputs!$C$48</f>
        <v>105.90693043088737</v>
      </c>
      <c r="AB102" s="158">
        <f>AB31*Inputs!$C$48</f>
        <v>105.94142630774297</v>
      </c>
      <c r="AC102" s="158">
        <f>AC31*Inputs!$C$48</f>
        <v>105.78625662101381</v>
      </c>
      <c r="AD102" s="158">
        <f>AD31*Inputs!$C$48</f>
        <v>105.25242059112009</v>
      </c>
      <c r="AE102" s="158">
        <f>AE31*Inputs!$C$48</f>
        <v>104.91708008094777</v>
      </c>
      <c r="AF102" s="158">
        <f>AF31*Inputs!$C$48</f>
        <v>104.91907318787074</v>
      </c>
      <c r="AG102" s="158">
        <f>AG31*Inputs!$C$48</f>
        <v>105.56598976727552</v>
      </c>
      <c r="AH102" s="187">
        <f>AH31*Inputs!$C$48</f>
        <v>105.97506687008467</v>
      </c>
    </row>
    <row r="103" spans="1:36">
      <c r="A103" s="10" t="s">
        <v>59</v>
      </c>
      <c r="B103" s="35">
        <v>0</v>
      </c>
      <c r="C103" s="331">
        <f>C32*Inputs!$C$53</f>
        <v>0</v>
      </c>
      <c r="D103" s="331">
        <f>D32*Inputs!$C$53</f>
        <v>0</v>
      </c>
      <c r="E103" s="331">
        <f>E32*Inputs!$C$53</f>
        <v>0</v>
      </c>
      <c r="F103" s="331">
        <f>F32*Inputs!$C$53</f>
        <v>0</v>
      </c>
      <c r="G103" s="331">
        <f>G32*Inputs!$C$53</f>
        <v>0</v>
      </c>
      <c r="H103" s="402">
        <f>H32*Inputs!$C$53</f>
        <v>0</v>
      </c>
      <c r="I103" s="14">
        <f>I32*Inputs!$C$53</f>
        <v>0</v>
      </c>
      <c r="J103" s="14">
        <f>J32*Inputs!$C$53</f>
        <v>0</v>
      </c>
      <c r="K103" s="14">
        <f>K32*Inputs!$C$53</f>
        <v>0</v>
      </c>
      <c r="L103" s="14">
        <f>L32*Inputs!$C$53</f>
        <v>0</v>
      </c>
      <c r="M103" s="14">
        <f>M32*Inputs!$C$53</f>
        <v>0</v>
      </c>
      <c r="N103" s="182">
        <f>N32*Inputs!$C$53</f>
        <v>0</v>
      </c>
      <c r="O103" s="14">
        <f>O32*Inputs!$C$53</f>
        <v>0</v>
      </c>
      <c r="P103" s="14">
        <f>P32*Inputs!$C$53</f>
        <v>0</v>
      </c>
      <c r="Q103" s="14">
        <f>Q32*Inputs!$C$53</f>
        <v>0</v>
      </c>
      <c r="R103" s="14">
        <f>R32*Inputs!$C$53</f>
        <v>0</v>
      </c>
      <c r="S103" s="14">
        <f>S32*Inputs!$C$53</f>
        <v>0</v>
      </c>
      <c r="T103" s="14">
        <f>T32*Inputs!$C$53</f>
        <v>0</v>
      </c>
      <c r="U103" s="14">
        <f>U32*Inputs!$C$53</f>
        <v>0</v>
      </c>
      <c r="V103" s="14">
        <f>V32*Inputs!$C$53</f>
        <v>0</v>
      </c>
      <c r="W103" s="14">
        <f>W32*Inputs!$C$53</f>
        <v>0</v>
      </c>
      <c r="X103" s="187">
        <f>X32*Inputs!$C$53</f>
        <v>0</v>
      </c>
      <c r="Y103" s="158">
        <f>Y32*Inputs!$C$53</f>
        <v>0</v>
      </c>
      <c r="Z103" s="158">
        <f>Z32*Inputs!$C$53</f>
        <v>0</v>
      </c>
      <c r="AA103" s="158">
        <f>AA32*Inputs!$C$53</f>
        <v>0</v>
      </c>
      <c r="AB103" s="158">
        <f>AB32*Inputs!$C$53</f>
        <v>0</v>
      </c>
      <c r="AC103" s="158">
        <f>AC32*Inputs!$C$53</f>
        <v>0</v>
      </c>
      <c r="AD103" s="158">
        <f>AD32*Inputs!$C$53</f>
        <v>0</v>
      </c>
      <c r="AE103" s="158">
        <f>AE32*Inputs!$C$53</f>
        <v>0</v>
      </c>
      <c r="AF103" s="158">
        <f>AF32*Inputs!$C$53</f>
        <v>0</v>
      </c>
      <c r="AG103" s="158">
        <f>AG32*Inputs!$C$53</f>
        <v>0</v>
      </c>
      <c r="AH103" s="187">
        <f>AH32*Inputs!$C$53</f>
        <v>0</v>
      </c>
    </row>
    <row r="104" spans="1:36">
      <c r="A104" s="10" t="s">
        <v>121</v>
      </c>
      <c r="B104" s="35">
        <v>1</v>
      </c>
      <c r="C104" s="331">
        <f>C34*Inputs!$C$46</f>
        <v>0</v>
      </c>
      <c r="D104" s="331">
        <f>D34*Inputs!$C$46</f>
        <v>0</v>
      </c>
      <c r="E104" s="331">
        <f>E34*Inputs!$C$46</f>
        <v>0.54702815999999999</v>
      </c>
      <c r="F104" s="331">
        <f>F34*Inputs!$C$46</f>
        <v>0.52954230000000002</v>
      </c>
      <c r="G104" s="331">
        <f>G34*Inputs!$C$46</f>
        <v>0.52045098000000001</v>
      </c>
      <c r="H104" s="402">
        <f>H34*Inputs!$C$46</f>
        <v>0.55617618000000002</v>
      </c>
      <c r="I104" s="14">
        <f>I34*Inputs!$C$46</f>
        <v>0.70167889399111927</v>
      </c>
      <c r="J104" s="14">
        <f>J34*Inputs!$C$46</f>
        <v>0.90395434620931958</v>
      </c>
      <c r="K104" s="14">
        <f>K34*Inputs!$C$46</f>
        <v>1.1843982839354064</v>
      </c>
      <c r="L104" s="14">
        <f>L34*Inputs!$C$46</f>
        <v>1.544231299282083</v>
      </c>
      <c r="M104" s="14">
        <f>M34*Inputs!$C$46</f>
        <v>1.9814369335264586</v>
      </c>
      <c r="N104" s="182">
        <f>N34*Inputs!$C$46</f>
        <v>2.5478132931167301</v>
      </c>
      <c r="O104" s="14">
        <f>O34*Inputs!$C$46</f>
        <v>2.601807907350929</v>
      </c>
      <c r="P104" s="14">
        <f>P34*Inputs!$C$46</f>
        <v>2.6891754934258172</v>
      </c>
      <c r="Q104" s="14">
        <f>Q34*Inputs!$C$46</f>
        <v>2.7870669314060037</v>
      </c>
      <c r="R104" s="14">
        <f>R34*Inputs!$C$46</f>
        <v>2.8616688382339621</v>
      </c>
      <c r="S104" s="14">
        <f>S34*Inputs!$C$46</f>
        <v>2.9533227248662675</v>
      </c>
      <c r="T104" s="14">
        <f>T34*Inputs!$C$46</f>
        <v>3.0552991649854073</v>
      </c>
      <c r="U104" s="14">
        <f>U34*Inputs!$C$46</f>
        <v>3.1426434544147561</v>
      </c>
      <c r="V104" s="14">
        <f>V34*Inputs!$C$46</f>
        <v>3.2208389273691833</v>
      </c>
      <c r="W104" s="14">
        <f>W34*Inputs!$C$46</f>
        <v>3.322520653566249</v>
      </c>
      <c r="X104" s="187">
        <f>X34*Inputs!$C$46</f>
        <v>3.4244558380537664</v>
      </c>
      <c r="Y104" s="158">
        <f>Y34*Inputs!$C$46</f>
        <v>3.5080112564026238</v>
      </c>
      <c r="Z104" s="158">
        <f>Z34*Inputs!$C$46</f>
        <v>3.6325427968603479</v>
      </c>
      <c r="AA104" s="158">
        <f>AA34*Inputs!$C$46</f>
        <v>3.7445558446485054</v>
      </c>
      <c r="AB104" s="158">
        <f>AB34*Inputs!$C$46</f>
        <v>3.8500104874343242</v>
      </c>
      <c r="AC104" s="158">
        <f>AC34*Inputs!$C$46</f>
        <v>3.9514547510691558</v>
      </c>
      <c r="AD104" s="158">
        <f>AD34*Inputs!$C$46</f>
        <v>4.0411329946522372</v>
      </c>
      <c r="AE104" s="158">
        <f>AE34*Inputs!$C$46</f>
        <v>4.1406857796562457</v>
      </c>
      <c r="AF104" s="158">
        <f>AF34*Inputs!$C$46</f>
        <v>4.2564488436413948</v>
      </c>
      <c r="AG104" s="158">
        <f>AG34*Inputs!$C$46</f>
        <v>4.4024646674550914</v>
      </c>
      <c r="AH104" s="187">
        <f>AH34*Inputs!$C$46</f>
        <v>4.543249146457244</v>
      </c>
    </row>
    <row r="105" spans="1:36">
      <c r="A105" s="10" t="s">
        <v>50</v>
      </c>
      <c r="B105" s="35">
        <v>1</v>
      </c>
      <c r="C105" s="331">
        <f>C35*Inputs!$C$49</f>
        <v>69.75</v>
      </c>
      <c r="D105" s="331">
        <f>D35*Inputs!$C$49</f>
        <v>90.139162641474442</v>
      </c>
      <c r="E105" s="331">
        <f>E35*Inputs!$C$49</f>
        <v>123.68720419500514</v>
      </c>
      <c r="F105" s="331">
        <f>F35*Inputs!$C$49</f>
        <v>170.37527392901575</v>
      </c>
      <c r="G105" s="331">
        <f>G35*Inputs!$C$49</f>
        <v>223.48128170038146</v>
      </c>
      <c r="H105" s="402">
        <f>H35*Inputs!$C$49</f>
        <v>84.574314598449376</v>
      </c>
      <c r="I105" s="14">
        <f>I35*Inputs!$C$49</f>
        <v>111.39816862981795</v>
      </c>
      <c r="J105" s="14">
        <f>J35*Inputs!$C$49</f>
        <v>149.83030742012957</v>
      </c>
      <c r="K105" s="14">
        <f>K35*Inputs!$C$49</f>
        <v>204.95781313989704</v>
      </c>
      <c r="L105" s="14">
        <f>L35*Inputs!$C$49</f>
        <v>278.99254304153476</v>
      </c>
      <c r="M105" s="14">
        <f>M35*Inputs!$C$49</f>
        <v>373.74383225801301</v>
      </c>
      <c r="N105" s="182">
        <f>N35*Inputs!$C$49</f>
        <v>501.73559827275074</v>
      </c>
      <c r="O105" s="14">
        <f>O35*Inputs!$C$49</f>
        <v>512.36864589421191</v>
      </c>
      <c r="P105" s="14">
        <f>P35*Inputs!$C$49</f>
        <v>529.57376378387733</v>
      </c>
      <c r="Q105" s="14">
        <f>Q35*Inputs!$C$49</f>
        <v>548.85132204666729</v>
      </c>
      <c r="R105" s="14">
        <f>R35*Inputs!$C$49</f>
        <v>563.54252114502242</v>
      </c>
      <c r="S105" s="14">
        <f>S35*Inputs!$C$49</f>
        <v>581.59173133154604</v>
      </c>
      <c r="T105" s="14">
        <f>T35*Inputs!$C$49</f>
        <v>601.67374061029977</v>
      </c>
      <c r="U105" s="14">
        <f>U35*Inputs!$C$49</f>
        <v>618.87427073977926</v>
      </c>
      <c r="V105" s="14">
        <f>V35*Inputs!$C$49</f>
        <v>634.27314337734833</v>
      </c>
      <c r="W105" s="14">
        <f>W35*Inputs!$C$49</f>
        <v>654.29711525343566</v>
      </c>
      <c r="X105" s="187">
        <f>X35*Inputs!$C$49</f>
        <v>674.37100014604584</v>
      </c>
      <c r="Y105" s="158">
        <f>Y35*Inputs!$C$49</f>
        <v>690.82539573596387</v>
      </c>
      <c r="Z105" s="158">
        <f>Z35*Inputs!$C$49</f>
        <v>715.34913423916839</v>
      </c>
      <c r="AA105" s="158">
        <f>AA35*Inputs!$C$49</f>
        <v>737.40763189210861</v>
      </c>
      <c r="AB105" s="158">
        <f>AB35*Inputs!$C$49</f>
        <v>758.17459642272252</v>
      </c>
      <c r="AC105" s="158">
        <f>AC35*Inputs!$C$49</f>
        <v>778.15180528793621</v>
      </c>
      <c r="AD105" s="158">
        <f>AD35*Inputs!$C$49</f>
        <v>795.81195617802155</v>
      </c>
      <c r="AE105" s="158">
        <f>AE35*Inputs!$C$49</f>
        <v>815.41668007150679</v>
      </c>
      <c r="AF105" s="158">
        <f>AF35*Inputs!$C$49</f>
        <v>838.21366065222401</v>
      </c>
      <c r="AG105" s="158">
        <f>AG35*Inputs!$C$49</f>
        <v>866.9682546079033</v>
      </c>
      <c r="AH105" s="187">
        <f>AH35*Inputs!$C$49</f>
        <v>894.69265065784055</v>
      </c>
    </row>
    <row r="106" spans="1:36">
      <c r="A106" s="10" t="s">
        <v>119</v>
      </c>
      <c r="B106" s="35">
        <v>1</v>
      </c>
      <c r="C106" s="331"/>
      <c r="D106" s="331"/>
      <c r="E106" s="331"/>
      <c r="F106" s="331"/>
      <c r="G106" s="331"/>
      <c r="H106" s="402"/>
      <c r="I106" s="14"/>
      <c r="J106" s="14"/>
      <c r="K106" s="14"/>
      <c r="L106" s="14"/>
      <c r="M106" s="14"/>
      <c r="N106" s="187"/>
      <c r="O106" s="14"/>
      <c r="P106" s="14"/>
      <c r="Q106" s="14"/>
      <c r="R106" s="14"/>
      <c r="S106" s="14"/>
      <c r="T106" s="14"/>
      <c r="U106" s="14"/>
      <c r="V106" s="14"/>
      <c r="W106" s="14"/>
      <c r="X106" s="187"/>
      <c r="AJ106" s="170" t="s">
        <v>0</v>
      </c>
    </row>
    <row r="107" spans="1:36">
      <c r="A107" s="10" t="s">
        <v>51</v>
      </c>
      <c r="B107" s="35">
        <v>1</v>
      </c>
      <c r="C107" s="331">
        <f>C37*Inputs!$C$52</f>
        <v>7.1999999999999993</v>
      </c>
      <c r="D107" s="331">
        <f>D37*Inputs!$C$52</f>
        <v>8.5181398711124974</v>
      </c>
      <c r="E107" s="331">
        <f>E37*Inputs!$C$52</f>
        <v>10.700374652979427</v>
      </c>
      <c r="F107" s="331">
        <f>F37*Inputs!$C$52</f>
        <v>13.49347290720044</v>
      </c>
      <c r="G107" s="331">
        <f>G37*Inputs!$C$52</f>
        <v>16.203218593754656</v>
      </c>
      <c r="H107" s="402">
        <f>H37*Inputs!$C$52</f>
        <v>11.73723504385895</v>
      </c>
      <c r="I107" s="14">
        <f>I37*Inputs!$C$52</f>
        <v>14.152994215239209</v>
      </c>
      <c r="J107" s="14">
        <f>J37*Inputs!$C$52</f>
        <v>17.426609995609098</v>
      </c>
      <c r="K107" s="14">
        <f>K37*Inputs!$C$52</f>
        <v>21.823313078870964</v>
      </c>
      <c r="L107" s="14">
        <f>L37*Inputs!$C$52</f>
        <v>27.195169083417042</v>
      </c>
      <c r="M107" s="14">
        <f>M37*Inputs!$C$52</f>
        <v>33.351560989448139</v>
      </c>
      <c r="N107" s="182">
        <f>N37*Inputs!$C$52</f>
        <v>40.988309773798555</v>
      </c>
      <c r="O107" s="14">
        <f>O37*Inputs!$C$52</f>
        <v>41.856955832097725</v>
      </c>
      <c r="P107" s="14">
        <f>P37*Inputs!$C$52</f>
        <v>43.262494335213809</v>
      </c>
      <c r="Q107" s="14">
        <f>Q37*Inputs!$C$52</f>
        <v>44.837336806981469</v>
      </c>
      <c r="R107" s="14">
        <f>R37*Inputs!$C$52</f>
        <v>46.037505624312587</v>
      </c>
      <c r="S107" s="14">
        <f>S37*Inputs!$C$52</f>
        <v>47.51200059904518</v>
      </c>
      <c r="T107" s="14">
        <f>T37*Inputs!$C$52</f>
        <v>49.1525611254091</v>
      </c>
      <c r="U107" s="14">
        <f>U37*Inputs!$C$52</f>
        <v>50.557724840417016</v>
      </c>
      <c r="V107" s="14">
        <f>V37*Inputs!$C$52</f>
        <v>51.815705665394944</v>
      </c>
      <c r="W107" s="14">
        <f>W37*Inputs!$C$52</f>
        <v>53.4515249394994</v>
      </c>
      <c r="X107" s="187">
        <f>X37*Inputs!$C$52</f>
        <v>55.091421760004863</v>
      </c>
      <c r="Y107" s="158">
        <f>Y37*Inputs!$C$52</f>
        <v>56.435631471059779</v>
      </c>
      <c r="Z107" s="158">
        <f>Z37*Inputs!$C$52</f>
        <v>58.439050391386317</v>
      </c>
      <c r="AA107" s="158">
        <f>AA37*Inputs!$C$52</f>
        <v>60.241076275249981</v>
      </c>
      <c r="AB107" s="158">
        <f>AB37*Inputs!$C$52</f>
        <v>61.937592883145861</v>
      </c>
      <c r="AC107" s="158">
        <f>AC37*Inputs!$C$52</f>
        <v>63.56959194440865</v>
      </c>
      <c r="AD107" s="158">
        <f>AD37*Inputs!$C$52</f>
        <v>65.012303479780599</v>
      </c>
      <c r="AE107" s="158">
        <f>AE37*Inputs!$C$52</f>
        <v>66.613873108768999</v>
      </c>
      <c r="AF107" s="158">
        <f>AF37*Inputs!$C$52</f>
        <v>68.476227913105092</v>
      </c>
      <c r="AG107" s="158">
        <f>AG37*Inputs!$C$52</f>
        <v>70.825278306444886</v>
      </c>
      <c r="AH107" s="187">
        <f>AH37*Inputs!$C$52</f>
        <v>73.090168693928518</v>
      </c>
    </row>
    <row r="108" spans="1:36">
      <c r="A108" s="9" t="s">
        <v>347</v>
      </c>
      <c r="B108" s="35">
        <v>1</v>
      </c>
      <c r="C108" s="331">
        <f>C38*Inputs!$C$54</f>
        <v>0</v>
      </c>
      <c r="D108" s="331">
        <f>D38*Inputs!$C$54</f>
        <v>0</v>
      </c>
      <c r="E108" s="331">
        <f>E38*Inputs!$C$54</f>
        <v>1.5800000000000002E-2</v>
      </c>
      <c r="F108" s="331">
        <f>F38*Inputs!$C$54</f>
        <v>1.5800000000000002E-2</v>
      </c>
      <c r="G108" s="331">
        <f>G38*Inputs!$C$54</f>
        <v>1.5800000000000002E-2</v>
      </c>
      <c r="H108" s="402">
        <f>H38*Inputs!$C$54</f>
        <v>1.5800000000000002E-2</v>
      </c>
      <c r="I108" s="14">
        <f>I38*Inputs!$C$54</f>
        <v>1.8373114674139743E-2</v>
      </c>
      <c r="J108" s="14">
        <f>J38*Inputs!$C$54</f>
        <v>2.1816774338428834E-2</v>
      </c>
      <c r="K108" s="14">
        <f>K38*Inputs!$C$54</f>
        <v>2.634762550746662E-2</v>
      </c>
      <c r="L108" s="14">
        <f>L38*Inputs!$C$54</f>
        <v>3.1663267745024801E-2</v>
      </c>
      <c r="M108" s="14">
        <f>M38*Inputs!$C$54</f>
        <v>3.7447541147654098E-2</v>
      </c>
      <c r="N108" s="182">
        <f>N38*Inputs!$C$54</f>
        <v>4.4382352877694396E-2</v>
      </c>
      <c r="O108" s="14">
        <f>O38*Inputs!$C$54</f>
        <v>4.5322927302402616E-2</v>
      </c>
      <c r="P108" s="14">
        <f>P38*Inputs!$C$54</f>
        <v>4.6844851630893969E-2</v>
      </c>
      <c r="Q108" s="14">
        <f>Q38*Inputs!$C$54</f>
        <v>4.8550099168411437E-2</v>
      </c>
      <c r="R108" s="14">
        <f>R38*Inputs!$C$54</f>
        <v>4.984964814365718E-2</v>
      </c>
      <c r="S108" s="14">
        <f>S38*Inputs!$C$54</f>
        <v>5.1446238894681563E-2</v>
      </c>
      <c r="T108" s="14">
        <f>T38*Inputs!$C$54</f>
        <v>5.3222646280107443E-2</v>
      </c>
      <c r="U108" s="14">
        <f>U38*Inputs!$C$54</f>
        <v>5.4744164786105443E-2</v>
      </c>
      <c r="V108" s="14">
        <f>V38*Inputs!$C$54</f>
        <v>5.6106312900913391E-2</v>
      </c>
      <c r="W108" s="14">
        <f>W38*Inputs!$C$54</f>
        <v>5.7877586433979347E-2</v>
      </c>
      <c r="X108" s="187">
        <f>X38*Inputs!$C$54</f>
        <v>5.9653275155284145E-2</v>
      </c>
      <c r="Y108" s="158">
        <f>Y38*Inputs!$C$54</f>
        <v>6.110879235194102E-2</v>
      </c>
      <c r="Z108" s="158">
        <f>Z38*Inputs!$C$54</f>
        <v>6.3278104674759E-2</v>
      </c>
      <c r="AA108" s="158">
        <f>AA38*Inputs!$C$54</f>
        <v>6.5229347580693653E-2</v>
      </c>
      <c r="AB108" s="158">
        <f>AB38*Inputs!$C$54</f>
        <v>6.7066344499328148E-2</v>
      </c>
      <c r="AC108" s="158">
        <f>AC38*Inputs!$C$54</f>
        <v>6.8833481486258327E-2</v>
      </c>
      <c r="AD108" s="158">
        <f>AD38*Inputs!$C$54</f>
        <v>7.0395656965485554E-2</v>
      </c>
      <c r="AE108" s="158">
        <f>AE38*Inputs!$C$54</f>
        <v>7.2129844806463561E-2</v>
      </c>
      <c r="AF108" s="158">
        <f>AF38*Inputs!$C$54</f>
        <v>7.4146412178127938E-2</v>
      </c>
      <c r="AG108" s="158">
        <f>AG38*Inputs!$C$54</f>
        <v>7.6689976039630195E-2</v>
      </c>
      <c r="AH108" s="187">
        <f>AH38*Inputs!$C$54</f>
        <v>7.9142411013439565E-2</v>
      </c>
    </row>
    <row r="109" spans="1:36">
      <c r="A109" s="9" t="s">
        <v>348</v>
      </c>
      <c r="B109" s="35">
        <v>1</v>
      </c>
      <c r="C109" s="331">
        <f>C39*Inputs!$C$54</f>
        <v>0</v>
      </c>
      <c r="D109" s="331">
        <f>D39*Inputs!$C$55</f>
        <v>0</v>
      </c>
      <c r="E109" s="331">
        <f>E39*Inputs!$C$55</f>
        <v>2.3E-3</v>
      </c>
      <c r="F109" s="331">
        <f>F39*Inputs!$C$55</f>
        <v>2.3E-3</v>
      </c>
      <c r="G109" s="331">
        <f>G39*Inputs!$C$55</f>
        <v>2.3E-3</v>
      </c>
      <c r="H109" s="402">
        <f>H39*Inputs!$C$55</f>
        <v>2.3E-3</v>
      </c>
      <c r="I109" s="14">
        <f>I39*Inputs!$C$55</f>
        <v>2.6745673259823675E-3</v>
      </c>
      <c r="J109" s="14">
        <f>J39*Inputs!$C$55</f>
        <v>3.1758595555940708E-3</v>
      </c>
      <c r="K109" s="14">
        <f>K39*Inputs!$C$55</f>
        <v>3.8354138396945081E-3</v>
      </c>
      <c r="L109" s="14">
        <f>L39*Inputs!$C$55</f>
        <v>4.6092098616175338E-3</v>
      </c>
      <c r="M109" s="14">
        <f>M39*Inputs!$C$55</f>
        <v>5.4512243442787611E-3</v>
      </c>
      <c r="N109" s="182">
        <f>N39*Inputs!$C$55</f>
        <v>6.4607222543479189E-3</v>
      </c>
      <c r="O109" s="14">
        <f>O39*Inputs!$C$55</f>
        <v>6.5976413161725322E-3</v>
      </c>
      <c r="P109" s="14">
        <f>P39*Inputs!$C$55</f>
        <v>6.8191872627250709E-3</v>
      </c>
      <c r="Q109" s="14">
        <f>Q39*Inputs!$C$55</f>
        <v>7.0674194991991327E-3</v>
      </c>
      <c r="R109" s="14">
        <f>R39*Inputs!$C$55</f>
        <v>7.2565943500260454E-3</v>
      </c>
      <c r="S109" s="14">
        <f>S39*Inputs!$C$55</f>
        <v>7.4890094593523795E-3</v>
      </c>
      <c r="T109" s="14">
        <f>T39*Inputs!$C$55</f>
        <v>7.7476004078637414E-3</v>
      </c>
      <c r="U109" s="14">
        <f>U39*Inputs!$C$55</f>
        <v>7.9690872789900322E-3</v>
      </c>
      <c r="V109" s="14">
        <f>V39*Inputs!$C$55</f>
        <v>8.1673746627911898E-3</v>
      </c>
      <c r="W109" s="14">
        <f>W39*Inputs!$C$55</f>
        <v>8.4252182783640817E-3</v>
      </c>
      <c r="X109" s="187">
        <f>X39*Inputs!$C$55</f>
        <v>8.6837046112122496E-3</v>
      </c>
      <c r="Y109" s="158">
        <f>Y39*Inputs!$C$55</f>
        <v>8.8955836968015404E-3</v>
      </c>
      <c r="Z109" s="158">
        <f>Z39*Inputs!$C$55</f>
        <v>9.2113696678446638E-3</v>
      </c>
      <c r="AA109" s="158">
        <f>AA39*Inputs!$C$55</f>
        <v>9.4954113566832546E-3</v>
      </c>
      <c r="AB109" s="158">
        <f>AB39*Inputs!$C$55</f>
        <v>9.7628223005351098E-3</v>
      </c>
      <c r="AC109" s="158">
        <f>AC39*Inputs!$C$55</f>
        <v>1.0020063760657857E-2</v>
      </c>
      <c r="AD109" s="158">
        <f>AD39*Inputs!$C$55</f>
        <v>1.024746905193777E-2</v>
      </c>
      <c r="AE109" s="158">
        <f>AE39*Inputs!$C$55</f>
        <v>1.0499914117396593E-2</v>
      </c>
      <c r="AF109" s="158">
        <f>AF39*Inputs!$C$55</f>
        <v>1.07934650639047E-2</v>
      </c>
      <c r="AG109" s="158">
        <f>AG39*Inputs!$C$55</f>
        <v>1.1163730689313256E-2</v>
      </c>
      <c r="AH109" s="187">
        <f>AH39*Inputs!$C$55</f>
        <v>1.1520730717146266E-2</v>
      </c>
    </row>
    <row r="110" spans="1:36">
      <c r="A110" s="9" t="s">
        <v>344</v>
      </c>
      <c r="B110" s="35">
        <v>1</v>
      </c>
      <c r="C110" s="331">
        <f>C40*Inputs!$C$51</f>
        <v>2.7000000000000001E-3</v>
      </c>
      <c r="D110" s="331">
        <f>D40*Inputs!$C$51</f>
        <v>3.0804857630495849E-3</v>
      </c>
      <c r="E110" s="331">
        <f>E40*Inputs!$C$51</f>
        <v>3.7317848220455654E-3</v>
      </c>
      <c r="F110" s="331">
        <f>F40*Inputs!$C$51</f>
        <v>4.5382093121765256E-3</v>
      </c>
      <c r="G110" s="331">
        <f>G40*Inputs!$C$51</f>
        <v>5.255393546275371E-3</v>
      </c>
      <c r="H110" s="402">
        <f>H40*Inputs!$C$51</f>
        <v>2.7000000000000001E-3</v>
      </c>
      <c r="I110" s="14">
        <f>I40*Inputs!$C$51</f>
        <v>3.1397094696314753E-3</v>
      </c>
      <c r="J110" s="14">
        <f>J40*Inputs!$C$51</f>
        <v>3.7281829565669528E-3</v>
      </c>
      <c r="K110" s="14">
        <f>K40*Inputs!$C$51</f>
        <v>4.5024423335544225E-3</v>
      </c>
      <c r="L110" s="14">
        <f>L40*Inputs!$C$51</f>
        <v>5.4108115766814532E-3</v>
      </c>
      <c r="M110" s="14">
        <f>M40*Inputs!$C$51</f>
        <v>6.3992633606750676E-3</v>
      </c>
      <c r="N110" s="182">
        <f>N40*Inputs!$C$51</f>
        <v>7.5843261246692963E-3</v>
      </c>
      <c r="O110" s="14">
        <f>O40*Inputs!$C$51</f>
        <v>7.7450571972460169E-3</v>
      </c>
      <c r="P110" s="14">
        <f>P40*Inputs!$C$51</f>
        <v>8.0051328736337798E-3</v>
      </c>
      <c r="Q110" s="14">
        <f>Q40*Inputs!$C$51</f>
        <v>8.2965359338424607E-3</v>
      </c>
      <c r="R110" s="14">
        <f>R40*Inputs!$C$51</f>
        <v>8.5186107587262271E-3</v>
      </c>
      <c r="S110" s="14">
        <f>S40*Inputs!$C$51</f>
        <v>8.7914458870658376E-3</v>
      </c>
      <c r="T110" s="14">
        <f>T40*Inputs!$C$51</f>
        <v>9.0950091744487396E-3</v>
      </c>
      <c r="U110" s="14">
        <f>U40*Inputs!$C$51</f>
        <v>9.3550155014230814E-3</v>
      </c>
      <c r="V110" s="14">
        <f>V40*Inputs!$C$51</f>
        <v>9.5877876476244406E-3</v>
      </c>
      <c r="W110" s="14">
        <f>W40*Inputs!$C$51</f>
        <v>9.8904736311230534E-3</v>
      </c>
      <c r="X110" s="187">
        <f>X40*Inputs!$C$51</f>
        <v>1.0193914108814379E-2</v>
      </c>
      <c r="Y110" s="158">
        <f>Y40*Inputs!$C$51</f>
        <v>1.0442641731027895E-2</v>
      </c>
      <c r="Z110" s="158">
        <f>Z40*Inputs!$C$51</f>
        <v>1.0813347001382867E-2</v>
      </c>
      <c r="AA110" s="158">
        <f>AA40*Inputs!$C$51</f>
        <v>1.1146787244802081E-2</v>
      </c>
      <c r="AB110" s="158">
        <f>AB40*Inputs!$C$51</f>
        <v>1.1460704439758607E-2</v>
      </c>
      <c r="AC110" s="158">
        <f>AC40*Inputs!$C$51</f>
        <v>1.1762683545120094E-2</v>
      </c>
      <c r="AD110" s="158">
        <f>AD40*Inputs!$C$51</f>
        <v>1.2029637582709557E-2</v>
      </c>
      <c r="AE110" s="158">
        <f>AE40*Inputs!$C$51</f>
        <v>1.2325986137813393E-2</v>
      </c>
      <c r="AF110" s="158">
        <f>AF40*Inputs!$C$51</f>
        <v>1.2670589422844648E-2</v>
      </c>
      <c r="AG110" s="158">
        <f>AG40*Inputs!$C$51</f>
        <v>1.3105249070063387E-2</v>
      </c>
      <c r="AH110" s="187">
        <f>AH40*Inputs!$C$51</f>
        <v>1.352433605925866E-2</v>
      </c>
    </row>
    <row r="111" spans="1:36">
      <c r="A111" s="10" t="s">
        <v>120</v>
      </c>
      <c r="B111" s="35">
        <v>1</v>
      </c>
      <c r="C111" s="331"/>
      <c r="D111" s="331"/>
      <c r="E111" s="331"/>
      <c r="F111" s="331"/>
      <c r="G111" s="331"/>
      <c r="H111" s="402"/>
      <c r="I111" s="14"/>
      <c r="J111" s="14"/>
      <c r="K111" s="14"/>
      <c r="L111" s="14"/>
      <c r="M111" s="14"/>
      <c r="N111" s="187"/>
      <c r="O111" s="14"/>
      <c r="P111" s="14"/>
      <c r="Q111" s="14"/>
      <c r="R111" s="14"/>
      <c r="S111" s="14"/>
      <c r="T111" s="14"/>
      <c r="U111" s="14"/>
      <c r="V111" s="14"/>
      <c r="W111" s="14"/>
      <c r="X111" s="187"/>
    </row>
    <row r="112" spans="1:36">
      <c r="A112" s="10" t="s">
        <v>53</v>
      </c>
      <c r="B112" s="35">
        <v>1</v>
      </c>
      <c r="C112" s="331">
        <f>C42*Inputs!$C$57</f>
        <v>27.200000000000003</v>
      </c>
      <c r="D112" s="331">
        <f>D42*Inputs!$C$57</f>
        <v>76.160000000000011</v>
      </c>
      <c r="E112" s="331">
        <f>E42*Inputs!$C$57</f>
        <v>102.00983025000002</v>
      </c>
      <c r="F112" s="331">
        <f>F42*Inputs!$C$57</f>
        <v>116.43431750000002</v>
      </c>
      <c r="G112" s="331">
        <f>G42*Inputs!$C$57</f>
        <v>137.00892875000002</v>
      </c>
      <c r="H112" s="402">
        <f>H42*Inputs!$C$57</f>
        <v>137.43380125000002</v>
      </c>
      <c r="I112" s="14">
        <f>I42*Inputs!$C$57</f>
        <v>162.61855449316369</v>
      </c>
      <c r="J112" s="14">
        <f>J42*Inputs!$C$57</f>
        <v>196.48467784159811</v>
      </c>
      <c r="K112" s="14">
        <f>K42*Inputs!$C$57</f>
        <v>241.45181283667804</v>
      </c>
      <c r="L112" s="14">
        <f>L42*Inputs!$C$57</f>
        <v>295.25384415279439</v>
      </c>
      <c r="M112" s="14">
        <f>M42*Inputs!$C$57</f>
        <v>355.31535254160548</v>
      </c>
      <c r="N112" s="182">
        <f>N42*Inputs!$C$57</f>
        <v>428.50098774152616</v>
      </c>
      <c r="O112" s="14">
        <f>O42*Inputs!$C$57</f>
        <v>437.58200855046238</v>
      </c>
      <c r="P112" s="14">
        <f>P42*Inputs!$C$57</f>
        <v>452.27582345080208</v>
      </c>
      <c r="Q112" s="14">
        <f>Q42*Inputs!$C$57</f>
        <v>468.73958002954072</v>
      </c>
      <c r="R112" s="14">
        <f>R42*Inputs!$C$57</f>
        <v>481.28641415178384</v>
      </c>
      <c r="S112" s="14">
        <f>S42*Inputs!$C$57</f>
        <v>496.7011154795444</v>
      </c>
      <c r="T112" s="14">
        <f>T42*Inputs!$C$57</f>
        <v>513.85190334750553</v>
      </c>
      <c r="U112" s="14">
        <f>U42*Inputs!$C$57</f>
        <v>528.541800128864</v>
      </c>
      <c r="V112" s="14">
        <f>V42*Inputs!$C$57</f>
        <v>541.69301395148238</v>
      </c>
      <c r="W112" s="14">
        <f>W42*Inputs!$C$57</f>
        <v>558.79423570443362</v>
      </c>
      <c r="X112" s="187">
        <f>X42*Inputs!$C$57</f>
        <v>575.93808504242111</v>
      </c>
      <c r="Y112" s="158">
        <f>Y42*Inputs!$C$57</f>
        <v>589.99075498898674</v>
      </c>
      <c r="Z112" s="158">
        <f>Z42*Inputs!$C$57</f>
        <v>610.93494592922286</v>
      </c>
      <c r="AA112" s="158">
        <f>AA42*Inputs!$C$57</f>
        <v>629.77372887569561</v>
      </c>
      <c r="AB112" s="158">
        <f>AB42*Inputs!$C$57</f>
        <v>647.5094941759761</v>
      </c>
      <c r="AC112" s="158">
        <f>AC42*Inputs!$C$57</f>
        <v>664.57077856666297</v>
      </c>
      <c r="AD112" s="158">
        <f>AD42*Inputs!$C$57</f>
        <v>679.65320868746198</v>
      </c>
      <c r="AE112" s="158">
        <f>AE42*Inputs!$C$57</f>
        <v>696.39637696509237</v>
      </c>
      <c r="AF112" s="158">
        <f>AF42*Inputs!$C$57</f>
        <v>715.86585198338969</v>
      </c>
      <c r="AG112" s="158">
        <f>AG42*Inputs!$C$57</f>
        <v>740.42335189874746</v>
      </c>
      <c r="AH112" s="187">
        <f>AH42*Inputs!$C$57</f>
        <v>764.10102422822263</v>
      </c>
      <c r="AI112" s="31" t="s">
        <v>0</v>
      </c>
    </row>
    <row r="113" spans="1:35" s="20" customFormat="1">
      <c r="A113" s="10" t="s">
        <v>384</v>
      </c>
      <c r="B113" s="37"/>
      <c r="C113" s="334">
        <f>SUM(C100:C112)</f>
        <v>229.40119999999996</v>
      </c>
      <c r="D113" s="334">
        <f t="shared" ref="D113:AH113" si="87">SUM(D100:D112)</f>
        <v>293.56362712766395</v>
      </c>
      <c r="E113" s="334">
        <f t="shared" si="87"/>
        <v>356.43476975057274</v>
      </c>
      <c r="F113" s="334">
        <f t="shared" si="87"/>
        <v>421.44860503797844</v>
      </c>
      <c r="G113" s="334">
        <f t="shared" si="87"/>
        <v>493.08536800513264</v>
      </c>
      <c r="H113" s="404">
        <f t="shared" si="87"/>
        <v>334.05855625517307</v>
      </c>
      <c r="I113" s="19">
        <f t="shared" si="87"/>
        <v>387.21649195886795</v>
      </c>
      <c r="J113" s="19">
        <f t="shared" si="87"/>
        <v>463.64735945410303</v>
      </c>
      <c r="K113" s="19">
        <f t="shared" si="87"/>
        <v>570.77962948629568</v>
      </c>
      <c r="L113" s="19">
        <f t="shared" si="87"/>
        <v>706.25557688656522</v>
      </c>
      <c r="M113" s="19">
        <f t="shared" si="87"/>
        <v>867.93606843170028</v>
      </c>
      <c r="N113" s="182">
        <f t="shared" si="87"/>
        <v>1077.8118805287088</v>
      </c>
      <c r="O113" s="19">
        <f t="shared" si="87"/>
        <v>1097.7220074914603</v>
      </c>
      <c r="P113" s="19">
        <f t="shared" si="87"/>
        <v>1131.6268236731989</v>
      </c>
      <c r="Q113" s="19">
        <f t="shared" si="87"/>
        <v>1169.8311113748721</v>
      </c>
      <c r="R113" s="19">
        <f t="shared" si="87"/>
        <v>1198.149810558438</v>
      </c>
      <c r="S113" s="19">
        <f t="shared" si="87"/>
        <v>1233.5095244946292</v>
      </c>
      <c r="T113" s="19">
        <f t="shared" si="87"/>
        <v>1273.0593120840713</v>
      </c>
      <c r="U113" s="19">
        <f t="shared" si="87"/>
        <v>1306.4004747809483</v>
      </c>
      <c r="V113" s="19">
        <f t="shared" si="87"/>
        <v>1335.8544924868668</v>
      </c>
      <c r="W113" s="19">
        <f t="shared" si="87"/>
        <v>1374.9565251447957</v>
      </c>
      <c r="X113" s="182">
        <f t="shared" si="87"/>
        <v>1414.0532561706691</v>
      </c>
      <c r="Y113" s="206">
        <f t="shared" si="87"/>
        <v>1445.6474948335372</v>
      </c>
      <c r="Z113" s="206">
        <f t="shared" si="87"/>
        <v>1494.0340336466436</v>
      </c>
      <c r="AA113" s="206">
        <f t="shared" si="87"/>
        <v>1537.1597948647723</v>
      </c>
      <c r="AB113" s="206">
        <f t="shared" si="87"/>
        <v>1577.5014101482616</v>
      </c>
      <c r="AC113" s="206">
        <f t="shared" si="87"/>
        <v>1616.1205033998829</v>
      </c>
      <c r="AD113" s="206">
        <f t="shared" si="87"/>
        <v>1649.8636946946367</v>
      </c>
      <c r="AE113" s="206">
        <f t="shared" si="87"/>
        <v>1687.5796517510339</v>
      </c>
      <c r="AF113" s="206">
        <f t="shared" si="87"/>
        <v>1731.8288730468958</v>
      </c>
      <c r="AG113" s="206">
        <f t="shared" si="87"/>
        <v>1788.2862982036254</v>
      </c>
      <c r="AH113" s="182">
        <f t="shared" si="87"/>
        <v>1842.5063470743235</v>
      </c>
      <c r="AI113" s="31" t="s">
        <v>0</v>
      </c>
    </row>
    <row r="114" spans="1:35" s="20" customFormat="1">
      <c r="A114" s="10" t="s">
        <v>385</v>
      </c>
      <c r="B114" s="37"/>
      <c r="C114" s="334">
        <f>SUM(C101:C103)</f>
        <v>125.24849999999999</v>
      </c>
      <c r="D114" s="334">
        <f t="shared" ref="D114:AH114" si="88">SUM(D101:D103)</f>
        <v>118.74324412931398</v>
      </c>
      <c r="E114" s="334">
        <f t="shared" si="88"/>
        <v>119.46850070776611</v>
      </c>
      <c r="F114" s="334">
        <f t="shared" si="88"/>
        <v>120.59336019245009</v>
      </c>
      <c r="G114" s="334">
        <f t="shared" si="88"/>
        <v>115.84813258745019</v>
      </c>
      <c r="H114" s="404">
        <f t="shared" si="88"/>
        <v>99.736229182864719</v>
      </c>
      <c r="I114" s="19">
        <f t="shared" si="88"/>
        <v>98.320908335186246</v>
      </c>
      <c r="J114" s="19">
        <f t="shared" si="88"/>
        <v>98.973089033706273</v>
      </c>
      <c r="K114" s="19">
        <f t="shared" si="88"/>
        <v>101.32760666523349</v>
      </c>
      <c r="L114" s="19">
        <f t="shared" si="88"/>
        <v>103.22810602035355</v>
      </c>
      <c r="M114" s="19">
        <f t="shared" si="88"/>
        <v>103.49458768025458</v>
      </c>
      <c r="N114" s="182">
        <f t="shared" si="88"/>
        <v>103.98074404625997</v>
      </c>
      <c r="O114" s="19">
        <f t="shared" si="88"/>
        <v>103.25292368152166</v>
      </c>
      <c r="P114" s="19">
        <f t="shared" si="88"/>
        <v>103.76389743811252</v>
      </c>
      <c r="Q114" s="19">
        <f t="shared" si="88"/>
        <v>104.55189150567507</v>
      </c>
      <c r="R114" s="19">
        <f t="shared" si="88"/>
        <v>104.35607594583277</v>
      </c>
      <c r="S114" s="19">
        <f t="shared" si="88"/>
        <v>104.68362766538615</v>
      </c>
      <c r="T114" s="19">
        <f t="shared" si="88"/>
        <v>105.25574258000908</v>
      </c>
      <c r="U114" s="19">
        <f t="shared" si="88"/>
        <v>105.21196734990671</v>
      </c>
      <c r="V114" s="19">
        <f t="shared" si="88"/>
        <v>104.77792909006052</v>
      </c>
      <c r="W114" s="19">
        <f t="shared" si="88"/>
        <v>105.01493531551721</v>
      </c>
      <c r="X114" s="182">
        <f t="shared" si="88"/>
        <v>105.14976249026813</v>
      </c>
      <c r="Y114" s="206">
        <f t="shared" si="88"/>
        <v>104.80725436334434</v>
      </c>
      <c r="Z114" s="206">
        <f t="shared" si="88"/>
        <v>105.59505746866168</v>
      </c>
      <c r="AA114" s="206">
        <f t="shared" si="88"/>
        <v>105.90693043088737</v>
      </c>
      <c r="AB114" s="206">
        <f t="shared" si="88"/>
        <v>105.94142630774297</v>
      </c>
      <c r="AC114" s="206">
        <f t="shared" si="88"/>
        <v>105.78625662101381</v>
      </c>
      <c r="AD114" s="206">
        <f t="shared" si="88"/>
        <v>105.25242059112009</v>
      </c>
      <c r="AE114" s="206">
        <f t="shared" si="88"/>
        <v>104.91708008094777</v>
      </c>
      <c r="AF114" s="206">
        <f t="shared" si="88"/>
        <v>104.91907318787074</v>
      </c>
      <c r="AG114" s="206">
        <f t="shared" si="88"/>
        <v>105.56598976727552</v>
      </c>
      <c r="AH114" s="182">
        <f t="shared" si="88"/>
        <v>105.97506687008467</v>
      </c>
      <c r="AI114" s="31"/>
    </row>
    <row r="115" spans="1:35" s="20" customFormat="1">
      <c r="A115" s="10" t="s">
        <v>386</v>
      </c>
      <c r="B115" s="37"/>
      <c r="C115" s="334">
        <f>SUMPRODUCT($B104:$B112,C104:C112)</f>
        <v>104.15270000000001</v>
      </c>
      <c r="D115" s="334">
        <f t="shared" ref="D115:AH115" si="89">SUMPRODUCT($B104:$B112,D104:D112)</f>
        <v>174.82038299835</v>
      </c>
      <c r="E115" s="334">
        <f t="shared" si="89"/>
        <v>236.96626904280663</v>
      </c>
      <c r="F115" s="334">
        <f t="shared" si="89"/>
        <v>300.85524484552843</v>
      </c>
      <c r="G115" s="334">
        <f t="shared" si="89"/>
        <v>377.23723541768243</v>
      </c>
      <c r="H115" s="404">
        <f t="shared" si="89"/>
        <v>234.32232707230833</v>
      </c>
      <c r="I115" s="19">
        <f t="shared" si="89"/>
        <v>288.89558362368172</v>
      </c>
      <c r="J115" s="19">
        <f t="shared" si="89"/>
        <v>364.67427042039668</v>
      </c>
      <c r="K115" s="19">
        <f t="shared" si="89"/>
        <v>469.45202282106214</v>
      </c>
      <c r="L115" s="19">
        <f t="shared" si="89"/>
        <v>603.02747086621162</v>
      </c>
      <c r="M115" s="19">
        <f t="shared" si="89"/>
        <v>764.44148075144562</v>
      </c>
      <c r="N115" s="182">
        <f t="shared" si="89"/>
        <v>973.83113648244887</v>
      </c>
      <c r="O115" s="19">
        <f t="shared" si="89"/>
        <v>994.46908380993864</v>
      </c>
      <c r="P115" s="19">
        <f t="shared" si="89"/>
        <v>1027.8629262350864</v>
      </c>
      <c r="Q115" s="19">
        <f t="shared" si="89"/>
        <v>1065.279219869197</v>
      </c>
      <c r="R115" s="19">
        <f t="shared" si="89"/>
        <v>1093.7937346126052</v>
      </c>
      <c r="S115" s="19">
        <f t="shared" si="89"/>
        <v>1128.825896829243</v>
      </c>
      <c r="T115" s="19">
        <f t="shared" si="89"/>
        <v>1167.8035695040621</v>
      </c>
      <c r="U115" s="19">
        <f t="shared" si="89"/>
        <v>1201.1885074310417</v>
      </c>
      <c r="V115" s="19">
        <f t="shared" si="89"/>
        <v>1231.0765633968063</v>
      </c>
      <c r="W115" s="19">
        <f t="shared" si="89"/>
        <v>1269.9415898292784</v>
      </c>
      <c r="X115" s="182">
        <f t="shared" si="89"/>
        <v>1308.903493680401</v>
      </c>
      <c r="Y115" s="206">
        <f t="shared" si="89"/>
        <v>1340.8402404701928</v>
      </c>
      <c r="Z115" s="206">
        <f t="shared" si="89"/>
        <v>1388.4389761779819</v>
      </c>
      <c r="AA115" s="206">
        <f t="shared" si="89"/>
        <v>1431.252864433885</v>
      </c>
      <c r="AB115" s="206">
        <f t="shared" si="89"/>
        <v>1471.5599838405185</v>
      </c>
      <c r="AC115" s="206">
        <f t="shared" si="89"/>
        <v>1510.3342467788691</v>
      </c>
      <c r="AD115" s="206">
        <f t="shared" si="89"/>
        <v>1544.6112741035165</v>
      </c>
      <c r="AE115" s="206">
        <f t="shared" si="89"/>
        <v>1582.662571670086</v>
      </c>
      <c r="AF115" s="206">
        <f t="shared" si="89"/>
        <v>1626.909799859025</v>
      </c>
      <c r="AG115" s="206">
        <f t="shared" si="89"/>
        <v>1682.7203084363496</v>
      </c>
      <c r="AH115" s="182">
        <f t="shared" si="89"/>
        <v>1736.5312802042388</v>
      </c>
    </row>
    <row r="116" spans="1:35" s="20" customFormat="1">
      <c r="A116" s="10" t="s">
        <v>142</v>
      </c>
      <c r="B116" s="37"/>
      <c r="C116" s="334">
        <f>C47*Inputs!$C$60</f>
        <v>3231.6900000000005</v>
      </c>
      <c r="D116" s="334">
        <f>D47*Inputs!$C$60</f>
        <v>3729.5344703080859</v>
      </c>
      <c r="E116" s="334">
        <f>E47*Inputs!$C$60</f>
        <v>3832.0309571935559</v>
      </c>
      <c r="F116" s="334">
        <f>F47*Inputs!$C$60</f>
        <v>3821.5475652702899</v>
      </c>
      <c r="G116" s="334">
        <f>G47*Inputs!$C$60</f>
        <v>3516.0292508465327</v>
      </c>
      <c r="H116" s="404">
        <f>H47*Inputs!$C$60</f>
        <v>3714.8336523811586</v>
      </c>
      <c r="I116" s="19">
        <f>I47*Inputs!$C$60</f>
        <v>4005.9992277750116</v>
      </c>
      <c r="J116" s="19">
        <f>J47*Inputs!$C$60</f>
        <v>3960.3425348102451</v>
      </c>
      <c r="K116" s="19">
        <f>K47*Inputs!$C$60</f>
        <v>4045.7864940949426</v>
      </c>
      <c r="L116" s="19">
        <f>L47*Inputs!$C$60</f>
        <v>4019.2889053431486</v>
      </c>
      <c r="M116" s="19">
        <f>M47*Inputs!$C$60</f>
        <v>3945.140398305065</v>
      </c>
      <c r="N116" s="182">
        <f>N47*Inputs!$C$60</f>
        <v>3859.6196828055949</v>
      </c>
      <c r="O116" s="19">
        <f>O47*Inputs!$C$60</f>
        <v>3741.8321774910155</v>
      </c>
      <c r="P116" s="19">
        <f>P47*Inputs!$C$60</f>
        <v>3689.4433654365989</v>
      </c>
      <c r="Q116" s="19">
        <f>Q47*Inputs!$C$60</f>
        <v>3688.77317787837</v>
      </c>
      <c r="R116" s="19">
        <f>R47*Inputs!$C$60</f>
        <v>3688.5877665474422</v>
      </c>
      <c r="S116" s="19">
        <f>S47*Inputs!$C$60</f>
        <v>3685.2005491488358</v>
      </c>
      <c r="T116" s="19">
        <f>T47*Inputs!$C$60</f>
        <v>3671.237103577058</v>
      </c>
      <c r="U116" s="19">
        <f>U47*Inputs!$C$60</f>
        <v>3663.3130203009505</v>
      </c>
      <c r="V116" s="19">
        <f>V47*Inputs!$C$60</f>
        <v>3652.6161600152955</v>
      </c>
      <c r="W116" s="19">
        <f>W47*Inputs!$C$60</f>
        <v>3638.1468501171917</v>
      </c>
      <c r="X116" s="182">
        <f>X47*Inputs!$C$60</f>
        <v>3626.6452944049211</v>
      </c>
      <c r="Y116" s="206">
        <f>Y47*Inputs!$C$60</f>
        <v>3621.3148817756346</v>
      </c>
      <c r="Z116" s="206">
        <f>Z47*Inputs!$C$60</f>
        <v>3608.6166274455531</v>
      </c>
      <c r="AA116" s="206">
        <f>AA47*Inputs!$C$60</f>
        <v>3604.841547994678</v>
      </c>
      <c r="AB116" s="206">
        <f>AB47*Inputs!$C$60</f>
        <v>3601.218645316766</v>
      </c>
      <c r="AC116" s="206">
        <f>AC47*Inputs!$C$60</f>
        <v>3588.147796252551</v>
      </c>
      <c r="AD116" s="206">
        <f>AD47*Inputs!$C$60</f>
        <v>3582.5306669083498</v>
      </c>
      <c r="AE116" s="206">
        <f>AE47*Inputs!$C$60</f>
        <v>3572.0835320413748</v>
      </c>
      <c r="AF116" s="206">
        <f>AF47*Inputs!$C$60</f>
        <v>3558.6051161845385</v>
      </c>
      <c r="AG116" s="206">
        <f>AG47*Inputs!$C$60</f>
        <v>3543.061848989405</v>
      </c>
      <c r="AH116" s="182">
        <f>AH47*Inputs!$C$60</f>
        <v>3524.0356931501024</v>
      </c>
      <c r="AI116" s="31"/>
    </row>
    <row r="117" spans="1:35" s="20" customFormat="1">
      <c r="A117" s="10" t="s">
        <v>222</v>
      </c>
      <c r="B117" s="37"/>
      <c r="C117" s="334">
        <f>C48*Inputs!$C$61</f>
        <v>1385.0100000000002</v>
      </c>
      <c r="D117" s="334">
        <f>D48*Inputs!$C$61</f>
        <v>706.87802818330056</v>
      </c>
      <c r="E117" s="334">
        <f>E48*Inputs!$C$61</f>
        <v>724.95856904035497</v>
      </c>
      <c r="F117" s="334">
        <f>F48*Inputs!$C$61</f>
        <v>863.52636871778645</v>
      </c>
      <c r="G117" s="334">
        <f>G48*Inputs!$C$61</f>
        <v>1061.1783204214619</v>
      </c>
      <c r="H117" s="404">
        <f>H48*Inputs!$C$61</f>
        <v>1058.0015466188404</v>
      </c>
      <c r="I117" s="19">
        <f>I48*Inputs!$C$61</f>
        <v>681.17716442021276</v>
      </c>
      <c r="J117" s="19">
        <f>J48*Inputs!$C$61</f>
        <v>732.26441338219718</v>
      </c>
      <c r="K117" s="19">
        <f>K48*Inputs!$C$61</f>
        <v>721.66828188281261</v>
      </c>
      <c r="L117" s="19">
        <f>L48*Inputs!$C$61</f>
        <v>786.44094497876415</v>
      </c>
      <c r="M117" s="19">
        <f>M48*Inputs!$C$61</f>
        <v>804.05856769037678</v>
      </c>
      <c r="N117" s="182">
        <f>N48*Inputs!$C$61</f>
        <v>819.95739815795719</v>
      </c>
      <c r="O117" s="19">
        <f>O48*Inputs!$C$61</f>
        <v>941.55493536886331</v>
      </c>
      <c r="P117" s="19">
        <f>P48*Inputs!$C$61</f>
        <v>1054.4795836141213</v>
      </c>
      <c r="Q117" s="19">
        <f>Q48*Inputs!$C$61</f>
        <v>1129.363851128722</v>
      </c>
      <c r="R117" s="19">
        <f>R48*Inputs!$C$61</f>
        <v>1159.128931812583</v>
      </c>
      <c r="S117" s="19">
        <f>S48*Inputs!$C$61</f>
        <v>1217.0954110956809</v>
      </c>
      <c r="T117" s="19">
        <f>T48*Inputs!$C$61</f>
        <v>1298.0755337213491</v>
      </c>
      <c r="U117" s="19">
        <f>U48*Inputs!$C$61</f>
        <v>1344.7143383063406</v>
      </c>
      <c r="V117" s="19">
        <f>V48*Inputs!$C$61</f>
        <v>1375.9646658291135</v>
      </c>
      <c r="W117" s="19">
        <f>W48*Inputs!$C$61</f>
        <v>1443.8326926692396</v>
      </c>
      <c r="X117" s="182">
        <f>X48*Inputs!$C$61</f>
        <v>1504.6031637582741</v>
      </c>
      <c r="Y117" s="206">
        <f>Y48*Inputs!$C$61</f>
        <v>1503.3507376147986</v>
      </c>
      <c r="Z117" s="206">
        <f>Z48*Inputs!$C$61</f>
        <v>1564.6269019255842</v>
      </c>
      <c r="AA117" s="206">
        <f>AA48*Inputs!$C$61</f>
        <v>1593.4478991618591</v>
      </c>
      <c r="AB117" s="206">
        <f>AB48*Inputs!$C$61</f>
        <v>1608.2184932145572</v>
      </c>
      <c r="AC117" s="206">
        <f>AC48*Inputs!$C$61</f>
        <v>1622.778705418734</v>
      </c>
      <c r="AD117" s="206">
        <f>AD48*Inputs!$C$61</f>
        <v>1610.8160448725107</v>
      </c>
      <c r="AE117" s="206">
        <f>AE48*Inputs!$C$61</f>
        <v>1613.1050809419596</v>
      </c>
      <c r="AF117" s="206">
        <f>AF48*Inputs!$C$61</f>
        <v>1634.7618298008035</v>
      </c>
      <c r="AG117" s="206">
        <f>AG48*Inputs!$C$61</f>
        <v>1690.165339170743</v>
      </c>
      <c r="AH117" s="182">
        <f>AH48*Inputs!$C$61</f>
        <v>1736.9404796213184</v>
      </c>
      <c r="AI117" s="31"/>
    </row>
    <row r="118" spans="1:35" s="20" customFormat="1">
      <c r="A118" s="10" t="s">
        <v>58</v>
      </c>
      <c r="B118" s="37"/>
      <c r="C118" s="334">
        <f>SUM(C113,C116,C117)</f>
        <v>4846.101200000001</v>
      </c>
      <c r="D118" s="334">
        <f>SUM(D113,D116,D117)</f>
        <v>4729.9761256190504</v>
      </c>
      <c r="E118" s="334">
        <f t="shared" ref="E118:AH118" si="90">SUM(E113,E116,E117)</f>
        <v>4913.4242959844833</v>
      </c>
      <c r="F118" s="334">
        <f t="shared" si="90"/>
        <v>5106.5225390260548</v>
      </c>
      <c r="G118" s="334">
        <f t="shared" si="90"/>
        <v>5070.2929392731276</v>
      </c>
      <c r="H118" s="404">
        <f t="shared" si="90"/>
        <v>5106.8937552551724</v>
      </c>
      <c r="I118" s="19">
        <f t="shared" si="90"/>
        <v>5074.3928841540919</v>
      </c>
      <c r="J118" s="19">
        <f t="shared" si="90"/>
        <v>5156.2543076465454</v>
      </c>
      <c r="K118" s="19">
        <f t="shared" si="90"/>
        <v>5338.2344054640507</v>
      </c>
      <c r="L118" s="19">
        <f t="shared" si="90"/>
        <v>5511.9854272084785</v>
      </c>
      <c r="M118" s="19">
        <f t="shared" si="90"/>
        <v>5617.1350344271423</v>
      </c>
      <c r="N118" s="182">
        <f t="shared" si="90"/>
        <v>5757.3889614922609</v>
      </c>
      <c r="O118" s="19">
        <f t="shared" si="90"/>
        <v>5781.1091203513388</v>
      </c>
      <c r="P118" s="19">
        <f t="shared" si="90"/>
        <v>5875.549772723919</v>
      </c>
      <c r="Q118" s="19">
        <f t="shared" si="90"/>
        <v>5987.9681403819641</v>
      </c>
      <c r="R118" s="19">
        <f t="shared" si="90"/>
        <v>6045.8665089184633</v>
      </c>
      <c r="S118" s="19">
        <f t="shared" si="90"/>
        <v>6135.8054847391459</v>
      </c>
      <c r="T118" s="19">
        <f t="shared" si="90"/>
        <v>6242.3719493824774</v>
      </c>
      <c r="U118" s="19">
        <f t="shared" si="90"/>
        <v>6314.4278333882394</v>
      </c>
      <c r="V118" s="19">
        <f t="shared" si="90"/>
        <v>6364.435318331276</v>
      </c>
      <c r="W118" s="19">
        <f t="shared" si="90"/>
        <v>6456.9360679312276</v>
      </c>
      <c r="X118" s="182">
        <f t="shared" si="90"/>
        <v>6545.3017143338639</v>
      </c>
      <c r="Y118" s="206">
        <f t="shared" si="90"/>
        <v>6570.3131142239708</v>
      </c>
      <c r="Z118" s="206">
        <f t="shared" si="90"/>
        <v>6667.2775630177812</v>
      </c>
      <c r="AA118" s="206">
        <f t="shared" si="90"/>
        <v>6735.4492420213091</v>
      </c>
      <c r="AB118" s="206">
        <f t="shared" si="90"/>
        <v>6786.9385486795854</v>
      </c>
      <c r="AC118" s="206">
        <f t="shared" si="90"/>
        <v>6827.0470050711674</v>
      </c>
      <c r="AD118" s="206">
        <f t="shared" si="90"/>
        <v>6843.2104064754967</v>
      </c>
      <c r="AE118" s="206">
        <f t="shared" si="90"/>
        <v>6872.7682647343681</v>
      </c>
      <c r="AF118" s="206">
        <f t="shared" si="90"/>
        <v>6925.1958190322384</v>
      </c>
      <c r="AG118" s="206">
        <f t="shared" si="90"/>
        <v>7021.5134863637732</v>
      </c>
      <c r="AH118" s="182">
        <f t="shared" si="90"/>
        <v>7103.4825198457438</v>
      </c>
      <c r="AI118" s="31"/>
    </row>
    <row r="119" spans="1:35" s="1" customFormat="1">
      <c r="A119" s="1" t="s">
        <v>335</v>
      </c>
      <c r="B119" s="13"/>
      <c r="C119" s="341">
        <f>C118-'Output - Jobs vs Yr (BAU)'!C55</f>
        <v>0</v>
      </c>
      <c r="D119" s="341">
        <f>D118-'Output - Jobs vs Yr (BAU)'!D55</f>
        <v>15.444925619050082</v>
      </c>
      <c r="E119" s="341">
        <f>E118-'Output - Jobs vs Yr (BAU)'!E55</f>
        <v>32.635934690101749</v>
      </c>
      <c r="F119" s="341">
        <f>F118-'Output - Jobs vs Yr (BAU)'!F55</f>
        <v>60.011275930071861</v>
      </c>
      <c r="G119" s="341">
        <f>G118-'Output - Jobs vs Yr (BAU)'!G55</f>
        <v>87.399415880658125</v>
      </c>
      <c r="H119" s="405">
        <f>H118-'Output - Jobs vs Yr (BAU)'!H55</f>
        <v>-0.11330000000089058</v>
      </c>
      <c r="I119" s="15">
        <f>I118-'Output - Jobs vs Yr (BAU)'!I55</f>
        <v>19.82904348203283</v>
      </c>
      <c r="J119" s="15">
        <f>J118-'Output - Jobs vs Yr (BAU)'!J55</f>
        <v>37.882674000015868</v>
      </c>
      <c r="K119" s="15">
        <f>K118-'Output - Jobs vs Yr (BAU)'!K55</f>
        <v>64.821591139459088</v>
      </c>
      <c r="L119" s="15">
        <f>L118-'Output - Jobs vs Yr (BAU)'!L55</f>
        <v>114.3802048773332</v>
      </c>
      <c r="M119" s="15">
        <f>M118-'Output - Jobs vs Yr (BAU)'!M55</f>
        <v>186.16642454523117</v>
      </c>
      <c r="N119" s="182">
        <f>N118-'Output - Jobs vs Yr (BAU)'!N55</f>
        <v>285.41961395703674</v>
      </c>
      <c r="O119" s="15">
        <f>O118-'Output - Jobs vs Yr (BAU)'!O55</f>
        <v>287.54464992033536</v>
      </c>
      <c r="P119" s="15">
        <f>P118-'Output - Jobs vs Yr (BAU)'!P55</f>
        <v>291.00487587391399</v>
      </c>
      <c r="Q119" s="15">
        <f>Q118-'Output - Jobs vs Yr (BAU)'!Q55</f>
        <v>293.0803856491757</v>
      </c>
      <c r="R119" s="15">
        <f>R118-'Output - Jobs vs Yr (BAU)'!R55</f>
        <v>289.97626578665586</v>
      </c>
      <c r="S119" s="15">
        <f>S118-'Output - Jobs vs Yr (BAU)'!S55</f>
        <v>293.48407210625464</v>
      </c>
      <c r="T119" s="15">
        <f>T118-'Output - Jobs vs Yr (BAU)'!T55</f>
        <v>294.48301585570607</v>
      </c>
      <c r="U119" s="15">
        <f>U118-'Output - Jobs vs Yr (BAU)'!U55</f>
        <v>294.72914228687841</v>
      </c>
      <c r="V119" s="15">
        <f>V118-'Output - Jobs vs Yr (BAU)'!V55</f>
        <v>300.0404940587332</v>
      </c>
      <c r="W119" s="15">
        <f>W118-'Output - Jobs vs Yr (BAU)'!W55</f>
        <v>316.08570749416958</v>
      </c>
      <c r="X119" s="190">
        <f>X118-'Output - Jobs vs Yr (BAU)'!X55</f>
        <v>326.08705244478006</v>
      </c>
      <c r="Y119" s="130">
        <f>Y118-'Output - Jobs vs Yr (BAU)'!Y55</f>
        <v>320.72696934738269</v>
      </c>
      <c r="Z119" s="130">
        <f>Z118-'Output - Jobs vs Yr (BAU)'!Z55</f>
        <v>311.76503568284716</v>
      </c>
      <c r="AA119" s="130">
        <f>AA118-'Output - Jobs vs Yr (BAU)'!AA55</f>
        <v>303.91062107826474</v>
      </c>
      <c r="AB119" s="130">
        <f>AB118-'Output - Jobs vs Yr (BAU)'!AB55</f>
        <v>294.92289747379255</v>
      </c>
      <c r="AC119" s="130">
        <f>AC118-'Output - Jobs vs Yr (BAU)'!AC55</f>
        <v>305.19179157519193</v>
      </c>
      <c r="AD119" s="130">
        <f>AD118-'Output - Jobs vs Yr (BAU)'!AD55</f>
        <v>309.30803259307413</v>
      </c>
      <c r="AE119" s="130">
        <f>AE118-'Output - Jobs vs Yr (BAU)'!AE55</f>
        <v>316.79923761666032</v>
      </c>
      <c r="AF119" s="130">
        <f>AF118-'Output - Jobs vs Yr (BAU)'!AF55</f>
        <v>327.8063091021404</v>
      </c>
      <c r="AG119" s="130">
        <f>AG118-'Output - Jobs vs Yr (BAU)'!AG55</f>
        <v>344.0834063340817</v>
      </c>
      <c r="AH119" s="190">
        <f>AH118-'Output - Jobs vs Yr (BAU)'!AH55</f>
        <v>366.61762036662822</v>
      </c>
    </row>
    <row r="120" spans="1:35" s="1" customFormat="1">
      <c r="B120" s="13"/>
      <c r="C120" s="328"/>
      <c r="D120" s="341"/>
      <c r="E120" s="341"/>
      <c r="F120" s="341"/>
      <c r="G120" s="341"/>
      <c r="H120" s="405"/>
      <c r="I120" s="15"/>
      <c r="J120" s="15"/>
      <c r="K120" s="15"/>
      <c r="L120" s="15"/>
      <c r="M120" s="15"/>
      <c r="N120" s="187" t="s">
        <v>0</v>
      </c>
      <c r="O120" s="15"/>
      <c r="P120" s="15"/>
      <c r="Q120" s="15"/>
      <c r="R120" s="15"/>
      <c r="S120" s="15"/>
      <c r="T120" s="15"/>
      <c r="U120" s="15"/>
      <c r="V120" s="15"/>
      <c r="W120" s="15"/>
      <c r="X120" s="190"/>
      <c r="Y120"/>
      <c r="Z120"/>
      <c r="AA120"/>
      <c r="AB120"/>
      <c r="AC120"/>
      <c r="AD120"/>
      <c r="AE120"/>
      <c r="AF120"/>
      <c r="AG120"/>
      <c r="AH120" s="280"/>
    </row>
    <row r="121" spans="1:35" hidden="1">
      <c r="W121" s="2" t="s">
        <v>133</v>
      </c>
      <c r="X121" s="187">
        <f>X100</f>
        <v>0</v>
      </c>
    </row>
    <row r="122" spans="1:35" hidden="1">
      <c r="W122" s="2" t="s">
        <v>136</v>
      </c>
      <c r="X122" s="187">
        <f>X103-'Output - Jobs vs Yr (BAU)'!X43</f>
        <v>0</v>
      </c>
    </row>
    <row r="123" spans="1:35" hidden="1">
      <c r="W123" s="2" t="s">
        <v>134</v>
      </c>
      <c r="X123" s="187">
        <f>X115-'Output - Jobs vs Yr (BAU)'!X51</f>
        <v>764.94040078158525</v>
      </c>
    </row>
    <row r="124" spans="1:35" hidden="1">
      <c r="W124" s="2" t="s">
        <v>137</v>
      </c>
      <c r="X124" s="187">
        <f>SUM(X101,X106,X111)</f>
        <v>0</v>
      </c>
    </row>
    <row r="125" spans="1:35" hidden="1">
      <c r="W125" s="2" t="s">
        <v>132</v>
      </c>
      <c r="X125" s="187">
        <f>SUM(X121:X124)</f>
        <v>764.94040078158525</v>
      </c>
    </row>
    <row r="126" spans="1:35">
      <c r="A126" s="1" t="s">
        <v>140</v>
      </c>
      <c r="C126" s="328">
        <v>2009</v>
      </c>
      <c r="D126" s="328">
        <v>2010</v>
      </c>
      <c r="E126" s="328">
        <v>2011</v>
      </c>
      <c r="F126" s="328">
        <v>2012</v>
      </c>
      <c r="G126" s="328">
        <v>2013</v>
      </c>
      <c r="H126" s="400">
        <v>2014</v>
      </c>
      <c r="I126" s="13">
        <v>2015</v>
      </c>
      <c r="J126" s="13">
        <v>2016</v>
      </c>
      <c r="K126" s="13">
        <v>2017</v>
      </c>
      <c r="L126" s="13">
        <v>2018</v>
      </c>
      <c r="M126" s="13">
        <v>2019</v>
      </c>
      <c r="N126" s="176">
        <v>2020</v>
      </c>
      <c r="O126" s="13">
        <v>2021</v>
      </c>
      <c r="P126" s="13">
        <v>2022</v>
      </c>
      <c r="Q126" s="13">
        <v>2023</v>
      </c>
      <c r="R126" s="13">
        <v>2024</v>
      </c>
      <c r="S126" s="13">
        <v>2025</v>
      </c>
      <c r="T126" s="13">
        <v>2026</v>
      </c>
      <c r="U126" s="13">
        <v>2027</v>
      </c>
      <c r="V126" s="13">
        <v>2028</v>
      </c>
      <c r="W126" s="13">
        <v>2029</v>
      </c>
      <c r="X126" s="176">
        <v>2030</v>
      </c>
      <c r="Y126" s="13">
        <v>2031</v>
      </c>
      <c r="Z126" s="13">
        <v>2032</v>
      </c>
      <c r="AA126" s="13">
        <v>2033</v>
      </c>
      <c r="AB126" s="13">
        <v>2034</v>
      </c>
      <c r="AC126" s="13">
        <v>2035</v>
      </c>
      <c r="AD126" s="13">
        <v>2036</v>
      </c>
      <c r="AE126" s="13">
        <v>2037</v>
      </c>
      <c r="AF126" s="13">
        <v>2038</v>
      </c>
      <c r="AG126" s="13">
        <v>2039</v>
      </c>
      <c r="AH126" s="176">
        <v>2040</v>
      </c>
      <c r="AI126" s="1" t="s">
        <v>0</v>
      </c>
    </row>
    <row r="127" spans="1:35">
      <c r="A127" s="10" t="s">
        <v>61</v>
      </c>
      <c r="B127" s="35">
        <v>0</v>
      </c>
      <c r="C127" s="331">
        <v>0</v>
      </c>
      <c r="D127" s="331">
        <f xml:space="preserve"> IF(D100&gt; 0, D100*Inputs!$H44, 0)</f>
        <v>0</v>
      </c>
      <c r="E127" s="331">
        <f xml:space="preserve"> IF(E100&gt; 0, E100*Inputs!$H44, 0)</f>
        <v>0</v>
      </c>
      <c r="F127" s="331">
        <f xml:space="preserve"> IF(F100&gt; 0, F100*Inputs!$H44, 0)</f>
        <v>0</v>
      </c>
      <c r="G127" s="331">
        <f xml:space="preserve"> IF(G100&gt; 0, G100*Inputs!$H44, 0)</f>
        <v>0</v>
      </c>
      <c r="H127" s="402">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2">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7">
        <f xml:space="preserve"> IF(X100&gt; 0, X100*Inputs!$H44, 0)</f>
        <v>0</v>
      </c>
      <c r="Y127" s="158">
        <f xml:space="preserve"> IF(Y100&gt; 0, Y100*Inputs!$H44, 0)</f>
        <v>0</v>
      </c>
      <c r="Z127" s="158">
        <f xml:space="preserve"> IF(Z100&gt; 0, Z100*Inputs!$H44, 0)</f>
        <v>0</v>
      </c>
      <c r="AA127" s="158">
        <f xml:space="preserve"> IF(AA100&gt; 0, AA100*Inputs!$H44, 0)</f>
        <v>0</v>
      </c>
      <c r="AB127" s="158">
        <f xml:space="preserve"> IF(AB100&gt; 0, AB100*Inputs!$H44, 0)</f>
        <v>0</v>
      </c>
      <c r="AC127" s="158">
        <f xml:space="preserve"> IF(AC100&gt; 0, AC100*Inputs!$H44, 0)</f>
        <v>0</v>
      </c>
      <c r="AD127" s="158">
        <f xml:space="preserve"> IF(AD100&gt; 0, AD100*Inputs!$H44, 0)</f>
        <v>0</v>
      </c>
      <c r="AE127" s="158">
        <f xml:space="preserve"> IF(AE100&gt; 0, AE100*Inputs!$H44, 0)</f>
        <v>0</v>
      </c>
      <c r="AF127" s="158">
        <f xml:space="preserve"> IF(AF100&gt; 0, AF100*Inputs!$H44, 0)</f>
        <v>0</v>
      </c>
      <c r="AG127" s="158">
        <f xml:space="preserve"> IF(AG100&gt; 0, AG100*Inputs!$H44, 0)</f>
        <v>0</v>
      </c>
      <c r="AH127" s="187">
        <f xml:space="preserve"> IF(AH100&gt; 0, AH100*Inputs!$H44, 0)</f>
        <v>0</v>
      </c>
    </row>
    <row r="128" spans="1:35">
      <c r="A128" s="10" t="s">
        <v>60</v>
      </c>
      <c r="B128" s="35">
        <v>0</v>
      </c>
      <c r="C128" s="331">
        <f>C101*Inputs!$H47</f>
        <v>0</v>
      </c>
      <c r="D128" s="331">
        <f>D101*Inputs!$H47</f>
        <v>0</v>
      </c>
      <c r="E128" s="331">
        <f>E101*Inputs!$H47</f>
        <v>0</v>
      </c>
      <c r="F128" s="331">
        <f>F101*Inputs!$H47</f>
        <v>0</v>
      </c>
      <c r="G128" s="331">
        <f>G101*Inputs!$H47</f>
        <v>0</v>
      </c>
      <c r="H128" s="402">
        <f>H101*Inputs!$H47</f>
        <v>0</v>
      </c>
      <c r="I128" s="14">
        <f>I101*Inputs!$H47</f>
        <v>0</v>
      </c>
      <c r="J128" s="14">
        <f>J101*Inputs!$H47</f>
        <v>0</v>
      </c>
      <c r="K128" s="14">
        <f>K101*Inputs!$H47</f>
        <v>0</v>
      </c>
      <c r="L128" s="14">
        <f>L101*Inputs!$H47</f>
        <v>0</v>
      </c>
      <c r="M128" s="14">
        <f>M101*Inputs!$H47</f>
        <v>0</v>
      </c>
      <c r="N128" s="182">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7">
        <f>X101*Inputs!$H47</f>
        <v>0</v>
      </c>
      <c r="Y128" s="158">
        <f>Y101*Inputs!$H47</f>
        <v>0</v>
      </c>
      <c r="Z128" s="158">
        <f>Z101*Inputs!$H47</f>
        <v>0</v>
      </c>
      <c r="AA128" s="158">
        <f>AA101*Inputs!$H47</f>
        <v>0</v>
      </c>
      <c r="AB128" s="158">
        <f>AB101*Inputs!$H47</f>
        <v>0</v>
      </c>
      <c r="AC128" s="158">
        <f>AC101*Inputs!$H47</f>
        <v>0</v>
      </c>
      <c r="AD128" s="158">
        <f>AD101*Inputs!$H47</f>
        <v>0</v>
      </c>
      <c r="AE128" s="158">
        <f>AE101*Inputs!$H47</f>
        <v>0</v>
      </c>
      <c r="AF128" s="158">
        <f>AF101*Inputs!$H47</f>
        <v>0</v>
      </c>
      <c r="AG128" s="158">
        <f>AG101*Inputs!$H47</f>
        <v>0</v>
      </c>
      <c r="AH128" s="187">
        <f>AH101*Inputs!$H47</f>
        <v>0</v>
      </c>
    </row>
    <row r="129" spans="1:35">
      <c r="A129" s="10" t="s">
        <v>49</v>
      </c>
      <c r="B129" s="35">
        <v>0</v>
      </c>
      <c r="C129" s="331">
        <f>C102*Inputs!$H48</f>
        <v>112.72364999999999</v>
      </c>
      <c r="D129" s="331">
        <f>D102*Inputs!$H48</f>
        <v>106.86891971638258</v>
      </c>
      <c r="E129" s="331">
        <f>E102*Inputs!$H48</f>
        <v>107.52165063698951</v>
      </c>
      <c r="F129" s="331">
        <f>F102*Inputs!$H48</f>
        <v>108.53402417320508</v>
      </c>
      <c r="G129" s="331">
        <f>G102*Inputs!$H48</f>
        <v>104.26331932870518</v>
      </c>
      <c r="H129" s="402">
        <f>H102*Inputs!$H48</f>
        <v>89.762606264578253</v>
      </c>
      <c r="I129" s="14">
        <f>I102*Inputs!$H48</f>
        <v>88.488817501667626</v>
      </c>
      <c r="J129" s="14">
        <f>J102*Inputs!$H48</f>
        <v>89.075780130335644</v>
      </c>
      <c r="K129" s="14">
        <f>K102*Inputs!$H48</f>
        <v>91.194845998710136</v>
      </c>
      <c r="L129" s="14">
        <f>L102*Inputs!$H48</f>
        <v>92.905295418318204</v>
      </c>
      <c r="M129" s="14">
        <f>M102*Inputs!$H48</f>
        <v>93.145128912229126</v>
      </c>
      <c r="N129" s="182">
        <f>N102*Inputs!$H48</f>
        <v>93.58266964163397</v>
      </c>
      <c r="O129" s="14">
        <f>O102*Inputs!$H48</f>
        <v>92.927631313369503</v>
      </c>
      <c r="P129" s="14">
        <f>P102*Inputs!$H48</f>
        <v>93.387507694301277</v>
      </c>
      <c r="Q129" s="14">
        <f>Q102*Inputs!$H48</f>
        <v>94.096702355107567</v>
      </c>
      <c r="R129" s="14">
        <f>R102*Inputs!$H48</f>
        <v>93.920468351249497</v>
      </c>
      <c r="S129" s="14">
        <f>S102*Inputs!$H48</f>
        <v>94.215264898847536</v>
      </c>
      <c r="T129" s="14">
        <f>T102*Inputs!$H48</f>
        <v>94.730168322008183</v>
      </c>
      <c r="U129" s="14">
        <f>U102*Inputs!$H48</f>
        <v>94.690770614916048</v>
      </c>
      <c r="V129" s="14">
        <f>V102*Inputs!$H48</f>
        <v>94.300136181054469</v>
      </c>
      <c r="W129" s="14">
        <f>W102*Inputs!$H48</f>
        <v>94.51344178396549</v>
      </c>
      <c r="X129" s="187">
        <f>X102*Inputs!$H48</f>
        <v>94.634786241241315</v>
      </c>
      <c r="Y129" s="158">
        <f>Y102*Inputs!$H48</f>
        <v>94.326528927009903</v>
      </c>
      <c r="Z129" s="158">
        <f>Z102*Inputs!$H48</f>
        <v>95.035551721795514</v>
      </c>
      <c r="AA129" s="158">
        <f>AA102*Inputs!$H48</f>
        <v>95.316237387798637</v>
      </c>
      <c r="AB129" s="158">
        <f>AB102*Inputs!$H48</f>
        <v>95.347283676968672</v>
      </c>
      <c r="AC129" s="158">
        <f>AC102*Inputs!$H48</f>
        <v>95.207630958912432</v>
      </c>
      <c r="AD129" s="158">
        <f>AD102*Inputs!$H48</f>
        <v>94.727178532008082</v>
      </c>
      <c r="AE129" s="158">
        <f>AE102*Inputs!$H48</f>
        <v>94.425372072852994</v>
      </c>
      <c r="AF129" s="158">
        <f>AF102*Inputs!$H48</f>
        <v>94.427165869083666</v>
      </c>
      <c r="AG129" s="158">
        <f>AG102*Inputs!$H48</f>
        <v>95.009390790547968</v>
      </c>
      <c r="AH129" s="187">
        <f>AH102*Inputs!$H48</f>
        <v>95.377560183076213</v>
      </c>
    </row>
    <row r="130" spans="1:35">
      <c r="A130" s="10" t="s">
        <v>59</v>
      </c>
      <c r="B130" s="35">
        <v>0</v>
      </c>
      <c r="C130" s="331">
        <f>C103*Inputs!$H53</f>
        <v>0</v>
      </c>
      <c r="D130" s="331">
        <f>D103*Inputs!$H53</f>
        <v>0</v>
      </c>
      <c r="E130" s="331">
        <f>E103*Inputs!$H53</f>
        <v>0</v>
      </c>
      <c r="F130" s="331">
        <f>F103*Inputs!$H53</f>
        <v>0</v>
      </c>
      <c r="G130" s="331">
        <f>G103*Inputs!$H53</f>
        <v>0</v>
      </c>
      <c r="H130" s="402">
        <f>H103*Inputs!$H53</f>
        <v>0</v>
      </c>
      <c r="I130" s="14">
        <f>I103*Inputs!$H53</f>
        <v>0</v>
      </c>
      <c r="J130" s="14">
        <f>J103*Inputs!$H53</f>
        <v>0</v>
      </c>
      <c r="K130" s="14">
        <f>K103*Inputs!$H53</f>
        <v>0</v>
      </c>
      <c r="L130" s="14">
        <f>L103*Inputs!$H53</f>
        <v>0</v>
      </c>
      <c r="M130" s="14">
        <f>M103*Inputs!$H53</f>
        <v>0</v>
      </c>
      <c r="N130" s="182">
        <f>N103*Inputs!$H53</f>
        <v>0</v>
      </c>
      <c r="O130" s="14">
        <f>O103*Inputs!$H53</f>
        <v>0</v>
      </c>
      <c r="P130" s="14">
        <f>P103*Inputs!$H53</f>
        <v>0</v>
      </c>
      <c r="Q130" s="14">
        <f>Q103*Inputs!$H53</f>
        <v>0</v>
      </c>
      <c r="R130" s="14">
        <f>R103*Inputs!$H53</f>
        <v>0</v>
      </c>
      <c r="S130" s="14">
        <f>S103*Inputs!$H53</f>
        <v>0</v>
      </c>
      <c r="T130" s="14">
        <f>T103*Inputs!$H53</f>
        <v>0</v>
      </c>
      <c r="U130" s="14">
        <f>U103*Inputs!$H53</f>
        <v>0</v>
      </c>
      <c r="V130" s="14">
        <f>V103*Inputs!$H53</f>
        <v>0</v>
      </c>
      <c r="W130" s="14">
        <f>W103*Inputs!$H53</f>
        <v>0</v>
      </c>
      <c r="X130" s="187">
        <f>X103*Inputs!$H53</f>
        <v>0</v>
      </c>
      <c r="Y130" s="158">
        <f>Y103*Inputs!$H53</f>
        <v>0</v>
      </c>
      <c r="Z130" s="158">
        <f>Z103*Inputs!$H53</f>
        <v>0</v>
      </c>
      <c r="AA130" s="158">
        <f>AA103*Inputs!$H53</f>
        <v>0</v>
      </c>
      <c r="AB130" s="158">
        <f>AB103*Inputs!$H53</f>
        <v>0</v>
      </c>
      <c r="AC130" s="158">
        <f>AC103*Inputs!$H53</f>
        <v>0</v>
      </c>
      <c r="AD130" s="158">
        <f>AD103*Inputs!$H53</f>
        <v>0</v>
      </c>
      <c r="AE130" s="158">
        <f>AE103*Inputs!$H53</f>
        <v>0</v>
      </c>
      <c r="AF130" s="158">
        <f>AF103*Inputs!$H53</f>
        <v>0</v>
      </c>
      <c r="AG130" s="158">
        <f>AG103*Inputs!$H53</f>
        <v>0</v>
      </c>
      <c r="AH130" s="187">
        <f>AH103*Inputs!$H53</f>
        <v>0</v>
      </c>
    </row>
    <row r="131" spans="1:35">
      <c r="A131" s="10" t="s">
        <v>121</v>
      </c>
      <c r="B131" s="35">
        <v>1</v>
      </c>
      <c r="C131" s="330">
        <f>Inputs!$H46*'Output -Jobs vs Yr'!C104</f>
        <v>0</v>
      </c>
      <c r="D131" s="330">
        <f>Inputs!$H46*'Output -Jobs vs Yr'!D104</f>
        <v>0</v>
      </c>
      <c r="E131" s="330">
        <f>Inputs!$H46*'Output -Jobs vs Yr'!E104</f>
        <v>0.492325344</v>
      </c>
      <c r="F131" s="330">
        <f>Inputs!$H46*'Output -Jobs vs Yr'!F104</f>
        <v>0.47658807000000003</v>
      </c>
      <c r="G131" s="330">
        <f>Inputs!$H46*'Output -Jobs vs Yr'!G104</f>
        <v>0.468405882</v>
      </c>
      <c r="H131" s="286">
        <f>Inputs!$H46*'Output -Jobs vs Yr'!H104</f>
        <v>0.50055856200000004</v>
      </c>
      <c r="I131" s="40">
        <f>Inputs!$H46*'Output -Jobs vs Yr'!I104</f>
        <v>0.63151100459200737</v>
      </c>
      <c r="J131" s="40">
        <f>Inputs!$H46*'Output -Jobs vs Yr'!J104</f>
        <v>0.81355891158838767</v>
      </c>
      <c r="K131" s="40">
        <f>Inputs!$H46*'Output -Jobs vs Yr'!K104</f>
        <v>1.0659584555418657</v>
      </c>
      <c r="L131" s="40">
        <f>Inputs!$H46*'Output -Jobs vs Yr'!L104</f>
        <v>1.3898081693538749</v>
      </c>
      <c r="M131" s="40">
        <f>Inputs!$H46*'Output -Jobs vs Yr'!M104</f>
        <v>1.7832932401738126</v>
      </c>
      <c r="N131" s="177">
        <f>Inputs!$H46*'Output -Jobs vs Yr'!N104</f>
        <v>2.2930319638050571</v>
      </c>
      <c r="O131" s="40">
        <f>Inputs!$H46*'Output -Jobs vs Yr'!O104</f>
        <v>2.341627116615836</v>
      </c>
      <c r="P131" s="40">
        <f>Inputs!$H46*'Output -Jobs vs Yr'!P104</f>
        <v>2.4202579440832355</v>
      </c>
      <c r="Q131" s="40">
        <f>Inputs!$H46*'Output -Jobs vs Yr'!Q104</f>
        <v>2.5083602382654036</v>
      </c>
      <c r="R131" s="40">
        <f>Inputs!$H46*'Output -Jobs vs Yr'!R104</f>
        <v>2.5755019544105662</v>
      </c>
      <c r="S131" s="40">
        <f>Inputs!$H46*'Output -Jobs vs Yr'!S104</f>
        <v>2.6579904523796407</v>
      </c>
      <c r="T131" s="40">
        <f>Inputs!$H46*'Output -Jobs vs Yr'!T104</f>
        <v>2.7497692484868668</v>
      </c>
      <c r="U131" s="40">
        <f>Inputs!$H46*'Output -Jobs vs Yr'!U104</f>
        <v>2.8283791089732806</v>
      </c>
      <c r="V131" s="40">
        <f>Inputs!$H46*'Output -Jobs vs Yr'!V104</f>
        <v>2.898755034632265</v>
      </c>
      <c r="W131" s="40">
        <f>Inputs!$H46*'Output -Jobs vs Yr'!W104</f>
        <v>2.990268588209624</v>
      </c>
      <c r="X131" s="184">
        <f>Inputs!$H46*'Output -Jobs vs Yr'!X104</f>
        <v>3.0820102542483898</v>
      </c>
      <c r="Y131" s="271">
        <f>Inputs!$H46*'Output -Jobs vs Yr'!Y104</f>
        <v>3.1572101307623615</v>
      </c>
      <c r="Z131" s="271">
        <f>Inputs!$H46*'Output -Jobs vs Yr'!Z104</f>
        <v>3.2692885171743131</v>
      </c>
      <c r="AA131" s="271">
        <f>Inputs!$H46*'Output -Jobs vs Yr'!AA104</f>
        <v>3.3701002601836549</v>
      </c>
      <c r="AB131" s="271">
        <f>Inputs!$H46*'Output -Jobs vs Yr'!AB104</f>
        <v>3.4650094386908918</v>
      </c>
      <c r="AC131" s="271">
        <f>Inputs!$H46*'Output -Jobs vs Yr'!AC104</f>
        <v>3.5563092759622403</v>
      </c>
      <c r="AD131" s="271">
        <f>Inputs!$H46*'Output -Jobs vs Yr'!AD104</f>
        <v>3.6370196951870137</v>
      </c>
      <c r="AE131" s="271">
        <f>Inputs!$H46*'Output -Jobs vs Yr'!AE104</f>
        <v>3.7266172016906212</v>
      </c>
      <c r="AF131" s="271">
        <f>Inputs!$H46*'Output -Jobs vs Yr'!AF104</f>
        <v>3.8308039592772554</v>
      </c>
      <c r="AG131" s="271">
        <f>Inputs!$H46*'Output -Jobs vs Yr'!AG104</f>
        <v>3.9622182007095823</v>
      </c>
      <c r="AH131" s="184">
        <f>Inputs!$H46*'Output -Jobs vs Yr'!AH104</f>
        <v>4.0889242318115198</v>
      </c>
    </row>
    <row r="132" spans="1:35">
      <c r="A132" s="10" t="s">
        <v>50</v>
      </c>
      <c r="B132" s="35">
        <v>1</v>
      </c>
      <c r="C132" s="331">
        <f>C105*Inputs!$H49</f>
        <v>62.774999999999999</v>
      </c>
      <c r="D132" s="331">
        <f>D105*Inputs!$H49</f>
        <v>81.125246377327002</v>
      </c>
      <c r="E132" s="331">
        <f>E105*Inputs!$H49</f>
        <v>111.31848377550463</v>
      </c>
      <c r="F132" s="331">
        <f>F105*Inputs!$H49</f>
        <v>153.33774653611417</v>
      </c>
      <c r="G132" s="331">
        <f>G105*Inputs!$H49</f>
        <v>201.13315353034332</v>
      </c>
      <c r="H132" s="402">
        <f>H105*Inputs!$H49</f>
        <v>76.116883138604436</v>
      </c>
      <c r="I132" s="14">
        <f>I105*Inputs!$H49</f>
        <v>100.25835176683616</v>
      </c>
      <c r="J132" s="14">
        <f>J105*Inputs!$H49</f>
        <v>134.84727667811663</v>
      </c>
      <c r="K132" s="14">
        <f>K105*Inputs!$H49</f>
        <v>184.46203182590733</v>
      </c>
      <c r="L132" s="14">
        <f>L105*Inputs!$H49</f>
        <v>251.0932887373813</v>
      </c>
      <c r="M132" s="14">
        <f>M105*Inputs!$H49</f>
        <v>336.36944903221172</v>
      </c>
      <c r="N132" s="182">
        <f>N105*Inputs!$H49</f>
        <v>451.56203844547565</v>
      </c>
      <c r="O132" s="14">
        <f>O105*Inputs!$H49</f>
        <v>461.13178130479071</v>
      </c>
      <c r="P132" s="14">
        <f>P105*Inputs!$H49</f>
        <v>476.6163874054896</v>
      </c>
      <c r="Q132" s="14">
        <f>Q105*Inputs!$H49</f>
        <v>493.96618984200057</v>
      </c>
      <c r="R132" s="14">
        <f>R105*Inputs!$H49</f>
        <v>507.18826903052019</v>
      </c>
      <c r="S132" s="14">
        <f>S105*Inputs!$H49</f>
        <v>523.43255819839146</v>
      </c>
      <c r="T132" s="14">
        <f>T105*Inputs!$H49</f>
        <v>541.50636654926984</v>
      </c>
      <c r="U132" s="14">
        <f>U105*Inputs!$H49</f>
        <v>556.9868436658013</v>
      </c>
      <c r="V132" s="14">
        <f>V105*Inputs!$H49</f>
        <v>570.84582903961348</v>
      </c>
      <c r="W132" s="14">
        <f>W105*Inputs!$H49</f>
        <v>588.86740372809209</v>
      </c>
      <c r="X132" s="187">
        <f>X105*Inputs!$H49</f>
        <v>606.93390013144131</v>
      </c>
      <c r="Y132" s="158">
        <f>Y105*Inputs!$H49</f>
        <v>621.7428561623675</v>
      </c>
      <c r="Z132" s="158">
        <f>Z105*Inputs!$H49</f>
        <v>643.81422081525159</v>
      </c>
      <c r="AA132" s="158">
        <f>AA105*Inputs!$H49</f>
        <v>663.66686870289777</v>
      </c>
      <c r="AB132" s="158">
        <f>AB105*Inputs!$H49</f>
        <v>682.35713678045033</v>
      </c>
      <c r="AC132" s="158">
        <f>AC105*Inputs!$H49</f>
        <v>700.33662475914264</v>
      </c>
      <c r="AD132" s="158">
        <f>AD105*Inputs!$H49</f>
        <v>716.23076056021944</v>
      </c>
      <c r="AE132" s="158">
        <f>AE105*Inputs!$H49</f>
        <v>733.87501206435616</v>
      </c>
      <c r="AF132" s="158">
        <f>AF105*Inputs!$H49</f>
        <v>754.39229458700163</v>
      </c>
      <c r="AG132" s="158">
        <f>AG105*Inputs!$H49</f>
        <v>780.27142914711294</v>
      </c>
      <c r="AH132" s="187">
        <f>AH105*Inputs!$H49</f>
        <v>805.2233855920565</v>
      </c>
    </row>
    <row r="133" spans="1:35">
      <c r="A133" s="10" t="s">
        <v>119</v>
      </c>
      <c r="B133" s="35">
        <v>1</v>
      </c>
      <c r="C133" s="331">
        <f>C106*Inputs!$H50</f>
        <v>0</v>
      </c>
      <c r="D133" s="331">
        <f>D106*Inputs!$H50</f>
        <v>0</v>
      </c>
      <c r="E133" s="331">
        <f>E106*Inputs!$H50</f>
        <v>0</v>
      </c>
      <c r="F133" s="331">
        <f>F106*Inputs!$H50</f>
        <v>0</v>
      </c>
      <c r="G133" s="331">
        <f>G106*Inputs!$H50</f>
        <v>0</v>
      </c>
      <c r="H133" s="402">
        <f>H106*Inputs!$H50</f>
        <v>0</v>
      </c>
      <c r="I133" s="14">
        <f>I106*Inputs!$H50</f>
        <v>0</v>
      </c>
      <c r="J133" s="14">
        <f>J106*Inputs!$H50</f>
        <v>0</v>
      </c>
      <c r="K133" s="14">
        <f>K106*Inputs!$H50</f>
        <v>0</v>
      </c>
      <c r="L133" s="14">
        <f>L106*Inputs!$H50</f>
        <v>0</v>
      </c>
      <c r="M133" s="14">
        <f>M106*Inputs!$H50</f>
        <v>0</v>
      </c>
      <c r="N133" s="182">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7">
        <f>X106*Inputs!$H50</f>
        <v>0</v>
      </c>
      <c r="Y133" s="158">
        <f>Y106*Inputs!$H50</f>
        <v>0</v>
      </c>
      <c r="Z133" s="158">
        <f>Z106*Inputs!$H50</f>
        <v>0</v>
      </c>
      <c r="AA133" s="158">
        <f>AA106*Inputs!$H50</f>
        <v>0</v>
      </c>
      <c r="AB133" s="158">
        <f>AB106*Inputs!$H50</f>
        <v>0</v>
      </c>
      <c r="AC133" s="158">
        <f>AC106*Inputs!$H50</f>
        <v>0</v>
      </c>
      <c r="AD133" s="158">
        <f>AD106*Inputs!$H50</f>
        <v>0</v>
      </c>
      <c r="AE133" s="158">
        <f>AE106*Inputs!$H50</f>
        <v>0</v>
      </c>
      <c r="AF133" s="158">
        <f>AF106*Inputs!$H50</f>
        <v>0</v>
      </c>
      <c r="AG133" s="158">
        <f>AG106*Inputs!$H50</f>
        <v>0</v>
      </c>
      <c r="AH133" s="187">
        <f>AH106*Inputs!$H50</f>
        <v>0</v>
      </c>
    </row>
    <row r="134" spans="1:35">
      <c r="A134" s="10" t="s">
        <v>51</v>
      </c>
      <c r="B134" s="35">
        <v>1</v>
      </c>
      <c r="C134" s="331">
        <f>C107*Inputs!$H52</f>
        <v>6.4799999999999995</v>
      </c>
      <c r="D134" s="331">
        <f>D107*Inputs!$H52</f>
        <v>7.6663258840012478</v>
      </c>
      <c r="E134" s="331">
        <f>E107*Inputs!$H52</f>
        <v>9.6303371876814854</v>
      </c>
      <c r="F134" s="331">
        <f>F107*Inputs!$H52</f>
        <v>12.144125616480396</v>
      </c>
      <c r="G134" s="331">
        <f>G107*Inputs!$H52</f>
        <v>14.58289673437919</v>
      </c>
      <c r="H134" s="402">
        <f>H107*Inputs!$H52</f>
        <v>10.563511539473055</v>
      </c>
      <c r="I134" s="14">
        <f>I107*Inputs!$H52</f>
        <v>12.737694793715288</v>
      </c>
      <c r="J134" s="14">
        <f>J107*Inputs!$H52</f>
        <v>15.683948996048189</v>
      </c>
      <c r="K134" s="14">
        <f>K107*Inputs!$H52</f>
        <v>19.640981770983867</v>
      </c>
      <c r="L134" s="14">
        <f>L107*Inputs!$H52</f>
        <v>24.475652175075339</v>
      </c>
      <c r="M134" s="14">
        <f>M107*Inputs!$H52</f>
        <v>30.016404890503324</v>
      </c>
      <c r="N134" s="182">
        <f>N107*Inputs!$H52</f>
        <v>36.8894787964187</v>
      </c>
      <c r="O134" s="14">
        <f>O107*Inputs!$H52</f>
        <v>37.671260248887954</v>
      </c>
      <c r="P134" s="14">
        <f>P107*Inputs!$H52</f>
        <v>38.936244901692426</v>
      </c>
      <c r="Q134" s="14">
        <f>Q107*Inputs!$H52</f>
        <v>40.353603126283325</v>
      </c>
      <c r="R134" s="14">
        <f>R107*Inputs!$H52</f>
        <v>41.433755061881328</v>
      </c>
      <c r="S134" s="14">
        <f>S107*Inputs!$H52</f>
        <v>42.760800539140661</v>
      </c>
      <c r="T134" s="14">
        <f>T107*Inputs!$H52</f>
        <v>44.237305012868191</v>
      </c>
      <c r="U134" s="14">
        <f>U107*Inputs!$H52</f>
        <v>45.501952356375313</v>
      </c>
      <c r="V134" s="14">
        <f>V107*Inputs!$H52</f>
        <v>46.634135098855452</v>
      </c>
      <c r="W134" s="14">
        <f>W107*Inputs!$H52</f>
        <v>48.106372445549461</v>
      </c>
      <c r="X134" s="187">
        <f>X107*Inputs!$H52</f>
        <v>49.582279584004375</v>
      </c>
      <c r="Y134" s="158">
        <f>Y107*Inputs!$H52</f>
        <v>50.792068323953799</v>
      </c>
      <c r="Z134" s="158">
        <f>Z107*Inputs!$H52</f>
        <v>52.595145352247684</v>
      </c>
      <c r="AA134" s="158">
        <f>AA107*Inputs!$H52</f>
        <v>54.216968647724983</v>
      </c>
      <c r="AB134" s="158">
        <f>AB107*Inputs!$H52</f>
        <v>55.743833594831273</v>
      </c>
      <c r="AC134" s="158">
        <f>AC107*Inputs!$H52</f>
        <v>57.212632749967788</v>
      </c>
      <c r="AD134" s="158">
        <f>AD107*Inputs!$H52</f>
        <v>58.51107313180254</v>
      </c>
      <c r="AE134" s="158">
        <f>AE107*Inputs!$H52</f>
        <v>59.952485797892102</v>
      </c>
      <c r="AF134" s="158">
        <f>AF107*Inputs!$H52</f>
        <v>61.628605121794585</v>
      </c>
      <c r="AG134" s="158">
        <f>AG107*Inputs!$H52</f>
        <v>63.742750475800399</v>
      </c>
      <c r="AH134" s="187">
        <f>AH107*Inputs!$H52</f>
        <v>65.781151824535669</v>
      </c>
    </row>
    <row r="135" spans="1:35">
      <c r="A135" s="9" t="s">
        <v>347</v>
      </c>
      <c r="B135" s="35">
        <v>1</v>
      </c>
      <c r="C135" s="331">
        <f>C108*Inputs!$H54</f>
        <v>0</v>
      </c>
      <c r="D135" s="331">
        <f>D108*Inputs!$H54</f>
        <v>0</v>
      </c>
      <c r="E135" s="331">
        <f>E108*Inputs!$H54</f>
        <v>1.4220000000000002E-2</v>
      </c>
      <c r="F135" s="331">
        <f>F108*Inputs!$H54</f>
        <v>1.4220000000000002E-2</v>
      </c>
      <c r="G135" s="331">
        <f>G108*Inputs!$H54</f>
        <v>1.4220000000000002E-2</v>
      </c>
      <c r="H135" s="402">
        <f>H108*Inputs!$H54</f>
        <v>1.4220000000000002E-2</v>
      </c>
      <c r="I135" s="14">
        <f>I108*Inputs!$H54</f>
        <v>1.653580320672577E-2</v>
      </c>
      <c r="J135" s="14">
        <f>J108*Inputs!$H54</f>
        <v>1.9635096904585952E-2</v>
      </c>
      <c r="K135" s="14">
        <f>K108*Inputs!$H54</f>
        <v>2.3712862956719958E-2</v>
      </c>
      <c r="L135" s="14">
        <f>L108*Inputs!$H54</f>
        <v>2.8496940970522321E-2</v>
      </c>
      <c r="M135" s="14">
        <f>M108*Inputs!$H54</f>
        <v>3.370278703288869E-2</v>
      </c>
      <c r="N135" s="182">
        <f>N108*Inputs!$H54</f>
        <v>3.9944117589924957E-2</v>
      </c>
      <c r="O135" s="14">
        <f>O108*Inputs!$H54</f>
        <v>4.0790634572162358E-2</v>
      </c>
      <c r="P135" s="14">
        <f>P108*Inputs!$H54</f>
        <v>4.2160366467804571E-2</v>
      </c>
      <c r="Q135" s="14">
        <f>Q108*Inputs!$H54</f>
        <v>4.3695089251570292E-2</v>
      </c>
      <c r="R135" s="14">
        <f>R108*Inputs!$H54</f>
        <v>4.4864683329291465E-2</v>
      </c>
      <c r="S135" s="14">
        <f>S108*Inputs!$H54</f>
        <v>4.630161500521341E-2</v>
      </c>
      <c r="T135" s="14">
        <f>T108*Inputs!$H54</f>
        <v>4.7900381652096702E-2</v>
      </c>
      <c r="U135" s="14">
        <f>U108*Inputs!$H54</f>
        <v>4.92697483074949E-2</v>
      </c>
      <c r="V135" s="14">
        <f>V108*Inputs!$H54</f>
        <v>5.0495681610822053E-2</v>
      </c>
      <c r="W135" s="14">
        <f>W108*Inputs!$H54</f>
        <v>5.2089827790581411E-2</v>
      </c>
      <c r="X135" s="187">
        <f>X108*Inputs!$H54</f>
        <v>5.3687947639755734E-2</v>
      </c>
      <c r="Y135" s="158">
        <f>Y108*Inputs!$H54</f>
        <v>5.499791311674692E-2</v>
      </c>
      <c r="Z135" s="158">
        <f>Z108*Inputs!$H54</f>
        <v>5.6950294207283099E-2</v>
      </c>
      <c r="AA135" s="158">
        <f>AA108*Inputs!$H54</f>
        <v>5.8706412822624288E-2</v>
      </c>
      <c r="AB135" s="158">
        <f>AB108*Inputs!$H54</f>
        <v>6.0359710049395332E-2</v>
      </c>
      <c r="AC135" s="158">
        <f>AC108*Inputs!$H54</f>
        <v>6.1950133337632496E-2</v>
      </c>
      <c r="AD135" s="158">
        <f>AD108*Inputs!$H54</f>
        <v>6.3356091268937001E-2</v>
      </c>
      <c r="AE135" s="158">
        <f>AE108*Inputs!$H54</f>
        <v>6.4916860325817213E-2</v>
      </c>
      <c r="AF135" s="158">
        <f>AF108*Inputs!$H54</f>
        <v>6.6731770960315143E-2</v>
      </c>
      <c r="AG135" s="158">
        <f>AG108*Inputs!$H54</f>
        <v>6.902097843566718E-2</v>
      </c>
      <c r="AH135" s="187">
        <f>AH108*Inputs!$H54</f>
        <v>7.1228169912095615E-2</v>
      </c>
    </row>
    <row r="136" spans="1:35">
      <c r="A136" s="9" t="s">
        <v>348</v>
      </c>
      <c r="B136" s="35">
        <v>1</v>
      </c>
      <c r="C136" s="331">
        <f>C109*Inputs!$H55</f>
        <v>0</v>
      </c>
      <c r="D136" s="331">
        <f>D109*Inputs!$H55</f>
        <v>0</v>
      </c>
      <c r="E136" s="331">
        <f>E109*Inputs!$H55</f>
        <v>2.0700000000000002E-3</v>
      </c>
      <c r="F136" s="331">
        <f>F109*Inputs!$H55</f>
        <v>2.0700000000000002E-3</v>
      </c>
      <c r="G136" s="331">
        <f>G109*Inputs!$H55</f>
        <v>2.0700000000000002E-3</v>
      </c>
      <c r="H136" s="402">
        <f>H109*Inputs!$H55</f>
        <v>2.0700000000000002E-3</v>
      </c>
      <c r="I136" s="14">
        <f>I109*Inputs!$H55</f>
        <v>2.407110593384131E-3</v>
      </c>
      <c r="J136" s="14">
        <f>J109*Inputs!$H55</f>
        <v>2.8582736000346636E-3</v>
      </c>
      <c r="K136" s="14">
        <f>K109*Inputs!$H55</f>
        <v>3.4518724557250574E-3</v>
      </c>
      <c r="L136" s="14">
        <f>L109*Inputs!$H55</f>
        <v>4.1482888754557808E-3</v>
      </c>
      <c r="M136" s="14">
        <f>M109*Inputs!$H55</f>
        <v>4.9061019098508851E-3</v>
      </c>
      <c r="N136" s="187">
        <f>N109*Inputs!$H55</f>
        <v>5.8146500289131273E-3</v>
      </c>
      <c r="O136" s="14">
        <f>O109*Inputs!$H55</f>
        <v>5.9378771845552793E-3</v>
      </c>
      <c r="P136" s="14">
        <f>P109*Inputs!$H55</f>
        <v>6.1372685364525642E-3</v>
      </c>
      <c r="Q136" s="14">
        <f>Q109*Inputs!$H55</f>
        <v>6.3606775492792197E-3</v>
      </c>
      <c r="R136" s="14">
        <f>R109*Inputs!$H55</f>
        <v>6.5309349150234411E-3</v>
      </c>
      <c r="S136" s="14">
        <f>S109*Inputs!$H55</f>
        <v>6.740108513417142E-3</v>
      </c>
      <c r="T136" s="14">
        <f>T109*Inputs!$H55</f>
        <v>6.9728403670773677E-3</v>
      </c>
      <c r="U136" s="14">
        <f>U109*Inputs!$H55</f>
        <v>7.1721785510910291E-3</v>
      </c>
      <c r="V136" s="14">
        <f>V109*Inputs!$H55</f>
        <v>7.3506371965120706E-3</v>
      </c>
      <c r="W136" s="14">
        <f>W109*Inputs!$H55</f>
        <v>7.5826964505276741E-3</v>
      </c>
      <c r="X136" s="187">
        <f>X109*Inputs!$H55</f>
        <v>7.8153341500910248E-3</v>
      </c>
      <c r="Y136" s="158">
        <f>Y109*Inputs!$H55</f>
        <v>8.0060253271213872E-3</v>
      </c>
      <c r="Z136" s="158">
        <f>Z109*Inputs!$H55</f>
        <v>8.2902327010601976E-3</v>
      </c>
      <c r="AA136" s="158">
        <f>AA109*Inputs!$H55</f>
        <v>8.5458702210149291E-3</v>
      </c>
      <c r="AB136" s="158">
        <f>AB109*Inputs!$H55</f>
        <v>8.7865400704815987E-3</v>
      </c>
      <c r="AC136" s="158">
        <f>AC109*Inputs!$H55</f>
        <v>9.0180573845920712E-3</v>
      </c>
      <c r="AD136" s="158">
        <f>AD109*Inputs!$H55</f>
        <v>9.2227221467439929E-3</v>
      </c>
      <c r="AE136" s="158">
        <f>AE109*Inputs!$H55</f>
        <v>9.4499227056569334E-3</v>
      </c>
      <c r="AF136" s="158">
        <f>AF109*Inputs!$H55</f>
        <v>9.71411855751423E-3</v>
      </c>
      <c r="AG136" s="158">
        <f>AG109*Inputs!$H55</f>
        <v>1.0047357620381931E-2</v>
      </c>
      <c r="AH136" s="187">
        <f>AH109*Inputs!$H55</f>
        <v>1.036865764543164E-2</v>
      </c>
    </row>
    <row r="137" spans="1:35">
      <c r="A137" s="9" t="s">
        <v>344</v>
      </c>
      <c r="B137" s="35">
        <v>1</v>
      </c>
      <c r="C137" s="331">
        <f>C110*Inputs!$H56</f>
        <v>2.16E-3</v>
      </c>
      <c r="D137" s="331">
        <f>D110*Inputs!$H56</f>
        <v>2.4643886104396681E-3</v>
      </c>
      <c r="E137" s="331">
        <f>E110*Inputs!$H56</f>
        <v>2.9854278576364524E-3</v>
      </c>
      <c r="F137" s="331">
        <f>F110*Inputs!$H56</f>
        <v>3.6305674497412207E-3</v>
      </c>
      <c r="G137" s="331">
        <f>G110*Inputs!$H56</f>
        <v>4.2043148370202966E-3</v>
      </c>
      <c r="H137" s="402">
        <f>H110*Inputs!$H56</f>
        <v>2.16E-3</v>
      </c>
      <c r="I137" s="14">
        <f>I110*Inputs!$H56</f>
        <v>2.5117675757051804E-3</v>
      </c>
      <c r="J137" s="14">
        <f>J110*Inputs!$H56</f>
        <v>2.9825463652535626E-3</v>
      </c>
      <c r="K137" s="14">
        <f>K110*Inputs!$H56</f>
        <v>3.6019538668435381E-3</v>
      </c>
      <c r="L137" s="14">
        <f>L110*Inputs!$H56</f>
        <v>4.3286492613451629E-3</v>
      </c>
      <c r="M137" s="14">
        <f>M110*Inputs!$H56</f>
        <v>5.1194106885400544E-3</v>
      </c>
      <c r="N137" s="187">
        <f>N110*Inputs!$H56</f>
        <v>6.0674608997354374E-3</v>
      </c>
      <c r="O137" s="14">
        <f>O110*Inputs!$H56</f>
        <v>6.1960457577968139E-3</v>
      </c>
      <c r="P137" s="14">
        <f>P110*Inputs!$H56</f>
        <v>6.4041062989070238E-3</v>
      </c>
      <c r="Q137" s="14">
        <f>Q110*Inputs!$H56</f>
        <v>6.6372287470739689E-3</v>
      </c>
      <c r="R137" s="14">
        <f>R110*Inputs!$H56</f>
        <v>6.8148886069809818E-3</v>
      </c>
      <c r="S137" s="14">
        <f>S110*Inputs!$H56</f>
        <v>7.0331567096526704E-3</v>
      </c>
      <c r="T137" s="14">
        <f>T110*Inputs!$H56</f>
        <v>7.2760073395589922E-3</v>
      </c>
      <c r="U137" s="14">
        <f>U110*Inputs!$H56</f>
        <v>7.4840124011384653E-3</v>
      </c>
      <c r="V137" s="14">
        <f>V110*Inputs!$H56</f>
        <v>7.6702301180995528E-3</v>
      </c>
      <c r="W137" s="14">
        <f>W110*Inputs!$H56</f>
        <v>7.9123789048984438E-3</v>
      </c>
      <c r="X137" s="187">
        <f>X110*Inputs!$H56</f>
        <v>8.1551312870515036E-3</v>
      </c>
      <c r="Y137" s="158">
        <f>Y110*Inputs!$H56</f>
        <v>8.3541133848223162E-3</v>
      </c>
      <c r="Z137" s="158">
        <f>Z110*Inputs!$H56</f>
        <v>8.6506776011062939E-3</v>
      </c>
      <c r="AA137" s="158">
        <f>AA110*Inputs!$H56</f>
        <v>8.9174297958416662E-3</v>
      </c>
      <c r="AB137" s="158">
        <f>AB110*Inputs!$H56</f>
        <v>9.168563551806886E-3</v>
      </c>
      <c r="AC137" s="158">
        <f>AC110*Inputs!$H56</f>
        <v>9.4101468360960755E-3</v>
      </c>
      <c r="AD137" s="158">
        <f>AD110*Inputs!$H56</f>
        <v>9.6237100661676466E-3</v>
      </c>
      <c r="AE137" s="158">
        <f>AE110*Inputs!$H56</f>
        <v>9.8607889102507156E-3</v>
      </c>
      <c r="AF137" s="158">
        <f>AF110*Inputs!$H56</f>
        <v>1.0136471538275718E-2</v>
      </c>
      <c r="AG137" s="158">
        <f>AG110*Inputs!$H56</f>
        <v>1.048419925605071E-2</v>
      </c>
      <c r="AH137" s="187">
        <f>AH110*Inputs!$H56</f>
        <v>1.0819468847406928E-2</v>
      </c>
    </row>
    <row r="138" spans="1:35">
      <c r="A138" s="10" t="s">
        <v>120</v>
      </c>
      <c r="B138" s="35">
        <v>1</v>
      </c>
      <c r="C138" s="331">
        <f>C111*Inputs!$H56</f>
        <v>0</v>
      </c>
      <c r="D138" s="331">
        <f>D111*Inputs!$H56</f>
        <v>0</v>
      </c>
      <c r="E138" s="331">
        <f>E111*Inputs!$H56</f>
        <v>0</v>
      </c>
      <c r="F138" s="331">
        <f>F111*Inputs!$H56</f>
        <v>0</v>
      </c>
      <c r="G138" s="331">
        <f>G111*Inputs!$H56</f>
        <v>0</v>
      </c>
      <c r="H138" s="402">
        <f>H111*Inputs!$H56</f>
        <v>0</v>
      </c>
      <c r="I138" s="14">
        <f>I111*Inputs!$H56</f>
        <v>0</v>
      </c>
      <c r="J138" s="14">
        <f>J111*Inputs!$H56</f>
        <v>0</v>
      </c>
      <c r="K138" s="14">
        <f>K111*Inputs!$H56</f>
        <v>0</v>
      </c>
      <c r="L138" s="14">
        <f>L111*Inputs!$H56</f>
        <v>0</v>
      </c>
      <c r="M138" s="14">
        <f>M111*Inputs!$H56</f>
        <v>0</v>
      </c>
      <c r="N138" s="182">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7">
        <f>X111*Inputs!$H56</f>
        <v>0</v>
      </c>
      <c r="Y138" s="158">
        <f>Y111*Inputs!$H56</f>
        <v>0</v>
      </c>
      <c r="Z138" s="158">
        <f>Z111*Inputs!$H56</f>
        <v>0</v>
      </c>
      <c r="AA138" s="158">
        <f>AA111*Inputs!$H56</f>
        <v>0</v>
      </c>
      <c r="AB138" s="158">
        <f>AB111*Inputs!$H56</f>
        <v>0</v>
      </c>
      <c r="AC138" s="158">
        <f>AC111*Inputs!$H56</f>
        <v>0</v>
      </c>
      <c r="AD138" s="158">
        <f>AD111*Inputs!$H56</f>
        <v>0</v>
      </c>
      <c r="AE138" s="158">
        <f>AE111*Inputs!$H56</f>
        <v>0</v>
      </c>
      <c r="AF138" s="158">
        <f>AF111*Inputs!$H56</f>
        <v>0</v>
      </c>
      <c r="AG138" s="158">
        <f>AG111*Inputs!$H56</f>
        <v>0</v>
      </c>
      <c r="AH138" s="187">
        <f>AH111*Inputs!$H56</f>
        <v>0</v>
      </c>
    </row>
    <row r="139" spans="1:35">
      <c r="A139" s="10" t="s">
        <v>53</v>
      </c>
      <c r="B139" s="35">
        <v>1</v>
      </c>
      <c r="C139" s="331">
        <f>C112*Inputs!$H57</f>
        <v>24.480000000000004</v>
      </c>
      <c r="D139" s="331">
        <f>D112*Inputs!$H57</f>
        <v>68.544000000000011</v>
      </c>
      <c r="E139" s="331">
        <f>E112*Inputs!$H57</f>
        <v>91.808847225000022</v>
      </c>
      <c r="F139" s="331">
        <f>F112*Inputs!$H57</f>
        <v>104.79088575000002</v>
      </c>
      <c r="G139" s="331">
        <f>G112*Inputs!$H57</f>
        <v>123.30803587500003</v>
      </c>
      <c r="H139" s="402">
        <f>H112*Inputs!$H57</f>
        <v>123.69042112500001</v>
      </c>
      <c r="I139" s="14">
        <f>I112*Inputs!$H57</f>
        <v>146.35669904384733</v>
      </c>
      <c r="J139" s="14">
        <f>J112*Inputs!$H57</f>
        <v>176.83621005743831</v>
      </c>
      <c r="K139" s="14">
        <f>K112*Inputs!$H57</f>
        <v>217.30663155301025</v>
      </c>
      <c r="L139" s="14">
        <f>L112*Inputs!$H57</f>
        <v>265.72845973751498</v>
      </c>
      <c r="M139" s="14">
        <f>M112*Inputs!$H57</f>
        <v>319.78381728744495</v>
      </c>
      <c r="N139" s="182">
        <f>N112*Inputs!$H57</f>
        <v>385.65088896737353</v>
      </c>
      <c r="O139" s="14">
        <f>O112*Inputs!$H57</f>
        <v>393.82380769541612</v>
      </c>
      <c r="P139" s="14">
        <f>P112*Inputs!$H57</f>
        <v>407.0482411057219</v>
      </c>
      <c r="Q139" s="14">
        <f>Q112*Inputs!$H57</f>
        <v>421.86562202658666</v>
      </c>
      <c r="R139" s="14">
        <f>R112*Inputs!$H57</f>
        <v>433.15777273660547</v>
      </c>
      <c r="S139" s="14">
        <f>S112*Inputs!$H57</f>
        <v>447.03100393158996</v>
      </c>
      <c r="T139" s="14">
        <f>T112*Inputs!$H57</f>
        <v>462.46671301275501</v>
      </c>
      <c r="U139" s="14">
        <f>U112*Inputs!$H57</f>
        <v>475.68762011597761</v>
      </c>
      <c r="V139" s="14">
        <f>V112*Inputs!$H57</f>
        <v>487.52371255633415</v>
      </c>
      <c r="W139" s="14">
        <f>W112*Inputs!$H57</f>
        <v>502.91481213399027</v>
      </c>
      <c r="X139" s="187">
        <f>X112*Inputs!$H57</f>
        <v>518.34427653817897</v>
      </c>
      <c r="Y139" s="158">
        <f>Y112*Inputs!$H57</f>
        <v>530.99167949008813</v>
      </c>
      <c r="Z139" s="158">
        <f>Z112*Inputs!$H57</f>
        <v>549.84145133630057</v>
      </c>
      <c r="AA139" s="158">
        <f>AA112*Inputs!$H57</f>
        <v>566.79635598812604</v>
      </c>
      <c r="AB139" s="158">
        <f>AB112*Inputs!$H57</f>
        <v>582.75854475837855</v>
      </c>
      <c r="AC139" s="158">
        <f>AC112*Inputs!$H57</f>
        <v>598.11370070999669</v>
      </c>
      <c r="AD139" s="158">
        <f>AD112*Inputs!$H57</f>
        <v>611.68788781871581</v>
      </c>
      <c r="AE139" s="158">
        <f>AE112*Inputs!$H57</f>
        <v>626.75673926858315</v>
      </c>
      <c r="AF139" s="158">
        <f>AF112*Inputs!$H57</f>
        <v>644.27926678505071</v>
      </c>
      <c r="AG139" s="158">
        <f>AG112*Inputs!$H57</f>
        <v>666.38101670887272</v>
      </c>
      <c r="AH139" s="187">
        <f>AH112*Inputs!$H57</f>
        <v>687.69092180540042</v>
      </c>
      <c r="AI139" s="31">
        <f>SUM(C139:X139)</f>
        <v>6598.1484784747854</v>
      </c>
    </row>
    <row r="140" spans="1:35">
      <c r="A140" s="10" t="s">
        <v>384</v>
      </c>
      <c r="C140" s="331">
        <f t="shared" ref="C140:AH140" si="91">SUM(C127:C139)</f>
        <v>206.46080999999998</v>
      </c>
      <c r="D140" s="331">
        <f t="shared" si="91"/>
        <v>264.20695636632126</v>
      </c>
      <c r="E140" s="331">
        <f t="shared" si="91"/>
        <v>320.79091959703328</v>
      </c>
      <c r="F140" s="331">
        <f t="shared" si="91"/>
        <v>379.30329071324945</v>
      </c>
      <c r="G140" s="331">
        <f t="shared" si="91"/>
        <v>443.77630566526477</v>
      </c>
      <c r="H140" s="402">
        <f t="shared" si="91"/>
        <v>300.65243062965578</v>
      </c>
      <c r="I140" s="14">
        <f t="shared" si="91"/>
        <v>348.4945287920342</v>
      </c>
      <c r="J140" s="14">
        <f t="shared" si="91"/>
        <v>417.28225069039706</v>
      </c>
      <c r="K140" s="14">
        <f t="shared" si="91"/>
        <v>513.70121629343271</v>
      </c>
      <c r="L140" s="14">
        <f t="shared" si="91"/>
        <v>635.62947811675099</v>
      </c>
      <c r="M140" s="14">
        <f t="shared" si="91"/>
        <v>781.14182166219427</v>
      </c>
      <c r="N140" s="182">
        <f t="shared" si="91"/>
        <v>970.02993404322547</v>
      </c>
      <c r="O140" s="14">
        <f t="shared" si="91"/>
        <v>987.94903223659469</v>
      </c>
      <c r="P140" s="14">
        <f t="shared" si="91"/>
        <v>1018.4633407925916</v>
      </c>
      <c r="Q140" s="14">
        <f t="shared" si="91"/>
        <v>1052.8471705837915</v>
      </c>
      <c r="R140" s="14">
        <f t="shared" si="91"/>
        <v>1078.3339776415182</v>
      </c>
      <c r="S140" s="14">
        <f t="shared" si="91"/>
        <v>1110.1576929005776</v>
      </c>
      <c r="T140" s="14">
        <f t="shared" si="91"/>
        <v>1145.7524713747468</v>
      </c>
      <c r="U140" s="14">
        <f t="shared" si="91"/>
        <v>1175.7594918013033</v>
      </c>
      <c r="V140" s="14">
        <f t="shared" si="91"/>
        <v>1202.2680844594154</v>
      </c>
      <c r="W140" s="14">
        <f t="shared" si="91"/>
        <v>1237.4598835829529</v>
      </c>
      <c r="X140" s="187">
        <f t="shared" si="91"/>
        <v>1272.6469111621914</v>
      </c>
      <c r="Y140" s="158">
        <f t="shared" si="91"/>
        <v>1301.0817010860105</v>
      </c>
      <c r="Z140" s="158">
        <f t="shared" si="91"/>
        <v>1344.6295489472791</v>
      </c>
      <c r="AA140" s="158">
        <f t="shared" si="91"/>
        <v>1383.4427006995707</v>
      </c>
      <c r="AB140" s="158">
        <f t="shared" si="91"/>
        <v>1419.7501230629914</v>
      </c>
      <c r="AC140" s="158">
        <f t="shared" si="91"/>
        <v>1454.5072767915401</v>
      </c>
      <c r="AD140" s="158">
        <f t="shared" si="91"/>
        <v>1484.8761222614148</v>
      </c>
      <c r="AE140" s="158">
        <f t="shared" si="91"/>
        <v>1518.8204539773169</v>
      </c>
      <c r="AF140" s="158">
        <f t="shared" si="91"/>
        <v>1558.6447186832643</v>
      </c>
      <c r="AG140" s="158">
        <f t="shared" si="91"/>
        <v>1609.4563578583557</v>
      </c>
      <c r="AH140" s="187">
        <f t="shared" si="91"/>
        <v>1658.2543599332853</v>
      </c>
      <c r="AI140" s="48" t="s">
        <v>0</v>
      </c>
    </row>
    <row r="141" spans="1:35">
      <c r="A141" s="10" t="s">
        <v>387</v>
      </c>
      <c r="C141" s="331">
        <f>SUM(C128:C130)</f>
        <v>112.72364999999999</v>
      </c>
      <c r="D141" s="331">
        <f t="shared" ref="D141:AH141" si="92">SUM(D128:D130)</f>
        <v>106.86891971638258</v>
      </c>
      <c r="E141" s="331">
        <f t="shared" si="92"/>
        <v>107.52165063698951</v>
      </c>
      <c r="F141" s="331">
        <f t="shared" si="92"/>
        <v>108.53402417320508</v>
      </c>
      <c r="G141" s="331">
        <f t="shared" si="92"/>
        <v>104.26331932870518</v>
      </c>
      <c r="H141" s="402">
        <f t="shared" si="92"/>
        <v>89.762606264578253</v>
      </c>
      <c r="I141" s="14">
        <f t="shared" si="92"/>
        <v>88.488817501667626</v>
      </c>
      <c r="J141" s="14">
        <f t="shared" si="92"/>
        <v>89.075780130335644</v>
      </c>
      <c r="K141" s="14">
        <f t="shared" si="92"/>
        <v>91.194845998710136</v>
      </c>
      <c r="L141" s="14">
        <f t="shared" si="92"/>
        <v>92.905295418318204</v>
      </c>
      <c r="M141" s="14">
        <f t="shared" si="92"/>
        <v>93.145128912229126</v>
      </c>
      <c r="N141" s="187">
        <f t="shared" si="92"/>
        <v>93.58266964163397</v>
      </c>
      <c r="O141" s="14">
        <f t="shared" si="92"/>
        <v>92.927631313369503</v>
      </c>
      <c r="P141" s="14">
        <f t="shared" si="92"/>
        <v>93.387507694301277</v>
      </c>
      <c r="Q141" s="14">
        <f t="shared" si="92"/>
        <v>94.096702355107567</v>
      </c>
      <c r="R141" s="14">
        <f t="shared" si="92"/>
        <v>93.920468351249497</v>
      </c>
      <c r="S141" s="14">
        <f t="shared" si="92"/>
        <v>94.215264898847536</v>
      </c>
      <c r="T141" s="14">
        <f t="shared" si="92"/>
        <v>94.730168322008183</v>
      </c>
      <c r="U141" s="14">
        <f t="shared" si="92"/>
        <v>94.690770614916048</v>
      </c>
      <c r="V141" s="14">
        <f t="shared" si="92"/>
        <v>94.300136181054469</v>
      </c>
      <c r="W141" s="14">
        <f t="shared" si="92"/>
        <v>94.51344178396549</v>
      </c>
      <c r="X141" s="187">
        <f t="shared" si="92"/>
        <v>94.634786241241315</v>
      </c>
      <c r="Y141" s="158">
        <f t="shared" si="92"/>
        <v>94.326528927009903</v>
      </c>
      <c r="Z141" s="158">
        <f t="shared" si="92"/>
        <v>95.035551721795514</v>
      </c>
      <c r="AA141" s="158">
        <f t="shared" si="92"/>
        <v>95.316237387798637</v>
      </c>
      <c r="AB141" s="158">
        <f t="shared" si="92"/>
        <v>95.347283676968672</v>
      </c>
      <c r="AC141" s="158">
        <f t="shared" si="92"/>
        <v>95.207630958912432</v>
      </c>
      <c r="AD141" s="158">
        <f t="shared" si="92"/>
        <v>94.727178532008082</v>
      </c>
      <c r="AE141" s="158">
        <f t="shared" si="92"/>
        <v>94.425372072852994</v>
      </c>
      <c r="AF141" s="158">
        <f t="shared" si="92"/>
        <v>94.427165869083666</v>
      </c>
      <c r="AG141" s="158">
        <f t="shared" si="92"/>
        <v>95.009390790547968</v>
      </c>
      <c r="AH141" s="187">
        <f t="shared" si="92"/>
        <v>95.377560183076213</v>
      </c>
      <c r="AI141" s="48"/>
    </row>
    <row r="142" spans="1:35">
      <c r="A142" s="10" t="s">
        <v>386</v>
      </c>
      <c r="C142" s="330">
        <f t="shared" ref="C142:AH142" si="93">SUMPRODUCT($B131:$B139,C131:C139)</f>
        <v>93.737160000000003</v>
      </c>
      <c r="D142" s="330">
        <f t="shared" si="93"/>
        <v>157.33803664993872</v>
      </c>
      <c r="E142" s="330">
        <f t="shared" si="93"/>
        <v>213.26926896004377</v>
      </c>
      <c r="F142" s="330">
        <f t="shared" si="93"/>
        <v>270.76926654004433</v>
      </c>
      <c r="G142" s="330">
        <f t="shared" si="93"/>
        <v>339.51298633655961</v>
      </c>
      <c r="H142" s="286">
        <f t="shared" si="93"/>
        <v>210.88982436507752</v>
      </c>
      <c r="I142" s="40">
        <f t="shared" si="93"/>
        <v>260.00571129036661</v>
      </c>
      <c r="J142" s="40">
        <f t="shared" si="93"/>
        <v>328.20647056006135</v>
      </c>
      <c r="K142" s="40">
        <f t="shared" si="93"/>
        <v>422.50637029472261</v>
      </c>
      <c r="L142" s="40">
        <f t="shared" si="93"/>
        <v>542.72418269843286</v>
      </c>
      <c r="M142" s="40">
        <f t="shared" si="93"/>
        <v>687.99669274996518</v>
      </c>
      <c r="N142" s="177">
        <f t="shared" si="93"/>
        <v>876.4472644015915</v>
      </c>
      <c r="O142" s="40">
        <f t="shared" si="93"/>
        <v>895.0214009232252</v>
      </c>
      <c r="P142" s="40">
        <f t="shared" si="93"/>
        <v>925.07583309829033</v>
      </c>
      <c r="Q142" s="40">
        <f t="shared" si="93"/>
        <v>958.75046822868399</v>
      </c>
      <c r="R142" s="40">
        <f t="shared" si="93"/>
        <v>984.41350929026885</v>
      </c>
      <c r="S142" s="40">
        <f t="shared" si="93"/>
        <v>1015.9424280017299</v>
      </c>
      <c r="T142" s="40">
        <f t="shared" si="93"/>
        <v>1051.0223030527386</v>
      </c>
      <c r="U142" s="40">
        <f t="shared" si="93"/>
        <v>1081.0687211863874</v>
      </c>
      <c r="V142" s="40">
        <f t="shared" si="93"/>
        <v>1107.9679482783608</v>
      </c>
      <c r="W142" s="40">
        <f t="shared" si="93"/>
        <v>1142.9464417989875</v>
      </c>
      <c r="X142" s="184">
        <f t="shared" si="93"/>
        <v>1178.0121249209501</v>
      </c>
      <c r="Y142" s="271">
        <f t="shared" si="93"/>
        <v>1206.7551721590005</v>
      </c>
      <c r="Z142" s="271">
        <f t="shared" si="93"/>
        <v>1249.5939972254835</v>
      </c>
      <c r="AA142" s="271">
        <f t="shared" si="93"/>
        <v>1288.1264633117721</v>
      </c>
      <c r="AB142" s="271">
        <f t="shared" si="93"/>
        <v>1324.4028393860226</v>
      </c>
      <c r="AC142" s="271">
        <f t="shared" si="93"/>
        <v>1359.2996458326277</v>
      </c>
      <c r="AD142" s="271">
        <f t="shared" si="93"/>
        <v>1390.1489437294067</v>
      </c>
      <c r="AE142" s="271">
        <f t="shared" si="93"/>
        <v>1424.395081904464</v>
      </c>
      <c r="AF142" s="271">
        <f t="shared" si="93"/>
        <v>1464.2175528141804</v>
      </c>
      <c r="AG142" s="271">
        <f t="shared" si="93"/>
        <v>1514.4469670678077</v>
      </c>
      <c r="AH142" s="184">
        <f t="shared" si="93"/>
        <v>1562.8767997502091</v>
      </c>
    </row>
    <row r="143" spans="1:35">
      <c r="A143" s="10" t="s">
        <v>142</v>
      </c>
      <c r="C143" s="331">
        <f>C116*Inputs!$H$60</f>
        <v>2908.5210000000006</v>
      </c>
      <c r="D143" s="331">
        <f>D116*Inputs!$H$60</f>
        <v>3356.5810232772774</v>
      </c>
      <c r="E143" s="331">
        <f>E116*Inputs!$H$60</f>
        <v>3448.8278614742003</v>
      </c>
      <c r="F143" s="331">
        <f>F116*Inputs!$H$60</f>
        <v>3439.392808743261</v>
      </c>
      <c r="G143" s="331">
        <f>G116*Inputs!$H$60</f>
        <v>3164.4263257618795</v>
      </c>
      <c r="H143" s="402">
        <f>H116*Inputs!$H$60</f>
        <v>3343.3502871430428</v>
      </c>
      <c r="I143" s="14">
        <f>I116*Inputs!$H$60</f>
        <v>3605.3993049975106</v>
      </c>
      <c r="J143" s="14">
        <f>J116*Inputs!$H$60</f>
        <v>3564.3082813292208</v>
      </c>
      <c r="K143" s="14">
        <f>K116*Inputs!$H$60</f>
        <v>3641.2078446854484</v>
      </c>
      <c r="L143" s="14">
        <f>L116*Inputs!$H$60</f>
        <v>3617.360014808834</v>
      </c>
      <c r="M143" s="14">
        <f>M116*Inputs!$H$60</f>
        <v>3550.6263584745584</v>
      </c>
      <c r="N143" s="182">
        <f>N116*Inputs!$H$60</f>
        <v>3473.6577145250353</v>
      </c>
      <c r="O143" s="14">
        <f>O116*Inputs!$H$60</f>
        <v>3367.648959741914</v>
      </c>
      <c r="P143" s="14">
        <f>P116*Inputs!$H$60</f>
        <v>3320.4990288929389</v>
      </c>
      <c r="Q143" s="14">
        <f>Q116*Inputs!$H$60</f>
        <v>3319.895860090533</v>
      </c>
      <c r="R143" s="14">
        <f>R116*Inputs!$H$60</f>
        <v>3319.7289898926979</v>
      </c>
      <c r="S143" s="14">
        <f>S116*Inputs!$H$60</f>
        <v>3316.6804942339522</v>
      </c>
      <c r="T143" s="14">
        <f>T116*Inputs!$H$60</f>
        <v>3304.113393219352</v>
      </c>
      <c r="U143" s="14">
        <f>U116*Inputs!$H$60</f>
        <v>3296.9817182708557</v>
      </c>
      <c r="V143" s="14">
        <f>V116*Inputs!$H$60</f>
        <v>3287.3545440137659</v>
      </c>
      <c r="W143" s="14">
        <f>W116*Inputs!$H$60</f>
        <v>3274.3321651054725</v>
      </c>
      <c r="X143" s="187">
        <f>X116*Inputs!$H$60</f>
        <v>3263.980764964429</v>
      </c>
      <c r="Y143" s="158">
        <f>Y116*Inputs!$H$60</f>
        <v>3259.1833935980712</v>
      </c>
      <c r="Z143" s="158">
        <f>Z116*Inputs!$H$60</f>
        <v>3247.7549647009978</v>
      </c>
      <c r="AA143" s="158">
        <f>AA116*Inputs!$H$60</f>
        <v>3244.3573931952101</v>
      </c>
      <c r="AB143" s="158">
        <f>AB116*Inputs!$H$60</f>
        <v>3241.0967807850893</v>
      </c>
      <c r="AC143" s="158">
        <f>AC116*Inputs!$H$60</f>
        <v>3229.3330166272958</v>
      </c>
      <c r="AD143" s="158">
        <f>AD116*Inputs!$H$60</f>
        <v>3224.2776002175146</v>
      </c>
      <c r="AE143" s="158">
        <f>AE116*Inputs!$H$60</f>
        <v>3214.8751788372374</v>
      </c>
      <c r="AF143" s="158">
        <f>AF116*Inputs!$H$60</f>
        <v>3202.7446045660845</v>
      </c>
      <c r="AG143" s="158">
        <f>AG116*Inputs!$H$60</f>
        <v>3188.7556640904645</v>
      </c>
      <c r="AH143" s="187">
        <f>AH116*Inputs!$H$60</f>
        <v>3171.632123835092</v>
      </c>
      <c r="AI143" s="48"/>
    </row>
    <row r="144" spans="1:35">
      <c r="A144" s="10" t="s">
        <v>222</v>
      </c>
      <c r="C144" s="331">
        <f>C117*Inputs!$H$61</f>
        <v>1246.5090000000002</v>
      </c>
      <c r="D144" s="331">
        <f>D117*Inputs!$H$61</f>
        <v>636.1902253649705</v>
      </c>
      <c r="E144" s="331">
        <f>E117*Inputs!$H$61</f>
        <v>652.46271213631951</v>
      </c>
      <c r="F144" s="331">
        <f>F117*Inputs!$H$61</f>
        <v>777.17373184600785</v>
      </c>
      <c r="G144" s="331">
        <f>G117*Inputs!$H$61</f>
        <v>955.06048837931576</v>
      </c>
      <c r="H144" s="402">
        <f>H117*Inputs!$H$61</f>
        <v>952.2013919569564</v>
      </c>
      <c r="I144" s="14">
        <f>I117*Inputs!$H$61</f>
        <v>613.05944797819154</v>
      </c>
      <c r="J144" s="14">
        <f>J117*Inputs!$H$61</f>
        <v>659.03797204397745</v>
      </c>
      <c r="K144" s="14">
        <f>K117*Inputs!$H$61</f>
        <v>649.50145369453139</v>
      </c>
      <c r="L144" s="14">
        <f>L117*Inputs!$H$61</f>
        <v>707.79685048088777</v>
      </c>
      <c r="M144" s="14">
        <f>M117*Inputs!$H$61</f>
        <v>723.65271092133912</v>
      </c>
      <c r="N144" s="182">
        <f>N117*Inputs!$H$61</f>
        <v>737.96165834216151</v>
      </c>
      <c r="O144" s="14">
        <f>O117*Inputs!$H$61</f>
        <v>847.39944183197701</v>
      </c>
      <c r="P144" s="14">
        <f>P117*Inputs!$H$61</f>
        <v>949.0316252527092</v>
      </c>
      <c r="Q144" s="14">
        <f>Q117*Inputs!$H$61</f>
        <v>1016.4274660158499</v>
      </c>
      <c r="R144" s="14">
        <f>R117*Inputs!$H$61</f>
        <v>1043.2160386313246</v>
      </c>
      <c r="S144" s="14">
        <f>S117*Inputs!$H$61</f>
        <v>1095.3858699861128</v>
      </c>
      <c r="T144" s="14">
        <f>T117*Inputs!$H$61</f>
        <v>1168.2679803492142</v>
      </c>
      <c r="U144" s="14">
        <f>U117*Inputs!$H$61</f>
        <v>1210.2429044757066</v>
      </c>
      <c r="V144" s="14">
        <f>V117*Inputs!$H$61</f>
        <v>1238.3681992462023</v>
      </c>
      <c r="W144" s="14">
        <f>W117*Inputs!$H$61</f>
        <v>1299.4494234023157</v>
      </c>
      <c r="X144" s="187">
        <f>X117*Inputs!$H$61</f>
        <v>1354.1428473824467</v>
      </c>
      <c r="Y144" s="158">
        <f>Y117*Inputs!$H$61</f>
        <v>1353.0156638533188</v>
      </c>
      <c r="Z144" s="158">
        <f>Z117*Inputs!$H$61</f>
        <v>1408.1642117330259</v>
      </c>
      <c r="AA144" s="158">
        <f>AA117*Inputs!$H$61</f>
        <v>1434.1031092456733</v>
      </c>
      <c r="AB144" s="158">
        <f>AB117*Inputs!$H$61</f>
        <v>1447.3966438931016</v>
      </c>
      <c r="AC144" s="158">
        <f>AC117*Inputs!$H$61</f>
        <v>1460.5008348768606</v>
      </c>
      <c r="AD144" s="158">
        <f>AD117*Inputs!$H$61</f>
        <v>1449.7344403852596</v>
      </c>
      <c r="AE144" s="158">
        <f>AE117*Inputs!$H$61</f>
        <v>1451.7945728477637</v>
      </c>
      <c r="AF144" s="158">
        <f>AF117*Inputs!$H$61</f>
        <v>1471.2856468207233</v>
      </c>
      <c r="AG144" s="158">
        <f>AG117*Inputs!$H$61</f>
        <v>1521.1488052536688</v>
      </c>
      <c r="AH144" s="187">
        <f>AH117*Inputs!$H$61</f>
        <v>1563.2464316591866</v>
      </c>
      <c r="AI144" s="48"/>
    </row>
    <row r="145" spans="1:35">
      <c r="A145" s="10" t="s">
        <v>58</v>
      </c>
      <c r="C145" s="331">
        <f>SUM(C140,C143,C144)</f>
        <v>4361.4908100000011</v>
      </c>
      <c r="D145" s="331">
        <f>SUM(D140,D143,D144)</f>
        <v>4256.9782050085687</v>
      </c>
      <c r="E145" s="331">
        <f t="shared" ref="E145:AH145" si="94">SUM(E140,E143,E144)</f>
        <v>4422.0814932075527</v>
      </c>
      <c r="F145" s="331">
        <f t="shared" si="94"/>
        <v>4595.8698313025188</v>
      </c>
      <c r="G145" s="331">
        <f t="shared" si="94"/>
        <v>4563.2631198064601</v>
      </c>
      <c r="H145" s="402">
        <f t="shared" si="94"/>
        <v>4596.2041097296551</v>
      </c>
      <c r="I145" s="14">
        <f t="shared" si="94"/>
        <v>4566.9532817677364</v>
      </c>
      <c r="J145" s="14">
        <f t="shared" si="94"/>
        <v>4640.6285040635958</v>
      </c>
      <c r="K145" s="14">
        <f t="shared" si="94"/>
        <v>4804.4105146734128</v>
      </c>
      <c r="L145" s="14">
        <f t="shared" si="94"/>
        <v>4960.786343406473</v>
      </c>
      <c r="M145" s="14">
        <f t="shared" si="94"/>
        <v>5055.4208910580919</v>
      </c>
      <c r="N145" s="187">
        <f t="shared" si="94"/>
        <v>5181.6493069104217</v>
      </c>
      <c r="O145" s="14">
        <f t="shared" si="94"/>
        <v>5202.9974338104857</v>
      </c>
      <c r="P145" s="14">
        <f t="shared" si="94"/>
        <v>5287.9939949382397</v>
      </c>
      <c r="Q145" s="14">
        <f t="shared" si="94"/>
        <v>5389.1704966901743</v>
      </c>
      <c r="R145" s="14">
        <f t="shared" si="94"/>
        <v>5441.2790061655405</v>
      </c>
      <c r="S145" s="14">
        <f t="shared" si="94"/>
        <v>5522.224057120643</v>
      </c>
      <c r="T145" s="14">
        <f t="shared" si="94"/>
        <v>5618.1338449433133</v>
      </c>
      <c r="U145" s="14">
        <f t="shared" si="94"/>
        <v>5682.9841145478658</v>
      </c>
      <c r="V145" s="14">
        <f t="shared" si="94"/>
        <v>5727.9908277193836</v>
      </c>
      <c r="W145" s="14">
        <f t="shared" si="94"/>
        <v>5811.2414720907409</v>
      </c>
      <c r="X145" s="187">
        <f t="shared" si="94"/>
        <v>5890.7705235090671</v>
      </c>
      <c r="Y145" s="158">
        <f t="shared" si="94"/>
        <v>5913.2807585374012</v>
      </c>
      <c r="Z145" s="158">
        <f t="shared" si="94"/>
        <v>6000.5487253813026</v>
      </c>
      <c r="AA145" s="158">
        <f t="shared" si="94"/>
        <v>6061.903203140454</v>
      </c>
      <c r="AB145" s="158">
        <f t="shared" si="94"/>
        <v>6108.2435477411818</v>
      </c>
      <c r="AC145" s="158">
        <f t="shared" si="94"/>
        <v>6144.3411282956968</v>
      </c>
      <c r="AD145" s="158">
        <f t="shared" si="94"/>
        <v>6158.8881628641893</v>
      </c>
      <c r="AE145" s="158">
        <f t="shared" si="94"/>
        <v>6185.4902056623177</v>
      </c>
      <c r="AF145" s="158">
        <f t="shared" si="94"/>
        <v>6232.6749700700711</v>
      </c>
      <c r="AG145" s="158">
        <f t="shared" si="94"/>
        <v>6319.3608272024894</v>
      </c>
      <c r="AH145" s="187">
        <f t="shared" si="94"/>
        <v>6393.1329154275645</v>
      </c>
      <c r="AI145" s="48"/>
    </row>
    <row r="146" spans="1:35" s="1" customFormat="1">
      <c r="A146" s="1" t="s">
        <v>335</v>
      </c>
      <c r="B146" s="13"/>
      <c r="C146" s="341">
        <f>C145-'Output - Jobs vs Yr (BAU)'!C73</f>
        <v>-2.699999986361945E-4</v>
      </c>
      <c r="D146" s="341">
        <f>D145-'Output - Jobs vs Yr (BAU)'!D73</f>
        <v>13.900125008568466</v>
      </c>
      <c r="E146" s="341">
        <f>E145-'Output - Jobs vs Yr (BAU)'!E73</f>
        <v>29.371968042608387</v>
      </c>
      <c r="F146" s="341">
        <f>F145-'Output - Jobs vs Yr (BAU)'!F73</f>
        <v>54.009694516134005</v>
      </c>
      <c r="G146" s="341">
        <f>G145-'Output - Jobs vs Yr (BAU)'!G73</f>
        <v>78.658948753237382</v>
      </c>
      <c r="H146" s="405">
        <f>H145-'Output - Jobs vs Yr (BAU)'!H73</f>
        <v>-0.10224000000016531</v>
      </c>
      <c r="I146" s="15">
        <f>I145-'Output - Jobs vs Yr (BAU)'!I73</f>
        <v>17.845825162882647</v>
      </c>
      <c r="J146" s="15">
        <f>J145-'Output - Jobs vs Yr (BAU)'!J73</f>
        <v>34.09403378171919</v>
      </c>
      <c r="K146" s="15">
        <f>K145-'Output - Jobs vs Yr (BAU)'!K73</f>
        <v>58.338981781279472</v>
      </c>
      <c r="L146" s="15">
        <f>L145-'Output - Jobs vs Yr (BAU)'!L73</f>
        <v>102.9416433084416</v>
      </c>
      <c r="M146" s="15">
        <f>M145-'Output - Jobs vs Yr (BAU)'!M73</f>
        <v>167.54914216437101</v>
      </c>
      <c r="N146" s="182">
        <f>N145-'Output - Jobs vs Yr (BAU)'!N73</f>
        <v>256.87689412872078</v>
      </c>
      <c r="O146" s="15">
        <f>O145-'Output - Jobs vs Yr (BAU)'!O73</f>
        <v>258.78941042258248</v>
      </c>
      <c r="P146" s="15">
        <f>P145-'Output - Jobs vs Yr (BAU)'!P73</f>
        <v>261.90358777323581</v>
      </c>
      <c r="Q146" s="15">
        <f>Q145-'Output - Jobs vs Yr (BAU)'!Q73</f>
        <v>263.77151743066497</v>
      </c>
      <c r="R146" s="15">
        <f>R145-'Output - Jobs vs Yr (BAU)'!R73</f>
        <v>260.97778734691383</v>
      </c>
      <c r="S146" s="15">
        <f>S145-'Output - Jobs vs Yr (BAU)'!S73</f>
        <v>264.13478575104091</v>
      </c>
      <c r="T146" s="15">
        <f>T145-'Output - Jobs vs Yr (BAU)'!T73</f>
        <v>265.03380476921848</v>
      </c>
      <c r="U146" s="15">
        <f>U145-'Output - Jobs vs Yr (BAU)'!U73</f>
        <v>265.25529255664151</v>
      </c>
      <c r="V146" s="15">
        <f>V145-'Output - Jobs vs Yr (BAU)'!V73</f>
        <v>270.03548587409387</v>
      </c>
      <c r="W146" s="15">
        <f>W145-'Output - Jobs vs Yr (BAU)'!W73</f>
        <v>284.47614769738811</v>
      </c>
      <c r="X146" s="190">
        <f>X145-'Output - Jobs vs Yr (BAU)'!X73</f>
        <v>293.47732780889237</v>
      </c>
      <c r="Y146" s="130">
        <f>Y145-'Output - Jobs vs Yr (BAU)'!Y73</f>
        <v>288.6532281484715</v>
      </c>
      <c r="Z146" s="130">
        <f>Z145-'Output - Jobs vs Yr (BAU)'!Z73</f>
        <v>280.58745077986259</v>
      </c>
      <c r="AA146" s="130">
        <f>AA145-'Output - Jobs vs Yr (BAU)'!AA73</f>
        <v>273.51844429171524</v>
      </c>
      <c r="AB146" s="130">
        <f>AB145-'Output - Jobs vs Yr (BAU)'!AB73</f>
        <v>265.42946165596823</v>
      </c>
      <c r="AC146" s="130">
        <f>AC145-'Output - Jobs vs Yr (BAU)'!AC73</f>
        <v>274.67143614931774</v>
      </c>
      <c r="AD146" s="130">
        <f>AD145-'Output - Jobs vs Yr (BAU)'!AD73</f>
        <v>278.37602637000964</v>
      </c>
      <c r="AE146" s="130">
        <f>AE145-'Output - Jobs vs Yr (BAU)'!AE73</f>
        <v>285.11808125638163</v>
      </c>
      <c r="AF146" s="130">
        <f>AF145-'Output - Jobs vs Yr (BAU)'!AF73</f>
        <v>295.0244111329821</v>
      </c>
      <c r="AG146" s="130">
        <f>AG145-'Output - Jobs vs Yr (BAU)'!AG73</f>
        <v>309.67375517576693</v>
      </c>
      <c r="AH146" s="190">
        <f>AH145-'Output - Jobs vs Yr (BAU)'!AH73</f>
        <v>329.95450589636039</v>
      </c>
    </row>
    <row r="147" spans="1:35" s="1" customFormat="1">
      <c r="A147" s="11"/>
      <c r="B147" s="13"/>
      <c r="C147" s="328"/>
      <c r="D147" s="341"/>
      <c r="E147" s="341"/>
      <c r="F147" s="341"/>
      <c r="G147" s="341"/>
      <c r="H147" s="405"/>
      <c r="I147" s="15"/>
      <c r="J147" s="15"/>
      <c r="K147" s="15"/>
      <c r="L147" s="15"/>
      <c r="M147" s="15"/>
      <c r="N147" s="187" t="s">
        <v>0</v>
      </c>
      <c r="O147" s="15"/>
      <c r="P147" s="15"/>
      <c r="Q147" s="15"/>
      <c r="R147" s="15"/>
      <c r="S147" s="15"/>
      <c r="T147" s="15"/>
      <c r="U147" s="15"/>
      <c r="V147" s="15"/>
      <c r="W147" s="15"/>
      <c r="X147" s="190"/>
      <c r="Y147"/>
      <c r="Z147"/>
      <c r="AA147"/>
      <c r="AB147"/>
      <c r="AC147"/>
      <c r="AD147"/>
      <c r="AE147"/>
      <c r="AF147"/>
      <c r="AG147"/>
      <c r="AH147" s="280"/>
    </row>
    <row r="148" spans="1:35" hidden="1">
      <c r="A148" s="1" t="s">
        <v>199</v>
      </c>
    </row>
    <row r="149" spans="1:35" hidden="1">
      <c r="A149" s="20" t="s">
        <v>197</v>
      </c>
      <c r="C149" s="333">
        <f>'backup - EIA liq_fuelS_aeo2014'!E44</f>
        <v>7088.7783050537164</v>
      </c>
      <c r="D149" s="333">
        <f>'backup - EIA liq_fuelS_aeo2014'!F44</f>
        <v>7149.5953941345133</v>
      </c>
      <c r="E149" s="333">
        <f>'backup - EIA liq_fuelS_aeo2014'!G44</f>
        <v>6912.5827950000003</v>
      </c>
      <c r="F149" s="333">
        <f>'backup - EIA liq_fuelS_aeo2014'!H44</f>
        <v>6786.185485</v>
      </c>
      <c r="G149" s="333">
        <f>'backup - EIA liq_fuelS_aeo2014'!I44</f>
        <v>6929.6414350000005</v>
      </c>
      <c r="H149" s="406">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8">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70">
        <f>'backup - EIA liq_fuelS_aeo2014'!Z44</f>
        <v>6908.05278</v>
      </c>
    </row>
    <row r="150" spans="1:35" hidden="1">
      <c r="A150" s="20" t="s">
        <v>198</v>
      </c>
      <c r="C150" s="333">
        <f>'backup - EIA liq_fuelS_aeo2014'!E44</f>
        <v>7088.7783050537164</v>
      </c>
      <c r="D150" s="333">
        <f>'backup - EIA liq_fuelS_aeo2014'!F44</f>
        <v>7149.5953941345133</v>
      </c>
      <c r="E150" s="333">
        <f>'backup - EIA liq_fuelS_aeo2014'!G44</f>
        <v>6912.5827950000003</v>
      </c>
      <c r="F150" s="333">
        <f>'backup - EIA liq_fuelS_aeo2014'!H44</f>
        <v>6786.185485</v>
      </c>
      <c r="G150" s="333">
        <f>'backup - EIA liq_fuelS_aeo2014'!I44</f>
        <v>6929.6414350000005</v>
      </c>
      <c r="H150" s="406">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8">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70">
        <f>'backup - EIA liq_fuelS_aeo2014'!Z44</f>
        <v>6908.05278</v>
      </c>
    </row>
    <row r="151" spans="1:35" hidden="1">
      <c r="A151" s="20" t="s">
        <v>200</v>
      </c>
      <c r="C151" s="342">
        <f>'backup - EIA liq_fuelS_aeo2014'!E46</f>
        <v>273.77869168296451</v>
      </c>
      <c r="D151" s="342">
        <f>'backup - EIA liq_fuelS_aeo2014'!F46</f>
        <v>330.59007454663532</v>
      </c>
      <c r="E151" s="342">
        <f>'backup - EIA liq_fuelS_aeo2014'!G46</f>
        <v>346.41273999999999</v>
      </c>
      <c r="F151" s="342">
        <f>'backup - EIA liq_fuelS_aeo2014'!H46</f>
        <v>332.23648773503913</v>
      </c>
      <c r="G151" s="342">
        <f>'backup - EIA liq_fuelS_aeo2014'!I46</f>
        <v>336.63400877733272</v>
      </c>
      <c r="H151" s="407">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89">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71">
        <f>'backup - EIA liq_fuelS_aeo2014'!Z46</f>
        <v>459.60339229062083</v>
      </c>
    </row>
    <row r="152" spans="1:35" hidden="1">
      <c r="A152" s="20" t="s">
        <v>203</v>
      </c>
      <c r="C152" s="332">
        <f>C151/C149</f>
        <v>3.8621421054708789E-2</v>
      </c>
      <c r="D152" s="332">
        <f t="shared" ref="D152:X152" si="95">D151/D149</f>
        <v>4.62389906452398E-2</v>
      </c>
      <c r="E152" s="332">
        <f t="shared" si="95"/>
        <v>5.0113358533740347E-2</v>
      </c>
      <c r="F152" s="332">
        <f t="shared" si="95"/>
        <v>4.8957766991398283E-2</v>
      </c>
      <c r="G152" s="332">
        <f t="shared" si="95"/>
        <v>4.8578849560248959E-2</v>
      </c>
      <c r="H152" s="284">
        <f t="shared" si="95"/>
        <v>5.1284361693822764E-2</v>
      </c>
      <c r="I152" s="91">
        <f t="shared" si="95"/>
        <v>4.7576032869045513E-2</v>
      </c>
      <c r="J152" s="91">
        <f t="shared" si="95"/>
        <v>4.7305096007127082E-2</v>
      </c>
      <c r="K152" s="91">
        <f t="shared" si="95"/>
        <v>4.7990408149769591E-2</v>
      </c>
      <c r="L152" s="91">
        <f t="shared" si="95"/>
        <v>4.8486149400757073E-2</v>
      </c>
      <c r="M152" s="91">
        <f t="shared" si="95"/>
        <v>4.9368514215783074E-2</v>
      </c>
      <c r="N152" s="180">
        <f t="shared" si="95"/>
        <v>5.0830360119830421E-2</v>
      </c>
      <c r="O152" s="91">
        <f t="shared" si="95"/>
        <v>5.2227082464624618E-2</v>
      </c>
      <c r="P152" s="91">
        <f t="shared" si="95"/>
        <v>5.4509371249060634E-2</v>
      </c>
      <c r="Q152" s="91">
        <f t="shared" si="95"/>
        <v>5.6685779692733994E-2</v>
      </c>
      <c r="R152" s="91">
        <f t="shared" si="95"/>
        <v>5.8757749486676496E-2</v>
      </c>
      <c r="S152" s="91">
        <f t="shared" si="95"/>
        <v>6.059303768673973E-2</v>
      </c>
      <c r="T152" s="91">
        <f t="shared" si="95"/>
        <v>6.2328131729370434E-2</v>
      </c>
      <c r="U152" s="91">
        <f t="shared" si="95"/>
        <v>6.3760503080617439E-2</v>
      </c>
      <c r="V152" s="91">
        <f t="shared" si="95"/>
        <v>6.4904735244002754E-2</v>
      </c>
      <c r="W152" s="91">
        <f t="shared" si="95"/>
        <v>6.5845504400378327E-2</v>
      </c>
      <c r="X152" s="185">
        <f t="shared" si="95"/>
        <v>6.6531540352623195E-2</v>
      </c>
    </row>
    <row r="153" spans="1:35" hidden="1">
      <c r="A153" t="s">
        <v>201</v>
      </c>
      <c r="C153" s="342">
        <f>'backup - EIA liq_fuelS_aeo2014'!E46</f>
        <v>273.77869168296451</v>
      </c>
      <c r="D153" s="342">
        <f>'backup - EIA liq_fuelS_aeo2014'!F46</f>
        <v>330.59007454663532</v>
      </c>
      <c r="E153" s="342">
        <f>'backup - EIA liq_fuelS_aeo2014'!G46</f>
        <v>346.41273999999999</v>
      </c>
      <c r="F153" s="342">
        <f>'backup - EIA liq_fuelS_aeo2014'!H46</f>
        <v>332.23648773503913</v>
      </c>
      <c r="G153" s="342">
        <f>'backup - EIA liq_fuelS_aeo2014'!I46</f>
        <v>336.63400877733272</v>
      </c>
      <c r="H153" s="407">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89">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71">
        <f>'backup - EIA liq_fuelS_aeo2014'!Z46</f>
        <v>459.60339229062083</v>
      </c>
    </row>
    <row r="154" spans="1:35" hidden="1">
      <c r="A154" t="s">
        <v>204</v>
      </c>
      <c r="C154" s="332">
        <f>C153/C149</f>
        <v>3.8621421054708789E-2</v>
      </c>
      <c r="D154" s="332">
        <f t="shared" ref="D154:X154" si="96">D153/D149</f>
        <v>4.62389906452398E-2</v>
      </c>
      <c r="E154" s="332">
        <f t="shared" si="96"/>
        <v>5.0113358533740347E-2</v>
      </c>
      <c r="F154" s="332">
        <f t="shared" si="96"/>
        <v>4.8957766991398283E-2</v>
      </c>
      <c r="G154" s="332">
        <f t="shared" si="96"/>
        <v>4.8578849560248959E-2</v>
      </c>
      <c r="H154" s="284">
        <f t="shared" si="96"/>
        <v>5.1284361693822764E-2</v>
      </c>
      <c r="I154" s="91">
        <f t="shared" si="96"/>
        <v>4.7576032869045513E-2</v>
      </c>
      <c r="J154" s="91">
        <f t="shared" si="96"/>
        <v>4.7305096007127082E-2</v>
      </c>
      <c r="K154" s="91">
        <f t="shared" si="96"/>
        <v>4.7990408149769591E-2</v>
      </c>
      <c r="L154" s="91">
        <f t="shared" si="96"/>
        <v>4.8486149400757073E-2</v>
      </c>
      <c r="M154" s="91">
        <f t="shared" si="96"/>
        <v>4.9368514215783074E-2</v>
      </c>
      <c r="N154" s="180">
        <f t="shared" si="96"/>
        <v>5.0830360119830421E-2</v>
      </c>
      <c r="O154" s="91">
        <f t="shared" si="96"/>
        <v>5.2227082464624618E-2</v>
      </c>
      <c r="P154" s="91">
        <f t="shared" si="96"/>
        <v>5.4509371249060634E-2</v>
      </c>
      <c r="Q154" s="91">
        <f t="shared" si="96"/>
        <v>5.6685779692733994E-2</v>
      </c>
      <c r="R154" s="91">
        <f t="shared" si="96"/>
        <v>5.8757749486676496E-2</v>
      </c>
      <c r="S154" s="91">
        <f t="shared" si="96"/>
        <v>6.059303768673973E-2</v>
      </c>
      <c r="T154" s="91">
        <f t="shared" si="96"/>
        <v>6.2328131729370434E-2</v>
      </c>
      <c r="U154" s="91">
        <f t="shared" si="96"/>
        <v>6.3760503080617439E-2</v>
      </c>
      <c r="V154" s="91">
        <f t="shared" si="96"/>
        <v>6.4904735244002754E-2</v>
      </c>
      <c r="W154" s="91">
        <f t="shared" si="96"/>
        <v>6.5845504400378327E-2</v>
      </c>
      <c r="X154" s="185">
        <f t="shared" si="96"/>
        <v>6.6531540352623195E-2</v>
      </c>
    </row>
    <row r="155" spans="1:35" hidden="1">
      <c r="A155" s="1" t="s">
        <v>202</v>
      </c>
      <c r="C155" s="342">
        <f>MAX(C151,C153)</f>
        <v>273.77869168296451</v>
      </c>
      <c r="D155" s="342">
        <f t="shared" ref="D155:X155" si="97">MAX(D151,D153)</f>
        <v>330.59007454663532</v>
      </c>
      <c r="E155" s="342">
        <f t="shared" si="97"/>
        <v>346.41273999999999</v>
      </c>
      <c r="F155" s="342">
        <f t="shared" si="97"/>
        <v>332.23648773503913</v>
      </c>
      <c r="G155" s="342">
        <f t="shared" si="97"/>
        <v>336.63400877733272</v>
      </c>
      <c r="H155" s="407">
        <f t="shared" si="97"/>
        <v>352.19858305216189</v>
      </c>
      <c r="I155" s="52">
        <f t="shared" si="97"/>
        <v>332.67387741278202</v>
      </c>
      <c r="J155" s="52">
        <f t="shared" si="97"/>
        <v>334.25860074671806</v>
      </c>
      <c r="K155" s="52">
        <f t="shared" si="97"/>
        <v>341.17813427402433</v>
      </c>
      <c r="L155" s="52">
        <f t="shared" si="97"/>
        <v>345.58877710595249</v>
      </c>
      <c r="M155" s="52">
        <f t="shared" si="97"/>
        <v>352.0193896929872</v>
      </c>
      <c r="N155" s="189">
        <f t="shared" si="97"/>
        <v>362.16295876265764</v>
      </c>
      <c r="O155" s="52">
        <f t="shared" si="97"/>
        <v>371.28950968144909</v>
      </c>
      <c r="P155" s="52">
        <f t="shared" si="97"/>
        <v>386.73310267300621</v>
      </c>
      <c r="Q155" s="52">
        <f t="shared" si="97"/>
        <v>401.15959175664915</v>
      </c>
      <c r="R155" s="52">
        <f t="shared" si="97"/>
        <v>414.56272820760728</v>
      </c>
      <c r="S155" s="52">
        <f t="shared" si="97"/>
        <v>426.01426158540727</v>
      </c>
      <c r="T155" s="52">
        <f t="shared" si="97"/>
        <v>436.3142303161336</v>
      </c>
      <c r="U155" s="52">
        <f t="shared" si="97"/>
        <v>444.95490300330164</v>
      </c>
      <c r="V155" s="52">
        <f t="shared" si="97"/>
        <v>451.53307562319765</v>
      </c>
      <c r="W155" s="52">
        <f t="shared" si="97"/>
        <v>456.17321024350161</v>
      </c>
      <c r="X155" s="371">
        <f t="shared" si="97"/>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333">
        <f>C149-C150</f>
        <v>0</v>
      </c>
      <c r="D157" s="333">
        <f t="shared" ref="D157:X157" si="98">D149-D150</f>
        <v>0</v>
      </c>
      <c r="E157" s="333">
        <f t="shared" si="98"/>
        <v>0</v>
      </c>
      <c r="F157" s="333">
        <f t="shared" si="98"/>
        <v>0</v>
      </c>
      <c r="G157" s="333">
        <f t="shared" si="98"/>
        <v>0</v>
      </c>
      <c r="H157" s="406">
        <f t="shared" si="98"/>
        <v>0</v>
      </c>
      <c r="I157" s="16">
        <f t="shared" si="98"/>
        <v>0</v>
      </c>
      <c r="J157" s="16">
        <f t="shared" si="98"/>
        <v>0</v>
      </c>
      <c r="K157" s="16">
        <f t="shared" si="98"/>
        <v>0</v>
      </c>
      <c r="L157" s="16">
        <f t="shared" si="98"/>
        <v>0</v>
      </c>
      <c r="M157" s="16">
        <f t="shared" si="98"/>
        <v>0</v>
      </c>
      <c r="N157" s="188">
        <f t="shared" si="98"/>
        <v>0</v>
      </c>
      <c r="O157" s="16">
        <f t="shared" si="98"/>
        <v>0</v>
      </c>
      <c r="P157" s="16">
        <f t="shared" si="98"/>
        <v>0</v>
      </c>
      <c r="Q157" s="16">
        <f t="shared" si="98"/>
        <v>0</v>
      </c>
      <c r="R157" s="16">
        <f t="shared" si="98"/>
        <v>0</v>
      </c>
      <c r="S157" s="16">
        <f t="shared" si="98"/>
        <v>0</v>
      </c>
      <c r="T157" s="16">
        <f t="shared" si="98"/>
        <v>0</v>
      </c>
      <c r="U157" s="16">
        <f t="shared" si="98"/>
        <v>0</v>
      </c>
      <c r="V157" s="16">
        <f t="shared" si="98"/>
        <v>0</v>
      </c>
      <c r="W157" s="16">
        <f t="shared" si="98"/>
        <v>0</v>
      </c>
      <c r="X157" s="370">
        <f t="shared" si="98"/>
        <v>0</v>
      </c>
    </row>
    <row r="158" spans="1:35" hidden="1"/>
    <row r="159" spans="1:35" hidden="1">
      <c r="A159" s="1" t="s">
        <v>252</v>
      </c>
    </row>
    <row r="160" spans="1:35" hidden="1">
      <c r="A160" t="s">
        <v>285</v>
      </c>
      <c r="C160" s="330">
        <v>0</v>
      </c>
      <c r="D160" s="330">
        <v>0</v>
      </c>
      <c r="E160" s="330">
        <v>0</v>
      </c>
      <c r="F160" s="330">
        <v>0</v>
      </c>
      <c r="G160" s="330">
        <v>0</v>
      </c>
      <c r="H160" s="286">
        <v>0</v>
      </c>
      <c r="I160" s="83">
        <v>0</v>
      </c>
      <c r="J160" s="83">
        <v>0</v>
      </c>
      <c r="K160" s="83">
        <v>0</v>
      </c>
      <c r="L160" s="83">
        <v>0</v>
      </c>
      <c r="M160" s="83">
        <v>0</v>
      </c>
      <c r="N160" s="177">
        <v>0</v>
      </c>
      <c r="O160" s="83">
        <v>0</v>
      </c>
      <c r="P160" s="83">
        <v>0</v>
      </c>
      <c r="Q160" s="83">
        <v>0</v>
      </c>
      <c r="R160" s="83">
        <v>0</v>
      </c>
      <c r="S160" s="83">
        <v>0</v>
      </c>
      <c r="T160" s="83">
        <v>0</v>
      </c>
      <c r="U160" s="83">
        <v>0</v>
      </c>
      <c r="V160" s="83">
        <v>0</v>
      </c>
      <c r="W160" s="83">
        <v>0</v>
      </c>
      <c r="X160" s="184">
        <v>0</v>
      </c>
    </row>
    <row r="161" spans="1:35" hidden="1">
      <c r="A161" t="s">
        <v>286</v>
      </c>
      <c r="C161" s="330">
        <v>0</v>
      </c>
      <c r="D161" s="330">
        <v>0</v>
      </c>
      <c r="E161" s="330">
        <v>0</v>
      </c>
      <c r="F161" s="330">
        <v>0</v>
      </c>
      <c r="G161" s="330">
        <v>0</v>
      </c>
      <c r="H161" s="286">
        <v>0</v>
      </c>
      <c r="I161" s="83">
        <v>0</v>
      </c>
      <c r="J161" s="83">
        <v>0</v>
      </c>
      <c r="K161" s="83">
        <v>0</v>
      </c>
      <c r="L161" s="83">
        <v>0</v>
      </c>
      <c r="M161" s="83">
        <v>0</v>
      </c>
      <c r="N161" s="177">
        <v>0</v>
      </c>
      <c r="O161" s="83">
        <v>0</v>
      </c>
      <c r="P161" s="83">
        <v>0</v>
      </c>
      <c r="Q161" s="83">
        <v>0</v>
      </c>
      <c r="R161" s="83">
        <v>0</v>
      </c>
      <c r="S161" s="83">
        <v>0</v>
      </c>
      <c r="T161" s="83">
        <v>0</v>
      </c>
      <c r="U161" s="83">
        <v>0</v>
      </c>
      <c r="V161" s="83">
        <v>0</v>
      </c>
      <c r="W161" s="83">
        <v>0</v>
      </c>
      <c r="X161" s="184">
        <v>0</v>
      </c>
    </row>
    <row r="162" spans="1:35" hidden="1">
      <c r="A162" t="s">
        <v>287</v>
      </c>
      <c r="C162" s="330">
        <v>0</v>
      </c>
      <c r="D162" s="330">
        <v>0</v>
      </c>
      <c r="E162" s="330">
        <v>0</v>
      </c>
      <c r="F162" s="330">
        <v>0</v>
      </c>
      <c r="G162" s="330">
        <v>0</v>
      </c>
      <c r="H162" s="286">
        <v>0</v>
      </c>
      <c r="I162" s="83">
        <v>0</v>
      </c>
      <c r="J162" s="83">
        <v>0</v>
      </c>
      <c r="K162" s="83">
        <v>0</v>
      </c>
      <c r="L162" s="83">
        <v>0</v>
      </c>
      <c r="M162" s="83">
        <v>0</v>
      </c>
      <c r="N162" s="177">
        <v>0</v>
      </c>
      <c r="O162" s="83">
        <v>0</v>
      </c>
      <c r="P162" s="83">
        <v>0</v>
      </c>
      <c r="Q162" s="83">
        <v>0</v>
      </c>
      <c r="R162" s="83">
        <v>0</v>
      </c>
      <c r="S162" s="83">
        <v>0</v>
      </c>
      <c r="T162" s="83">
        <v>0</v>
      </c>
      <c r="U162" s="83">
        <v>0</v>
      </c>
      <c r="V162" s="83">
        <v>0</v>
      </c>
      <c r="W162" s="83">
        <v>0</v>
      </c>
      <c r="X162" s="184">
        <v>0</v>
      </c>
    </row>
    <row r="163" spans="1:35" hidden="1">
      <c r="A163" t="s">
        <v>288</v>
      </c>
      <c r="C163" s="330">
        <v>0</v>
      </c>
      <c r="D163" s="330">
        <v>0</v>
      </c>
      <c r="E163" s="330">
        <v>0</v>
      </c>
      <c r="F163" s="330">
        <v>0</v>
      </c>
      <c r="G163" s="330">
        <v>0</v>
      </c>
      <c r="H163" s="286">
        <v>0</v>
      </c>
      <c r="I163" s="83">
        <v>0</v>
      </c>
      <c r="J163" s="83">
        <v>0</v>
      </c>
      <c r="K163" s="83">
        <v>0</v>
      </c>
      <c r="L163" s="83">
        <v>0</v>
      </c>
      <c r="M163" s="83">
        <v>0</v>
      </c>
      <c r="N163" s="177">
        <v>0</v>
      </c>
      <c r="O163" s="83">
        <v>0</v>
      </c>
      <c r="P163" s="83">
        <v>0</v>
      </c>
      <c r="Q163" s="83">
        <v>0</v>
      </c>
      <c r="R163" s="83">
        <v>0</v>
      </c>
      <c r="S163" s="83">
        <v>0</v>
      </c>
      <c r="T163" s="83">
        <v>0</v>
      </c>
      <c r="U163" s="83">
        <v>0</v>
      </c>
      <c r="V163" s="83">
        <v>0</v>
      </c>
      <c r="W163" s="83">
        <v>0</v>
      </c>
      <c r="X163" s="184">
        <v>0</v>
      </c>
      <c r="AI163" s="79" t="s">
        <v>0</v>
      </c>
    </row>
    <row r="164" spans="1:35" hidden="1">
      <c r="A164" t="s">
        <v>289</v>
      </c>
      <c r="C164" s="330" t="e">
        <f>C157*#REF!</f>
        <v>#REF!</v>
      </c>
      <c r="D164" s="330" t="e">
        <f>D157*#REF!</f>
        <v>#REF!</v>
      </c>
      <c r="E164" s="330" t="e">
        <f>E157*#REF!</f>
        <v>#REF!</v>
      </c>
      <c r="F164" s="330" t="e">
        <f>F157*#REF!</f>
        <v>#REF!</v>
      </c>
      <c r="G164" s="330" t="e">
        <f>G157*#REF!</f>
        <v>#REF!</v>
      </c>
      <c r="H164" s="286" t="e">
        <f>H157*#REF!</f>
        <v>#REF!</v>
      </c>
      <c r="I164" s="83" t="e">
        <f>I157*#REF!</f>
        <v>#REF!</v>
      </c>
      <c r="J164" s="83" t="e">
        <f>J157*#REF!</f>
        <v>#REF!</v>
      </c>
      <c r="K164" s="83" t="e">
        <f>K157*#REF!</f>
        <v>#REF!</v>
      </c>
      <c r="L164" s="83" t="e">
        <f>L157*#REF!</f>
        <v>#REF!</v>
      </c>
      <c r="M164" s="83" t="e">
        <f>M157*#REF!</f>
        <v>#REF!</v>
      </c>
      <c r="N164" s="177"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4" t="e">
        <f>X157*#REF!</f>
        <v>#REF!</v>
      </c>
    </row>
    <row r="165" spans="1:35" hidden="1">
      <c r="A165" t="s">
        <v>290</v>
      </c>
      <c r="C165" s="330">
        <v>0</v>
      </c>
      <c r="D165" s="330">
        <v>0</v>
      </c>
      <c r="E165" s="330">
        <v>0</v>
      </c>
      <c r="F165" s="330">
        <v>0</v>
      </c>
      <c r="G165" s="330">
        <v>0</v>
      </c>
      <c r="H165" s="286">
        <v>0</v>
      </c>
      <c r="I165" s="83">
        <v>0</v>
      </c>
      <c r="J165" s="83">
        <v>0</v>
      </c>
      <c r="K165" s="83">
        <v>0</v>
      </c>
      <c r="L165" s="83">
        <v>0</v>
      </c>
      <c r="M165" s="83">
        <v>0</v>
      </c>
      <c r="N165" s="177">
        <v>0</v>
      </c>
      <c r="O165" s="83">
        <v>0</v>
      </c>
      <c r="P165" s="83">
        <v>0</v>
      </c>
      <c r="Q165" s="83">
        <v>0</v>
      </c>
      <c r="R165" s="83">
        <v>0</v>
      </c>
      <c r="S165" s="83">
        <v>0</v>
      </c>
      <c r="T165" s="83">
        <v>0</v>
      </c>
      <c r="U165" s="83">
        <v>0</v>
      </c>
      <c r="V165" s="83">
        <v>0</v>
      </c>
      <c r="W165" s="83">
        <v>0</v>
      </c>
      <c r="X165" s="184">
        <v>0</v>
      </c>
    </row>
    <row r="166" spans="1:35" hidden="1">
      <c r="A166" t="s">
        <v>254</v>
      </c>
      <c r="C166" s="330" t="e">
        <f>C162-C160+C164+C165</f>
        <v>#REF!</v>
      </c>
      <c r="D166" s="330">
        <v>0</v>
      </c>
      <c r="E166" s="330">
        <v>0</v>
      </c>
      <c r="F166" s="330">
        <v>0</v>
      </c>
      <c r="G166" s="330">
        <v>0</v>
      </c>
      <c r="H166" s="286">
        <v>0</v>
      </c>
      <c r="I166" s="83">
        <v>0</v>
      </c>
      <c r="J166" s="83">
        <v>0</v>
      </c>
      <c r="K166" s="83">
        <v>0</v>
      </c>
      <c r="L166" s="83">
        <v>0</v>
      </c>
      <c r="M166" s="83">
        <v>0</v>
      </c>
      <c r="N166" s="177">
        <v>0</v>
      </c>
      <c r="O166" s="83">
        <v>0</v>
      </c>
      <c r="P166" s="83">
        <v>0</v>
      </c>
      <c r="Q166" s="83">
        <v>0</v>
      </c>
      <c r="R166" s="83">
        <v>0</v>
      </c>
      <c r="S166" s="83">
        <v>0</v>
      </c>
      <c r="T166" s="83">
        <v>0</v>
      </c>
      <c r="U166" s="83">
        <v>0</v>
      </c>
      <c r="V166" s="83">
        <v>0</v>
      </c>
      <c r="W166" s="83">
        <v>0</v>
      </c>
      <c r="X166" s="184">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330">
        <v>0</v>
      </c>
      <c r="D169" s="330">
        <v>0</v>
      </c>
      <c r="E169" s="330">
        <v>0</v>
      </c>
      <c r="F169" s="330">
        <v>0</v>
      </c>
      <c r="G169" s="330">
        <v>0</v>
      </c>
      <c r="H169" s="286">
        <v>0</v>
      </c>
      <c r="I169" s="83">
        <v>0</v>
      </c>
      <c r="J169" s="83">
        <v>0</v>
      </c>
      <c r="K169" s="83">
        <v>0</v>
      </c>
      <c r="L169" s="83">
        <v>0</v>
      </c>
      <c r="M169" s="83">
        <v>0</v>
      </c>
      <c r="N169" s="177">
        <v>0</v>
      </c>
      <c r="O169" s="83">
        <v>0</v>
      </c>
      <c r="P169" s="83">
        <v>0</v>
      </c>
      <c r="Q169" s="83">
        <v>0</v>
      </c>
      <c r="R169" s="83">
        <v>0</v>
      </c>
      <c r="S169" s="83">
        <v>0</v>
      </c>
      <c r="T169" s="83">
        <v>0</v>
      </c>
      <c r="U169" s="83">
        <v>0</v>
      </c>
      <c r="V169" s="83">
        <v>0</v>
      </c>
      <c r="W169" s="83">
        <v>0</v>
      </c>
      <c r="X169" s="184">
        <v>0</v>
      </c>
    </row>
    <row r="170" spans="1:35" hidden="1">
      <c r="A170" s="55" t="s">
        <v>295</v>
      </c>
      <c r="C170" s="330">
        <v>0</v>
      </c>
      <c r="D170" s="330">
        <v>0</v>
      </c>
      <c r="E170" s="330">
        <v>0</v>
      </c>
      <c r="F170" s="330">
        <v>0</v>
      </c>
      <c r="G170" s="330">
        <v>0</v>
      </c>
      <c r="H170" s="286">
        <v>0</v>
      </c>
      <c r="I170" s="83">
        <v>0</v>
      </c>
      <c r="J170" s="83">
        <v>0</v>
      </c>
      <c r="K170" s="83">
        <v>0</v>
      </c>
      <c r="L170" s="83">
        <v>0</v>
      </c>
      <c r="M170" s="83">
        <v>0</v>
      </c>
      <c r="N170" s="177">
        <v>0</v>
      </c>
      <c r="O170" s="83">
        <v>0</v>
      </c>
      <c r="P170" s="83">
        <v>0</v>
      </c>
      <c r="Q170" s="83">
        <v>0</v>
      </c>
      <c r="R170" s="83">
        <v>0</v>
      </c>
      <c r="S170" s="83">
        <v>0</v>
      </c>
      <c r="T170" s="83">
        <v>0</v>
      </c>
      <c r="U170" s="83">
        <v>0</v>
      </c>
      <c r="V170" s="83">
        <v>0</v>
      </c>
      <c r="W170" s="83">
        <v>0</v>
      </c>
      <c r="X170" s="184">
        <v>0</v>
      </c>
    </row>
    <row r="171" spans="1:35" hidden="1">
      <c r="A171" s="55" t="s">
        <v>296</v>
      </c>
      <c r="C171" s="330">
        <v>0</v>
      </c>
      <c r="D171" s="330">
        <v>0</v>
      </c>
      <c r="E171" s="330">
        <v>0</v>
      </c>
      <c r="F171" s="330">
        <v>0</v>
      </c>
      <c r="G171" s="330">
        <v>0</v>
      </c>
      <c r="H171" s="286">
        <v>0</v>
      </c>
      <c r="I171" s="83">
        <v>0</v>
      </c>
      <c r="J171" s="83">
        <v>0</v>
      </c>
      <c r="K171" s="83">
        <v>0</v>
      </c>
      <c r="L171" s="83">
        <v>0</v>
      </c>
      <c r="M171" s="83">
        <v>0</v>
      </c>
      <c r="N171" s="177">
        <v>0</v>
      </c>
      <c r="O171" s="83">
        <v>0</v>
      </c>
      <c r="P171" s="83">
        <v>0</v>
      </c>
      <c r="Q171" s="83">
        <v>0</v>
      </c>
      <c r="R171" s="83">
        <v>0</v>
      </c>
      <c r="S171" s="83">
        <v>0</v>
      </c>
      <c r="T171" s="83">
        <v>0</v>
      </c>
      <c r="U171" s="83">
        <v>0</v>
      </c>
      <c r="V171" s="83">
        <v>0</v>
      </c>
      <c r="W171" s="83">
        <v>0</v>
      </c>
      <c r="X171" s="184">
        <v>0</v>
      </c>
    </row>
    <row r="172" spans="1:35" hidden="1">
      <c r="A172" s="55" t="s">
        <v>297</v>
      </c>
      <c r="C172" s="330">
        <v>0</v>
      </c>
      <c r="D172" s="330">
        <v>0</v>
      </c>
      <c r="E172" s="330">
        <v>0</v>
      </c>
      <c r="F172" s="330">
        <v>0</v>
      </c>
      <c r="G172" s="330">
        <v>0</v>
      </c>
      <c r="H172" s="286">
        <v>0</v>
      </c>
      <c r="I172" s="83">
        <v>0</v>
      </c>
      <c r="J172" s="83">
        <v>0</v>
      </c>
      <c r="K172" s="83">
        <v>0</v>
      </c>
      <c r="L172" s="83">
        <v>0</v>
      </c>
      <c r="M172" s="83">
        <v>0</v>
      </c>
      <c r="N172" s="177">
        <v>0</v>
      </c>
      <c r="O172" s="83">
        <v>0</v>
      </c>
      <c r="P172" s="83">
        <v>0</v>
      </c>
      <c r="Q172" s="83">
        <v>0</v>
      </c>
      <c r="R172" s="83">
        <v>0</v>
      </c>
      <c r="S172" s="83">
        <v>0</v>
      </c>
      <c r="T172" s="83">
        <v>0</v>
      </c>
      <c r="U172" s="83">
        <v>0</v>
      </c>
      <c r="V172" s="83">
        <v>0</v>
      </c>
      <c r="W172" s="83">
        <v>0</v>
      </c>
      <c r="X172" s="184">
        <v>0</v>
      </c>
    </row>
    <row r="173" spans="1:35" hidden="1">
      <c r="A173" s="55" t="s">
        <v>255</v>
      </c>
      <c r="C173" s="330" t="e">
        <f>'backup - Mass Transit'!BC34</f>
        <v>#REF!</v>
      </c>
      <c r="D173" s="330" t="e">
        <f>'backup - Mass Transit'!BD34</f>
        <v>#REF!</v>
      </c>
      <c r="E173" s="330" t="e">
        <f>'backup - Mass Transit'!BE34</f>
        <v>#REF!</v>
      </c>
      <c r="F173" s="330" t="e">
        <f>'backup - Mass Transit'!BF34</f>
        <v>#REF!</v>
      </c>
      <c r="G173" s="330" t="e">
        <f>'backup - Mass Transit'!BG34</f>
        <v>#REF!</v>
      </c>
      <c r="H173" s="286"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7"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4" t="e">
        <f>'backup - Mass Transit'!BX34</f>
        <v>#REF!</v>
      </c>
    </row>
    <row r="175" spans="1:35">
      <c r="A175" s="75" t="s">
        <v>256</v>
      </c>
      <c r="C175" s="328">
        <v>2009</v>
      </c>
      <c r="D175" s="328">
        <v>2010</v>
      </c>
      <c r="E175" s="328">
        <v>2011</v>
      </c>
      <c r="F175" s="328">
        <v>2012</v>
      </c>
      <c r="G175" s="328">
        <v>2013</v>
      </c>
      <c r="H175" s="400">
        <v>2014</v>
      </c>
      <c r="I175" s="13">
        <v>2015</v>
      </c>
      <c r="J175" s="13">
        <v>2016</v>
      </c>
      <c r="K175" s="13">
        <v>2017</v>
      </c>
      <c r="L175" s="13">
        <v>2018</v>
      </c>
      <c r="M175" s="13">
        <v>2019</v>
      </c>
      <c r="N175" s="176">
        <v>2020</v>
      </c>
      <c r="O175" s="13">
        <v>2021</v>
      </c>
      <c r="P175" s="13">
        <v>2022</v>
      </c>
      <c r="Q175" s="13">
        <v>2023</v>
      </c>
      <c r="R175" s="13">
        <v>2024</v>
      </c>
      <c r="S175" s="13">
        <v>2025</v>
      </c>
      <c r="T175" s="13">
        <v>2026</v>
      </c>
      <c r="U175" s="13">
        <v>2027</v>
      </c>
      <c r="V175" s="13">
        <v>2028</v>
      </c>
      <c r="W175" s="13">
        <v>2029</v>
      </c>
      <c r="X175" s="176">
        <v>2030</v>
      </c>
      <c r="Y175" s="13">
        <v>2031</v>
      </c>
      <c r="Z175" s="13">
        <v>2032</v>
      </c>
      <c r="AA175" s="13">
        <v>2033</v>
      </c>
      <c r="AB175" s="13">
        <v>2034</v>
      </c>
      <c r="AC175" s="13">
        <v>2035</v>
      </c>
      <c r="AD175" s="13">
        <v>2036</v>
      </c>
      <c r="AE175" s="13">
        <v>2037</v>
      </c>
      <c r="AF175" s="13">
        <v>2038</v>
      </c>
      <c r="AG175" s="13">
        <v>2039</v>
      </c>
      <c r="AH175" s="176">
        <v>2040</v>
      </c>
      <c r="AI175" s="1" t="s">
        <v>0</v>
      </c>
    </row>
    <row r="176" spans="1:35">
      <c r="A176" s="75" t="s">
        <v>299</v>
      </c>
      <c r="C176" s="334">
        <f>'Output - Jobs vs Yr (BAU)'!C55+'Output - Jobs vs Yr (BAU)'!C73</f>
        <v>9207.5922800000008</v>
      </c>
      <c r="D176" s="334">
        <f>'Output - Jobs vs Yr (BAU)'!D55+'Output - Jobs vs Yr (BAU)'!D73</f>
        <v>8957.6092800000006</v>
      </c>
      <c r="E176" s="334">
        <f>'Output - Jobs vs Yr (BAU)'!E55+'Output - Jobs vs Yr (BAU)'!E73</f>
        <v>9273.4978864593249</v>
      </c>
      <c r="F176" s="334">
        <f>'Output - Jobs vs Yr (BAU)'!F55+'Output - Jobs vs Yr (BAU)'!F73</f>
        <v>9588.3713998823678</v>
      </c>
      <c r="G176" s="334">
        <f>'Output - Jobs vs Yr (BAU)'!G55+'Output - Jobs vs Yr (BAU)'!G73</f>
        <v>9467.4976944456921</v>
      </c>
      <c r="H176" s="404">
        <f>'Output - Jobs vs Yr (BAU)'!H55+'Output - Jobs vs Yr (BAU)'!H73</f>
        <v>9703.3134049848286</v>
      </c>
      <c r="I176" s="19">
        <f>'Output - Jobs vs Yr (BAU)'!I55+'Output - Jobs vs Yr (BAU)'!I73</f>
        <v>9603.6712972769128</v>
      </c>
      <c r="J176" s="19">
        <f>'Output - Jobs vs Yr (BAU)'!J55+'Output - Jobs vs Yr (BAU)'!J73</f>
        <v>9724.9061039284061</v>
      </c>
      <c r="K176" s="19">
        <f>'Output - Jobs vs Yr (BAU)'!K55+'Output - Jobs vs Yr (BAU)'!K73</f>
        <v>10019.484347216725</v>
      </c>
      <c r="L176" s="19">
        <f>'Output - Jobs vs Yr (BAU)'!L55+'Output - Jobs vs Yr (BAU)'!L73</f>
        <v>10255.449922429176</v>
      </c>
      <c r="M176" s="19">
        <f>'Output - Jobs vs Yr (BAU)'!M55+'Output - Jobs vs Yr (BAU)'!M73</f>
        <v>10318.840358775633</v>
      </c>
      <c r="N176" s="182">
        <f>'Output - Jobs vs Yr (BAU)'!N55+'Output - Jobs vs Yr (BAU)'!N73</f>
        <v>10396.741760316925</v>
      </c>
      <c r="O176" s="19">
        <f>'Output - Jobs vs Yr (BAU)'!O55+'Output - Jobs vs Yr (BAU)'!O73</f>
        <v>10437.772493818906</v>
      </c>
      <c r="P176" s="19">
        <f>'Output - Jobs vs Yr (BAU)'!P55+'Output - Jobs vs Yr (BAU)'!P73</f>
        <v>10610.63530401501</v>
      </c>
      <c r="Q176" s="19">
        <f>'Output - Jobs vs Yr (BAU)'!Q55+'Output - Jobs vs Yr (BAU)'!Q73</f>
        <v>10820.286733992298</v>
      </c>
      <c r="R176" s="19">
        <f>'Output - Jobs vs Yr (BAU)'!R55+'Output - Jobs vs Yr (BAU)'!R73</f>
        <v>10936.191461950435</v>
      </c>
      <c r="S176" s="19">
        <f>'Output - Jobs vs Yr (BAU)'!S55+'Output - Jobs vs Yr (BAU)'!S73</f>
        <v>11100.410684002494</v>
      </c>
      <c r="T176" s="19">
        <f>'Output - Jobs vs Yr (BAU)'!T55+'Output - Jobs vs Yr (BAU)'!T73</f>
        <v>11300.988973700867</v>
      </c>
      <c r="U176" s="19">
        <f>'Output - Jobs vs Yr (BAU)'!U55+'Output - Jobs vs Yr (BAU)'!U73</f>
        <v>11437.427513092585</v>
      </c>
      <c r="V176" s="19">
        <f>'Output - Jobs vs Yr (BAU)'!V55+'Output - Jobs vs Yr (BAU)'!V73</f>
        <v>11522.350166117832</v>
      </c>
      <c r="W176" s="19">
        <f>'Output - Jobs vs Yr (BAU)'!W55+'Output - Jobs vs Yr (BAU)'!W73</f>
        <v>11667.615684830411</v>
      </c>
      <c r="X176" s="182">
        <f>'Output - Jobs vs Yr (BAU)'!X55+'Output - Jobs vs Yr (BAU)'!X73</f>
        <v>11816.507857589258</v>
      </c>
      <c r="Y176" s="206">
        <f>'Output - Jobs vs Yr (BAU)'!Y55+'Output - Jobs vs Yr (BAU)'!Y73</f>
        <v>11874.213675265517</v>
      </c>
      <c r="Z176" s="206">
        <f>'Output - Jobs vs Yr (BAU)'!Z55+'Output - Jobs vs Yr (BAU)'!Z73</f>
        <v>12075.473801936374</v>
      </c>
      <c r="AA176" s="206">
        <f>'Output - Jobs vs Yr (BAU)'!AA55+'Output - Jobs vs Yr (BAU)'!AA73</f>
        <v>12219.923379791784</v>
      </c>
      <c r="AB176" s="206">
        <f>'Output - Jobs vs Yr (BAU)'!AB55+'Output - Jobs vs Yr (BAU)'!AB73</f>
        <v>12334.829737291006</v>
      </c>
      <c r="AC176" s="206">
        <f>'Output - Jobs vs Yr (BAU)'!AC55+'Output - Jobs vs Yr (BAU)'!AC73</f>
        <v>12391.524905642354</v>
      </c>
      <c r="AD176" s="206">
        <f>'Output - Jobs vs Yr (BAU)'!AD55+'Output - Jobs vs Yr (BAU)'!AD73</f>
        <v>12414.414510376602</v>
      </c>
      <c r="AE176" s="206">
        <f>'Output - Jobs vs Yr (BAU)'!AE55+'Output - Jobs vs Yr (BAU)'!AE73</f>
        <v>12456.341151523644</v>
      </c>
      <c r="AF176" s="206">
        <f>'Output - Jobs vs Yr (BAU)'!AF55+'Output - Jobs vs Yr (BAU)'!AF73</f>
        <v>12535.040068867187</v>
      </c>
      <c r="AG176" s="206">
        <f>'Output - Jobs vs Yr (BAU)'!AG55+'Output - Jobs vs Yr (BAU)'!AG73</f>
        <v>12687.117152056413</v>
      </c>
      <c r="AH176" s="182">
        <f>'Output - Jobs vs Yr (BAU)'!AH55+'Output - Jobs vs Yr (BAU)'!AH73</f>
        <v>12800.04330901032</v>
      </c>
      <c r="AI176" s="1"/>
    </row>
    <row r="177" spans="1:35">
      <c r="A177" s="76" t="s">
        <v>300</v>
      </c>
      <c r="C177" s="334">
        <f>'Output - Jobs vs Yr (BAU)'!C55</f>
        <v>4846.1012000000001</v>
      </c>
      <c r="D177" s="334">
        <f>'Output - Jobs vs Yr (BAU)'!D55</f>
        <v>4714.5312000000004</v>
      </c>
      <c r="E177" s="334">
        <f>'Output - Jobs vs Yr (BAU)'!E55</f>
        <v>4880.7883612943815</v>
      </c>
      <c r="F177" s="334">
        <f>'Output - Jobs vs Yr (BAU)'!F55</f>
        <v>5046.5112630959829</v>
      </c>
      <c r="G177" s="334">
        <f>'Output - Jobs vs Yr (BAU)'!G55</f>
        <v>4982.8935233924694</v>
      </c>
      <c r="H177" s="404">
        <f>'Output - Jobs vs Yr (BAU)'!H55</f>
        <v>5107.0070552551733</v>
      </c>
      <c r="I177" s="19">
        <f>'Output - Jobs vs Yr (BAU)'!I55</f>
        <v>5054.5638406720591</v>
      </c>
      <c r="J177" s="19">
        <f>'Output - Jobs vs Yr (BAU)'!J55</f>
        <v>5118.3716336465295</v>
      </c>
      <c r="K177" s="19">
        <f>'Output - Jobs vs Yr (BAU)'!K55</f>
        <v>5273.4128143245916</v>
      </c>
      <c r="L177" s="19">
        <f>'Output - Jobs vs Yr (BAU)'!L55</f>
        <v>5397.6052223311453</v>
      </c>
      <c r="M177" s="19">
        <f>'Output - Jobs vs Yr (BAU)'!M55</f>
        <v>5430.9686098819111</v>
      </c>
      <c r="N177" s="182">
        <f>'Output - Jobs vs Yr (BAU)'!N55</f>
        <v>5471.9693475352242</v>
      </c>
      <c r="O177" s="19">
        <f>'Output - Jobs vs Yr (BAU)'!O55</f>
        <v>5493.5644704310034</v>
      </c>
      <c r="P177" s="19">
        <f>'Output - Jobs vs Yr (BAU)'!P55</f>
        <v>5584.544896850005</v>
      </c>
      <c r="Q177" s="19">
        <f>'Output - Jobs vs Yr (BAU)'!Q55</f>
        <v>5694.8877547327884</v>
      </c>
      <c r="R177" s="19">
        <f>'Output - Jobs vs Yr (BAU)'!R55</f>
        <v>5755.8902431318074</v>
      </c>
      <c r="S177" s="19">
        <f>'Output - Jobs vs Yr (BAU)'!S55</f>
        <v>5842.3214126328912</v>
      </c>
      <c r="T177" s="19">
        <f>'Output - Jobs vs Yr (BAU)'!T55</f>
        <v>5947.8889335267713</v>
      </c>
      <c r="U177" s="19">
        <f>'Output - Jobs vs Yr (BAU)'!U55</f>
        <v>6019.698691101361</v>
      </c>
      <c r="V177" s="19">
        <f>'Output - Jobs vs Yr (BAU)'!V55</f>
        <v>6064.3948242725428</v>
      </c>
      <c r="W177" s="19">
        <f>'Output - Jobs vs Yr (BAU)'!W55</f>
        <v>6140.850360437058</v>
      </c>
      <c r="X177" s="182">
        <f>'Output - Jobs vs Yr (BAU)'!X55</f>
        <v>6219.2146618890838</v>
      </c>
      <c r="Y177" s="206">
        <f>'Output - Jobs vs Yr (BAU)'!Y55</f>
        <v>6249.5861448765882</v>
      </c>
      <c r="Z177" s="206">
        <f>'Output - Jobs vs Yr (BAU)'!Z55</f>
        <v>6355.512527334934</v>
      </c>
      <c r="AA177" s="206">
        <f>'Output - Jobs vs Yr (BAU)'!AA55</f>
        <v>6431.5386209430444</v>
      </c>
      <c r="AB177" s="206">
        <f>'Output - Jobs vs Yr (BAU)'!AB55</f>
        <v>6492.0156512057929</v>
      </c>
      <c r="AC177" s="206">
        <f>'Output - Jobs vs Yr (BAU)'!AC55</f>
        <v>6521.8552134959755</v>
      </c>
      <c r="AD177" s="206">
        <f>'Output - Jobs vs Yr (BAU)'!AD55</f>
        <v>6533.9023738824226</v>
      </c>
      <c r="AE177" s="206">
        <f>'Output - Jobs vs Yr (BAU)'!AE55</f>
        <v>6555.9690271177078</v>
      </c>
      <c r="AF177" s="206">
        <f>'Output - Jobs vs Yr (BAU)'!AF55</f>
        <v>6597.389509930098</v>
      </c>
      <c r="AG177" s="206">
        <f>'Output - Jobs vs Yr (BAU)'!AG55</f>
        <v>6677.4300800296915</v>
      </c>
      <c r="AH177" s="182">
        <f>'Output - Jobs vs Yr (BAU)'!AH55</f>
        <v>6736.8648994791156</v>
      </c>
      <c r="AI177" s="1"/>
    </row>
    <row r="178" spans="1:35">
      <c r="A178" s="76" t="s">
        <v>301</v>
      </c>
      <c r="C178" s="334">
        <f>'Output - Jobs vs Yr (BAU)'!C73</f>
        <v>4361.4910799999998</v>
      </c>
      <c r="D178" s="334">
        <f>'Output - Jobs vs Yr (BAU)'!D73</f>
        <v>4243.0780800000002</v>
      </c>
      <c r="E178" s="334">
        <f>'Output - Jobs vs Yr (BAU)'!E73</f>
        <v>4392.7095251649444</v>
      </c>
      <c r="F178" s="334">
        <f>'Output - Jobs vs Yr (BAU)'!F73</f>
        <v>4541.8601367863848</v>
      </c>
      <c r="G178" s="334">
        <f>'Output - Jobs vs Yr (BAU)'!G73</f>
        <v>4484.6041710532227</v>
      </c>
      <c r="H178" s="404">
        <f>'Output - Jobs vs Yr (BAU)'!H73</f>
        <v>4596.3063497296553</v>
      </c>
      <c r="I178" s="19">
        <f>'Output - Jobs vs Yr (BAU)'!I73</f>
        <v>4549.1074566048537</v>
      </c>
      <c r="J178" s="19">
        <f>'Output - Jobs vs Yr (BAU)'!J73</f>
        <v>4606.5344702818766</v>
      </c>
      <c r="K178" s="19">
        <f>'Output - Jobs vs Yr (BAU)'!K73</f>
        <v>4746.0715328921333</v>
      </c>
      <c r="L178" s="19">
        <f>'Output - Jobs vs Yr (BAU)'!L73</f>
        <v>4857.8447000980314</v>
      </c>
      <c r="M178" s="19">
        <f>'Output - Jobs vs Yr (BAU)'!M73</f>
        <v>4887.8717488937209</v>
      </c>
      <c r="N178" s="182">
        <f>'Output - Jobs vs Yr (BAU)'!N73</f>
        <v>4924.772412781701</v>
      </c>
      <c r="O178" s="19">
        <f>'Output - Jobs vs Yr (BAU)'!O73</f>
        <v>4944.2080233879033</v>
      </c>
      <c r="P178" s="19">
        <f>'Output - Jobs vs Yr (BAU)'!P73</f>
        <v>5026.0904071650039</v>
      </c>
      <c r="Q178" s="19">
        <f>'Output - Jobs vs Yr (BAU)'!Q73</f>
        <v>5125.3989792595094</v>
      </c>
      <c r="R178" s="19">
        <f>'Output - Jobs vs Yr (BAU)'!R73</f>
        <v>5180.3012188186267</v>
      </c>
      <c r="S178" s="19">
        <f>'Output - Jobs vs Yr (BAU)'!S73</f>
        <v>5258.0892713696021</v>
      </c>
      <c r="T178" s="19">
        <f>'Output - Jobs vs Yr (BAU)'!T73</f>
        <v>5353.1000401740948</v>
      </c>
      <c r="U178" s="19">
        <f>'Output - Jobs vs Yr (BAU)'!U73</f>
        <v>5417.7288219912243</v>
      </c>
      <c r="V178" s="19">
        <f>'Output - Jobs vs Yr (BAU)'!V73</f>
        <v>5457.9553418452897</v>
      </c>
      <c r="W178" s="19">
        <f>'Output - Jobs vs Yr (BAU)'!W73</f>
        <v>5526.7653243933528</v>
      </c>
      <c r="X178" s="182">
        <f>'Output - Jobs vs Yr (BAU)'!X73</f>
        <v>5597.2931957001747</v>
      </c>
      <c r="Y178" s="206">
        <f>'Output - Jobs vs Yr (BAU)'!Y73</f>
        <v>5624.6275303889297</v>
      </c>
      <c r="Z178" s="206">
        <f>'Output - Jobs vs Yr (BAU)'!Z73</f>
        <v>5719.96127460144</v>
      </c>
      <c r="AA178" s="206">
        <f>'Output - Jobs vs Yr (BAU)'!AA73</f>
        <v>5788.3847588487388</v>
      </c>
      <c r="AB178" s="206">
        <f>'Output - Jobs vs Yr (BAU)'!AB73</f>
        <v>5842.8140860852136</v>
      </c>
      <c r="AC178" s="206">
        <f>'Output - Jobs vs Yr (BAU)'!AC73</f>
        <v>5869.669692146379</v>
      </c>
      <c r="AD178" s="206">
        <f>'Output - Jobs vs Yr (BAU)'!AD73</f>
        <v>5880.5121364941797</v>
      </c>
      <c r="AE178" s="206">
        <f>'Output - Jobs vs Yr (BAU)'!AE73</f>
        <v>5900.3721244059361</v>
      </c>
      <c r="AF178" s="206">
        <f>'Output - Jobs vs Yr (BAU)'!AF73</f>
        <v>5937.650558937089</v>
      </c>
      <c r="AG178" s="206">
        <f>'Output - Jobs vs Yr (BAU)'!AG73</f>
        <v>6009.6870720267225</v>
      </c>
      <c r="AH178" s="182">
        <f>'Output - Jobs vs Yr (BAU)'!AH73</f>
        <v>6063.1784095312041</v>
      </c>
      <c r="AI178" s="80" t="s">
        <v>0</v>
      </c>
    </row>
    <row r="179" spans="1:35">
      <c r="A179" s="75" t="s">
        <v>298</v>
      </c>
      <c r="C179" s="331">
        <f>SUM(C118,C145)</f>
        <v>9207.5920100000021</v>
      </c>
      <c r="D179" s="331">
        <f t="shared" ref="D179:AH179" si="99">SUM(D118,D145)+D249+D252</f>
        <v>8986.9543306276191</v>
      </c>
      <c r="E179" s="331">
        <f t="shared" si="99"/>
        <v>9335.5057891920369</v>
      </c>
      <c r="F179" s="331">
        <f t="shared" si="99"/>
        <v>9702.3923703285727</v>
      </c>
      <c r="G179" s="331">
        <f t="shared" si="99"/>
        <v>9633.5560590795867</v>
      </c>
      <c r="H179" s="402">
        <f>SUM(H118,H145)+H249+H252</f>
        <v>9703.0978649848275</v>
      </c>
      <c r="I179" s="14">
        <f t="shared" si="99"/>
        <v>9641.3461659218283</v>
      </c>
      <c r="J179" s="14">
        <f t="shared" si="99"/>
        <v>9796.8828117101402</v>
      </c>
      <c r="K179" s="14">
        <f t="shared" si="99"/>
        <v>10142.644920137463</v>
      </c>
      <c r="L179" s="14">
        <f t="shared" si="99"/>
        <v>10472.771770614952</v>
      </c>
      <c r="M179" s="14">
        <f t="shared" si="99"/>
        <v>10672.555925485234</v>
      </c>
      <c r="N179" s="187">
        <f t="shared" si="99"/>
        <v>10939.038268402683</v>
      </c>
      <c r="O179" s="14">
        <f t="shared" si="99"/>
        <v>10984.106554161825</v>
      </c>
      <c r="P179" s="14">
        <f t="shared" si="99"/>
        <v>11163.543767662159</v>
      </c>
      <c r="Q179" s="14">
        <f t="shared" si="99"/>
        <v>11377.138637072137</v>
      </c>
      <c r="R179" s="14">
        <f t="shared" si="99"/>
        <v>11487.145515084005</v>
      </c>
      <c r="S179" s="14">
        <f t="shared" si="99"/>
        <v>11658.029541859789</v>
      </c>
      <c r="T179" s="14">
        <f t="shared" si="99"/>
        <v>11860.505794325791</v>
      </c>
      <c r="U179" s="14">
        <f t="shared" si="99"/>
        <v>11997.411947936105</v>
      </c>
      <c r="V179" s="14">
        <f t="shared" si="99"/>
        <v>12092.42614605066</v>
      </c>
      <c r="W179" s="14">
        <f t="shared" si="99"/>
        <v>12268.177540021969</v>
      </c>
      <c r="X179" s="187">
        <f t="shared" si="99"/>
        <v>12436.072237842931</v>
      </c>
      <c r="Y179" s="158">
        <f t="shared" si="99"/>
        <v>12483.593872761372</v>
      </c>
      <c r="Z179" s="158">
        <f t="shared" si="99"/>
        <v>12667.826288399083</v>
      </c>
      <c r="AA179" s="158">
        <f t="shared" si="99"/>
        <v>12797.352445161763</v>
      </c>
      <c r="AB179" s="158">
        <f t="shared" si="99"/>
        <v>12895.182096420767</v>
      </c>
      <c r="AC179" s="158">
        <f t="shared" si="99"/>
        <v>12971.388133366865</v>
      </c>
      <c r="AD179" s="158">
        <f t="shared" si="99"/>
        <v>13002.098569339687</v>
      </c>
      <c r="AE179" s="158">
        <f t="shared" si="99"/>
        <v>13058.258470396686</v>
      </c>
      <c r="AF179" s="158">
        <f t="shared" si="99"/>
        <v>13157.87078910231</v>
      </c>
      <c r="AG179" s="158">
        <f t="shared" si="99"/>
        <v>13340.874313566263</v>
      </c>
      <c r="AH179" s="187">
        <f t="shared" si="99"/>
        <v>13496.615435273308</v>
      </c>
    </row>
    <row r="180" spans="1:35">
      <c r="A180" s="76" t="s">
        <v>302</v>
      </c>
      <c r="C180" s="331">
        <f>C118</f>
        <v>4846.101200000001</v>
      </c>
      <c r="D180" s="331">
        <f t="shared" ref="D180:AH180" si="100">D118+D250+D253</f>
        <v>4729.9761256190504</v>
      </c>
      <c r="E180" s="331">
        <f t="shared" si="100"/>
        <v>4913.4242959844833</v>
      </c>
      <c r="F180" s="331">
        <f t="shared" si="100"/>
        <v>5106.5225390260548</v>
      </c>
      <c r="G180" s="331">
        <f t="shared" si="100"/>
        <v>5070.2929392731276</v>
      </c>
      <c r="H180" s="402">
        <f t="shared" si="100"/>
        <v>5106.8937552551724</v>
      </c>
      <c r="I180" s="14">
        <f t="shared" si="100"/>
        <v>5074.3928841540919</v>
      </c>
      <c r="J180" s="14">
        <f t="shared" si="100"/>
        <v>5156.2543076465454</v>
      </c>
      <c r="K180" s="14">
        <f t="shared" si="100"/>
        <v>5338.2344054640507</v>
      </c>
      <c r="L180" s="14">
        <f t="shared" si="100"/>
        <v>5511.9854272084785</v>
      </c>
      <c r="M180" s="14">
        <f t="shared" si="100"/>
        <v>5617.1350344271423</v>
      </c>
      <c r="N180" s="187">
        <f t="shared" si="100"/>
        <v>5757.3889614922609</v>
      </c>
      <c r="O180" s="14">
        <f t="shared" si="100"/>
        <v>5781.1091203513388</v>
      </c>
      <c r="P180" s="14">
        <f t="shared" si="100"/>
        <v>5875.549772723919</v>
      </c>
      <c r="Q180" s="14">
        <f t="shared" si="100"/>
        <v>5987.9681403819641</v>
      </c>
      <c r="R180" s="14">
        <f t="shared" si="100"/>
        <v>6045.8665089184633</v>
      </c>
      <c r="S180" s="14">
        <f t="shared" si="100"/>
        <v>6135.8054847391459</v>
      </c>
      <c r="T180" s="14">
        <f t="shared" si="100"/>
        <v>6242.3719493824774</v>
      </c>
      <c r="U180" s="14">
        <f t="shared" si="100"/>
        <v>6314.4278333882394</v>
      </c>
      <c r="V180" s="14">
        <f t="shared" si="100"/>
        <v>6364.435318331276</v>
      </c>
      <c r="W180" s="14">
        <f t="shared" si="100"/>
        <v>6456.9360679312276</v>
      </c>
      <c r="X180" s="187">
        <f t="shared" si="100"/>
        <v>6545.3017143338639</v>
      </c>
      <c r="Y180" s="158">
        <f t="shared" si="100"/>
        <v>6570.3131142239708</v>
      </c>
      <c r="Z180" s="158">
        <f t="shared" si="100"/>
        <v>6667.2775630177812</v>
      </c>
      <c r="AA180" s="158">
        <f t="shared" si="100"/>
        <v>6735.4492420213091</v>
      </c>
      <c r="AB180" s="158">
        <f t="shared" si="100"/>
        <v>6786.9385486795854</v>
      </c>
      <c r="AC180" s="158">
        <f t="shared" si="100"/>
        <v>6827.0470050711674</v>
      </c>
      <c r="AD180" s="158">
        <f t="shared" si="100"/>
        <v>6843.2104064754967</v>
      </c>
      <c r="AE180" s="158">
        <f t="shared" si="100"/>
        <v>6872.7682647343681</v>
      </c>
      <c r="AF180" s="158">
        <f t="shared" si="100"/>
        <v>6925.1958190322384</v>
      </c>
      <c r="AG180" s="158">
        <f t="shared" si="100"/>
        <v>7021.5134863637732</v>
      </c>
      <c r="AH180" s="187">
        <f t="shared" si="100"/>
        <v>7103.4825198457438</v>
      </c>
    </row>
    <row r="181" spans="1:35">
      <c r="A181" s="76" t="s">
        <v>303</v>
      </c>
      <c r="C181" s="331">
        <f>C145</f>
        <v>4361.4908100000011</v>
      </c>
      <c r="D181" s="331">
        <f t="shared" ref="D181:AH181" si="101">D145+D251+D254</f>
        <v>4256.9782050085687</v>
      </c>
      <c r="E181" s="331">
        <f t="shared" si="101"/>
        <v>4422.0814932075527</v>
      </c>
      <c r="F181" s="331">
        <f t="shared" si="101"/>
        <v>4595.8698313025188</v>
      </c>
      <c r="G181" s="331">
        <f t="shared" si="101"/>
        <v>4563.2631198064601</v>
      </c>
      <c r="H181" s="402">
        <f>H145+H251+H254</f>
        <v>4596.2041097296551</v>
      </c>
      <c r="I181" s="14">
        <f t="shared" si="101"/>
        <v>4566.9532817677364</v>
      </c>
      <c r="J181" s="14">
        <f t="shared" si="101"/>
        <v>4640.6285040635958</v>
      </c>
      <c r="K181" s="14">
        <f t="shared" si="101"/>
        <v>4804.4105146734128</v>
      </c>
      <c r="L181" s="14">
        <f t="shared" si="101"/>
        <v>4960.786343406473</v>
      </c>
      <c r="M181" s="14">
        <f t="shared" si="101"/>
        <v>5055.4208910580919</v>
      </c>
      <c r="N181" s="187">
        <f t="shared" si="101"/>
        <v>5181.6493069104217</v>
      </c>
      <c r="O181" s="14">
        <f t="shared" si="101"/>
        <v>5202.9974338104857</v>
      </c>
      <c r="P181" s="14">
        <f t="shared" si="101"/>
        <v>5287.9939949382397</v>
      </c>
      <c r="Q181" s="14">
        <f t="shared" si="101"/>
        <v>5389.1704966901743</v>
      </c>
      <c r="R181" s="14">
        <f t="shared" si="101"/>
        <v>5441.2790061655405</v>
      </c>
      <c r="S181" s="14">
        <f t="shared" si="101"/>
        <v>5522.224057120643</v>
      </c>
      <c r="T181" s="14">
        <f t="shared" si="101"/>
        <v>5618.1338449433133</v>
      </c>
      <c r="U181" s="14">
        <f t="shared" si="101"/>
        <v>5682.9841145478658</v>
      </c>
      <c r="V181" s="14">
        <f t="shared" si="101"/>
        <v>5727.9908277193836</v>
      </c>
      <c r="W181" s="14">
        <f t="shared" si="101"/>
        <v>5811.2414720907409</v>
      </c>
      <c r="X181" s="187">
        <f t="shared" si="101"/>
        <v>5890.7705235090671</v>
      </c>
      <c r="Y181" s="158">
        <f t="shared" si="101"/>
        <v>5913.2807585374012</v>
      </c>
      <c r="Z181" s="158">
        <f t="shared" si="101"/>
        <v>6000.5487253813026</v>
      </c>
      <c r="AA181" s="158">
        <f t="shared" si="101"/>
        <v>6061.903203140454</v>
      </c>
      <c r="AB181" s="158">
        <f t="shared" si="101"/>
        <v>6108.2435477411818</v>
      </c>
      <c r="AC181" s="158">
        <f t="shared" si="101"/>
        <v>6144.3411282956968</v>
      </c>
      <c r="AD181" s="158">
        <f t="shared" si="101"/>
        <v>6158.8881628641893</v>
      </c>
      <c r="AE181" s="158">
        <f t="shared" si="101"/>
        <v>6185.4902056623177</v>
      </c>
      <c r="AF181" s="158">
        <f t="shared" si="101"/>
        <v>6232.6749700700711</v>
      </c>
      <c r="AG181" s="158">
        <f t="shared" si="101"/>
        <v>6319.3608272024894</v>
      </c>
      <c r="AH181" s="187">
        <f t="shared" si="101"/>
        <v>6393.1329154275645</v>
      </c>
      <c r="AI181" s="31" t="s">
        <v>0</v>
      </c>
    </row>
    <row r="182" spans="1:35" s="1" customFormat="1">
      <c r="A182" s="75" t="s">
        <v>304</v>
      </c>
      <c r="B182" s="13"/>
      <c r="C182" s="341" t="s">
        <v>0</v>
      </c>
      <c r="D182" s="341">
        <f t="shared" ref="D182:AH182" si="102">D179-D176</f>
        <v>29.345050627618548</v>
      </c>
      <c r="E182" s="341">
        <f t="shared" si="102"/>
        <v>62.007902732711955</v>
      </c>
      <c r="F182" s="341">
        <f t="shared" si="102"/>
        <v>114.02097044620496</v>
      </c>
      <c r="G182" s="341">
        <f t="shared" si="102"/>
        <v>166.0583646338946</v>
      </c>
      <c r="H182" s="405">
        <f>H179-H176</f>
        <v>-0.21554000000105589</v>
      </c>
      <c r="I182" s="15">
        <f t="shared" si="102"/>
        <v>37.674868644915477</v>
      </c>
      <c r="J182" s="15">
        <f t="shared" si="102"/>
        <v>71.976707781734149</v>
      </c>
      <c r="K182" s="15">
        <f t="shared" si="102"/>
        <v>123.16057292073856</v>
      </c>
      <c r="L182" s="15">
        <f t="shared" si="102"/>
        <v>217.32184818577662</v>
      </c>
      <c r="M182" s="15">
        <f t="shared" si="102"/>
        <v>353.71556670960126</v>
      </c>
      <c r="N182" s="190">
        <f t="shared" si="102"/>
        <v>542.29650808575752</v>
      </c>
      <c r="O182" s="15">
        <f t="shared" si="102"/>
        <v>546.33406034291875</v>
      </c>
      <c r="P182" s="15">
        <f t="shared" si="102"/>
        <v>552.90846364714889</v>
      </c>
      <c r="Q182" s="15">
        <f t="shared" si="102"/>
        <v>556.85190307983976</v>
      </c>
      <c r="R182" s="15">
        <f t="shared" si="102"/>
        <v>550.95405313356969</v>
      </c>
      <c r="S182" s="15">
        <f t="shared" si="102"/>
        <v>557.61885785729464</v>
      </c>
      <c r="T182" s="15">
        <f t="shared" si="102"/>
        <v>559.51682062492364</v>
      </c>
      <c r="U182" s="15">
        <f t="shared" si="102"/>
        <v>559.98443484351992</v>
      </c>
      <c r="V182" s="15">
        <f t="shared" si="102"/>
        <v>570.07597993282798</v>
      </c>
      <c r="W182" s="15">
        <f t="shared" si="102"/>
        <v>600.5618551915577</v>
      </c>
      <c r="X182" s="190">
        <f t="shared" si="102"/>
        <v>619.56438025367243</v>
      </c>
      <c r="Y182" s="130">
        <f t="shared" si="102"/>
        <v>609.3801974958551</v>
      </c>
      <c r="Z182" s="130">
        <f t="shared" si="102"/>
        <v>592.35248646270884</v>
      </c>
      <c r="AA182" s="130">
        <f t="shared" si="102"/>
        <v>577.42906536997907</v>
      </c>
      <c r="AB182" s="130">
        <f t="shared" si="102"/>
        <v>560.35235912976168</v>
      </c>
      <c r="AC182" s="130">
        <f t="shared" si="102"/>
        <v>579.86322772451058</v>
      </c>
      <c r="AD182" s="130">
        <f t="shared" si="102"/>
        <v>587.68405896308468</v>
      </c>
      <c r="AE182" s="130">
        <f t="shared" si="102"/>
        <v>601.91731887304195</v>
      </c>
      <c r="AF182" s="130">
        <f t="shared" si="102"/>
        <v>622.8307202351225</v>
      </c>
      <c r="AG182" s="130">
        <f t="shared" si="102"/>
        <v>653.75716150984954</v>
      </c>
      <c r="AH182" s="190">
        <f t="shared" si="102"/>
        <v>696.5721262629886</v>
      </c>
    </row>
    <row r="183" spans="1:35" s="20" customFormat="1">
      <c r="A183" s="20" t="s">
        <v>305</v>
      </c>
      <c r="B183" s="33"/>
      <c r="C183" s="334" t="s">
        <v>0</v>
      </c>
      <c r="D183" s="334">
        <f t="shared" ref="D183:AH183" si="103">D180-D177</f>
        <v>15.444925619050082</v>
      </c>
      <c r="E183" s="334">
        <f t="shared" si="103"/>
        <v>32.635934690101749</v>
      </c>
      <c r="F183" s="334">
        <f t="shared" si="103"/>
        <v>60.011275930071861</v>
      </c>
      <c r="G183" s="334">
        <f t="shared" si="103"/>
        <v>87.399415880658125</v>
      </c>
      <c r="H183" s="404">
        <f>H180-H177</f>
        <v>-0.11330000000089058</v>
      </c>
      <c r="I183" s="19">
        <f t="shared" si="103"/>
        <v>19.82904348203283</v>
      </c>
      <c r="J183" s="19">
        <f t="shared" si="103"/>
        <v>37.882674000015868</v>
      </c>
      <c r="K183" s="19">
        <f t="shared" si="103"/>
        <v>64.821591139459088</v>
      </c>
      <c r="L183" s="19">
        <f t="shared" si="103"/>
        <v>114.3802048773332</v>
      </c>
      <c r="M183" s="19">
        <f t="shared" si="103"/>
        <v>186.16642454523117</v>
      </c>
      <c r="N183" s="182">
        <f t="shared" si="103"/>
        <v>285.41961395703674</v>
      </c>
      <c r="O183" s="19">
        <f t="shared" si="103"/>
        <v>287.54464992033536</v>
      </c>
      <c r="P183" s="19">
        <f t="shared" si="103"/>
        <v>291.00487587391399</v>
      </c>
      <c r="Q183" s="19">
        <f t="shared" si="103"/>
        <v>293.0803856491757</v>
      </c>
      <c r="R183" s="19">
        <f t="shared" si="103"/>
        <v>289.97626578665586</v>
      </c>
      <c r="S183" s="19">
        <f t="shared" si="103"/>
        <v>293.48407210625464</v>
      </c>
      <c r="T183" s="19">
        <f t="shared" si="103"/>
        <v>294.48301585570607</v>
      </c>
      <c r="U183" s="19">
        <f t="shared" si="103"/>
        <v>294.72914228687841</v>
      </c>
      <c r="V183" s="19">
        <f t="shared" si="103"/>
        <v>300.0404940587332</v>
      </c>
      <c r="W183" s="19">
        <f t="shared" si="103"/>
        <v>316.08570749416958</v>
      </c>
      <c r="X183" s="182">
        <f t="shared" si="103"/>
        <v>326.08705244478006</v>
      </c>
      <c r="Y183" s="206">
        <f t="shared" si="103"/>
        <v>320.72696934738269</v>
      </c>
      <c r="Z183" s="206">
        <f t="shared" si="103"/>
        <v>311.76503568284716</v>
      </c>
      <c r="AA183" s="206">
        <f t="shared" si="103"/>
        <v>303.91062107826474</v>
      </c>
      <c r="AB183" s="206">
        <f t="shared" si="103"/>
        <v>294.92289747379255</v>
      </c>
      <c r="AC183" s="206">
        <f t="shared" si="103"/>
        <v>305.19179157519193</v>
      </c>
      <c r="AD183" s="206">
        <f t="shared" si="103"/>
        <v>309.30803259307413</v>
      </c>
      <c r="AE183" s="206">
        <f t="shared" si="103"/>
        <v>316.79923761666032</v>
      </c>
      <c r="AF183" s="206">
        <f t="shared" si="103"/>
        <v>327.8063091021404</v>
      </c>
      <c r="AG183" s="206">
        <f t="shared" si="103"/>
        <v>344.0834063340817</v>
      </c>
      <c r="AH183" s="182">
        <f t="shared" si="103"/>
        <v>366.61762036662822</v>
      </c>
    </row>
    <row r="184" spans="1:35" s="20" customFormat="1">
      <c r="A184" s="20" t="s">
        <v>306</v>
      </c>
      <c r="B184" s="33"/>
      <c r="C184" s="334" t="s">
        <v>0</v>
      </c>
      <c r="D184" s="334">
        <f t="shared" ref="D184:AH184" si="104">D181-D178</f>
        <v>13.900125008568466</v>
      </c>
      <c r="E184" s="334">
        <f t="shared" si="104"/>
        <v>29.371968042608387</v>
      </c>
      <c r="F184" s="334">
        <f t="shared" si="104"/>
        <v>54.009694516134005</v>
      </c>
      <c r="G184" s="334">
        <f t="shared" si="104"/>
        <v>78.658948753237382</v>
      </c>
      <c r="H184" s="404">
        <f t="shared" si="104"/>
        <v>-0.10224000000016531</v>
      </c>
      <c r="I184" s="19">
        <f t="shared" si="104"/>
        <v>17.845825162882647</v>
      </c>
      <c r="J184" s="19">
        <f t="shared" si="104"/>
        <v>34.09403378171919</v>
      </c>
      <c r="K184" s="19">
        <f t="shared" si="104"/>
        <v>58.338981781279472</v>
      </c>
      <c r="L184" s="19">
        <f t="shared" si="104"/>
        <v>102.9416433084416</v>
      </c>
      <c r="M184" s="19">
        <f t="shared" si="104"/>
        <v>167.54914216437101</v>
      </c>
      <c r="N184" s="182">
        <f t="shared" si="104"/>
        <v>256.87689412872078</v>
      </c>
      <c r="O184" s="19">
        <f t="shared" si="104"/>
        <v>258.78941042258248</v>
      </c>
      <c r="P184" s="19">
        <f t="shared" si="104"/>
        <v>261.90358777323581</v>
      </c>
      <c r="Q184" s="19">
        <f t="shared" si="104"/>
        <v>263.77151743066497</v>
      </c>
      <c r="R184" s="19">
        <f t="shared" si="104"/>
        <v>260.97778734691383</v>
      </c>
      <c r="S184" s="19">
        <f t="shared" si="104"/>
        <v>264.13478575104091</v>
      </c>
      <c r="T184" s="19">
        <f t="shared" si="104"/>
        <v>265.03380476921848</v>
      </c>
      <c r="U184" s="19">
        <f t="shared" si="104"/>
        <v>265.25529255664151</v>
      </c>
      <c r="V184" s="19">
        <f t="shared" si="104"/>
        <v>270.03548587409387</v>
      </c>
      <c r="W184" s="19">
        <f t="shared" si="104"/>
        <v>284.47614769738811</v>
      </c>
      <c r="X184" s="182">
        <f t="shared" si="104"/>
        <v>293.47732780889237</v>
      </c>
      <c r="Y184" s="206">
        <f t="shared" si="104"/>
        <v>288.6532281484715</v>
      </c>
      <c r="Z184" s="206">
        <f t="shared" si="104"/>
        <v>280.58745077986259</v>
      </c>
      <c r="AA184" s="206">
        <f t="shared" si="104"/>
        <v>273.51844429171524</v>
      </c>
      <c r="AB184" s="206">
        <f t="shared" si="104"/>
        <v>265.42946165596823</v>
      </c>
      <c r="AC184" s="206">
        <f t="shared" si="104"/>
        <v>274.67143614931774</v>
      </c>
      <c r="AD184" s="206">
        <f t="shared" si="104"/>
        <v>278.37602637000964</v>
      </c>
      <c r="AE184" s="206">
        <f t="shared" si="104"/>
        <v>285.11808125638163</v>
      </c>
      <c r="AF184" s="206">
        <f t="shared" si="104"/>
        <v>295.0244111329821</v>
      </c>
      <c r="AG184" s="206">
        <f t="shared" si="104"/>
        <v>309.67375517576693</v>
      </c>
      <c r="AH184" s="182">
        <f t="shared" si="104"/>
        <v>329.95450589636039</v>
      </c>
    </row>
    <row r="185" spans="1:35" s="1" customFormat="1">
      <c r="A185" s="1" t="s">
        <v>450</v>
      </c>
      <c r="B185" s="13"/>
      <c r="C185" s="341"/>
      <c r="D185" s="341">
        <f>D182</f>
        <v>29.345050627618548</v>
      </c>
      <c r="E185" s="341">
        <f>D185+E182</f>
        <v>91.352953360330503</v>
      </c>
      <c r="F185" s="341">
        <f t="shared" ref="E185:N187" si="105">E185+F182</f>
        <v>205.37392380653546</v>
      </c>
      <c r="G185" s="341">
        <f t="shared" si="105"/>
        <v>371.43228844043006</v>
      </c>
      <c r="H185" s="405">
        <f>+H182</f>
        <v>-0.21554000000105589</v>
      </c>
      <c r="I185" s="15">
        <f t="shared" si="105"/>
        <v>37.459328644914422</v>
      </c>
      <c r="J185" s="15">
        <f t="shared" si="105"/>
        <v>109.43603642664857</v>
      </c>
      <c r="K185" s="15">
        <f t="shared" si="105"/>
        <v>232.59660934738713</v>
      </c>
      <c r="L185" s="15">
        <f t="shared" si="105"/>
        <v>449.91845753316375</v>
      </c>
      <c r="M185" s="15">
        <f t="shared" si="105"/>
        <v>803.63402424276501</v>
      </c>
      <c r="N185" s="15">
        <f t="shared" si="105"/>
        <v>1345.9305323285225</v>
      </c>
      <c r="O185" s="15">
        <f t="shared" ref="O185:X185" si="106">N185+O182</f>
        <v>1892.2645926714413</v>
      </c>
      <c r="P185" s="15">
        <f t="shared" si="106"/>
        <v>2445.1730563185902</v>
      </c>
      <c r="Q185" s="15">
        <f t="shared" si="106"/>
        <v>3002.0249593984299</v>
      </c>
      <c r="R185" s="15">
        <f t="shared" si="106"/>
        <v>3552.9790125319996</v>
      </c>
      <c r="S185" s="130">
        <f t="shared" si="106"/>
        <v>4110.5978703892943</v>
      </c>
      <c r="T185" s="15">
        <f t="shared" si="106"/>
        <v>4670.1146910142179</v>
      </c>
      <c r="U185" s="15">
        <f t="shared" si="106"/>
        <v>5230.0991258577378</v>
      </c>
      <c r="V185" s="15">
        <f t="shared" si="106"/>
        <v>5800.1751057905658</v>
      </c>
      <c r="W185" s="15">
        <f t="shared" si="106"/>
        <v>6400.7369609821235</v>
      </c>
      <c r="X185" s="190">
        <f t="shared" si="106"/>
        <v>7020.3013412357959</v>
      </c>
      <c r="Y185" s="130">
        <f t="shared" ref="Y185:AH185" si="107">X185+Y182</f>
        <v>7629.681538731651</v>
      </c>
      <c r="Z185" s="130">
        <f t="shared" si="107"/>
        <v>8222.0340251943599</v>
      </c>
      <c r="AA185" s="130">
        <f t="shared" si="107"/>
        <v>8799.4630905643389</v>
      </c>
      <c r="AB185" s="130">
        <f t="shared" si="107"/>
        <v>9359.8154496941006</v>
      </c>
      <c r="AC185" s="130">
        <f t="shared" si="107"/>
        <v>9939.6786774186112</v>
      </c>
      <c r="AD185" s="130">
        <f t="shared" si="107"/>
        <v>10527.362736381696</v>
      </c>
      <c r="AE185" s="130">
        <f t="shared" si="107"/>
        <v>11129.280055254738</v>
      </c>
      <c r="AF185" s="130">
        <f t="shared" si="107"/>
        <v>11752.11077548986</v>
      </c>
      <c r="AG185" s="130">
        <f t="shared" si="107"/>
        <v>12405.86793699971</v>
      </c>
      <c r="AH185" s="190">
        <f t="shared" si="107"/>
        <v>13102.440063262698</v>
      </c>
    </row>
    <row r="186" spans="1:35" s="20" customFormat="1">
      <c r="A186" s="20" t="s">
        <v>451</v>
      </c>
      <c r="B186" s="33"/>
      <c r="C186" s="334"/>
      <c r="D186" s="334">
        <f>D183</f>
        <v>15.444925619050082</v>
      </c>
      <c r="E186" s="334">
        <f t="shared" si="105"/>
        <v>48.080860309151831</v>
      </c>
      <c r="F186" s="334">
        <f t="shared" si="105"/>
        <v>108.09213623922369</v>
      </c>
      <c r="G186" s="334">
        <f t="shared" si="105"/>
        <v>195.49155211988182</v>
      </c>
      <c r="H186" s="404">
        <f t="shared" si="105"/>
        <v>195.37825211988093</v>
      </c>
      <c r="I186" s="19">
        <f t="shared" ref="I186:X186" si="108">H186+I183</f>
        <v>215.20729560191376</v>
      </c>
      <c r="J186" s="19">
        <f t="shared" si="108"/>
        <v>253.08996960192962</v>
      </c>
      <c r="K186" s="19">
        <f t="shared" si="108"/>
        <v>317.91156074138871</v>
      </c>
      <c r="L186" s="19">
        <f t="shared" si="108"/>
        <v>432.29176561872191</v>
      </c>
      <c r="M186" s="19">
        <f t="shared" si="108"/>
        <v>618.45819016395308</v>
      </c>
      <c r="N186" s="182">
        <f t="shared" si="108"/>
        <v>903.87780412098982</v>
      </c>
      <c r="O186" s="19">
        <f t="shared" si="108"/>
        <v>1191.4224540413252</v>
      </c>
      <c r="P186" s="19">
        <f t="shared" si="108"/>
        <v>1482.4273299152392</v>
      </c>
      <c r="Q186" s="19">
        <f t="shared" si="108"/>
        <v>1775.5077155644149</v>
      </c>
      <c r="R186" s="19">
        <f t="shared" si="108"/>
        <v>2065.4839813510707</v>
      </c>
      <c r="S186" s="206">
        <f t="shared" si="108"/>
        <v>2358.9680534573254</v>
      </c>
      <c r="T186" s="19">
        <f t="shared" si="108"/>
        <v>2653.4510693130314</v>
      </c>
      <c r="U186" s="19">
        <f t="shared" si="108"/>
        <v>2948.1802115999099</v>
      </c>
      <c r="V186" s="19">
        <f t="shared" si="108"/>
        <v>3248.2207056586431</v>
      </c>
      <c r="W186" s="19">
        <f t="shared" si="108"/>
        <v>3564.3064131528126</v>
      </c>
      <c r="X186" s="182">
        <f t="shared" si="108"/>
        <v>3890.3934655975927</v>
      </c>
      <c r="Y186" s="206">
        <f t="shared" ref="Y186:AH186" si="109">X186+Y183</f>
        <v>4211.1204349449754</v>
      </c>
      <c r="Z186" s="206">
        <f t="shared" si="109"/>
        <v>4522.8854706278225</v>
      </c>
      <c r="AA186" s="206">
        <f t="shared" si="109"/>
        <v>4826.7960917060873</v>
      </c>
      <c r="AB186" s="206">
        <f t="shared" si="109"/>
        <v>5121.7189891798798</v>
      </c>
      <c r="AC186" s="206">
        <f t="shared" si="109"/>
        <v>5426.9107807550718</v>
      </c>
      <c r="AD186" s="206">
        <f t="shared" si="109"/>
        <v>5736.2188133481459</v>
      </c>
      <c r="AE186" s="206">
        <f t="shared" si="109"/>
        <v>6053.0180509648062</v>
      </c>
      <c r="AF186" s="206">
        <f t="shared" si="109"/>
        <v>6380.8243600669466</v>
      </c>
      <c r="AG186" s="206">
        <f t="shared" si="109"/>
        <v>6724.9077664010283</v>
      </c>
      <c r="AH186" s="182">
        <f t="shared" si="109"/>
        <v>7091.5253867676565</v>
      </c>
    </row>
    <row r="187" spans="1:35" s="20" customFormat="1">
      <c r="A187" s="20" t="s">
        <v>452</v>
      </c>
      <c r="B187" s="33"/>
      <c r="C187" s="334"/>
      <c r="D187" s="334">
        <f>D184</f>
        <v>13.900125008568466</v>
      </c>
      <c r="E187" s="334">
        <f t="shared" si="105"/>
        <v>43.272093051176853</v>
      </c>
      <c r="F187" s="334">
        <f t="shared" si="105"/>
        <v>97.281787567310857</v>
      </c>
      <c r="G187" s="334">
        <f t="shared" si="105"/>
        <v>175.94073632054824</v>
      </c>
      <c r="H187" s="404">
        <f t="shared" si="105"/>
        <v>175.83849632054807</v>
      </c>
      <c r="I187" s="19">
        <f t="shared" ref="I187:X187" si="110">H187+I184</f>
        <v>193.68432148343072</v>
      </c>
      <c r="J187" s="19">
        <f t="shared" si="110"/>
        <v>227.77835526514991</v>
      </c>
      <c r="K187" s="19">
        <f t="shared" si="110"/>
        <v>286.11733704642938</v>
      </c>
      <c r="L187" s="19">
        <f t="shared" si="110"/>
        <v>389.05898035487098</v>
      </c>
      <c r="M187" s="19">
        <f t="shared" si="110"/>
        <v>556.60812251924199</v>
      </c>
      <c r="N187" s="182">
        <f t="shared" si="110"/>
        <v>813.48501664796277</v>
      </c>
      <c r="O187" s="19">
        <f t="shared" si="110"/>
        <v>1072.2744270705452</v>
      </c>
      <c r="P187" s="19">
        <f t="shared" si="110"/>
        <v>1334.1780148437811</v>
      </c>
      <c r="Q187" s="19">
        <f t="shared" si="110"/>
        <v>1597.949532274446</v>
      </c>
      <c r="R187" s="19">
        <f t="shared" si="110"/>
        <v>1858.9273196213599</v>
      </c>
      <c r="S187" s="206">
        <f t="shared" si="110"/>
        <v>2123.0621053724008</v>
      </c>
      <c r="T187" s="19">
        <f t="shared" si="110"/>
        <v>2388.0959101416192</v>
      </c>
      <c r="U187" s="19">
        <f t="shared" si="110"/>
        <v>2653.3512026982607</v>
      </c>
      <c r="V187" s="19">
        <f t="shared" si="110"/>
        <v>2923.3866885723546</v>
      </c>
      <c r="W187" s="19">
        <f t="shared" si="110"/>
        <v>3207.8628362697427</v>
      </c>
      <c r="X187" s="182">
        <f t="shared" si="110"/>
        <v>3501.3401640786351</v>
      </c>
      <c r="Y187" s="206">
        <f t="shared" ref="Y187:AH187" si="111">X187+Y184</f>
        <v>3789.9933922271066</v>
      </c>
      <c r="Z187" s="206">
        <f t="shared" si="111"/>
        <v>4070.5808430069692</v>
      </c>
      <c r="AA187" s="206">
        <f t="shared" si="111"/>
        <v>4344.0992872986844</v>
      </c>
      <c r="AB187" s="206">
        <f t="shared" si="111"/>
        <v>4609.5287489546527</v>
      </c>
      <c r="AC187" s="206">
        <f t="shared" si="111"/>
        <v>4884.2001851039704</v>
      </c>
      <c r="AD187" s="206">
        <f t="shared" si="111"/>
        <v>5162.57621147398</v>
      </c>
      <c r="AE187" s="206">
        <f t="shared" si="111"/>
        <v>5447.6942927303617</v>
      </c>
      <c r="AF187" s="206">
        <f t="shared" si="111"/>
        <v>5742.7187038633438</v>
      </c>
      <c r="AG187" s="206">
        <f t="shared" si="111"/>
        <v>6052.3924590391107</v>
      </c>
      <c r="AH187" s="182">
        <f t="shared" si="111"/>
        <v>6382.3469649354711</v>
      </c>
    </row>
    <row r="188" spans="1:35" s="519" customFormat="1">
      <c r="A188" s="519" t="s">
        <v>550</v>
      </c>
      <c r="B188" s="520"/>
      <c r="C188" s="521"/>
      <c r="D188"/>
      <c r="E188"/>
      <c r="F188"/>
      <c r="G188"/>
      <c r="H188"/>
      <c r="I188"/>
      <c r="J188"/>
      <c r="K188"/>
      <c r="L188"/>
      <c r="M188"/>
      <c r="N188"/>
      <c r="O188"/>
      <c r="P188"/>
      <c r="Q188"/>
      <c r="R188"/>
      <c r="S188"/>
      <c r="T188"/>
      <c r="U188"/>
      <c r="V188"/>
      <c r="W188"/>
      <c r="X188"/>
      <c r="Y188"/>
      <c r="Z188"/>
      <c r="AA188"/>
      <c r="AB188"/>
      <c r="AC188"/>
      <c r="AD188"/>
      <c r="AE188" s="523"/>
      <c r="AF188" s="523"/>
      <c r="AG188" s="523"/>
      <c r="AH188" s="522"/>
    </row>
    <row r="189" spans="1:35" s="1" customFormat="1">
      <c r="B189" s="13"/>
      <c r="C189" s="341"/>
      <c r="D189" s="341"/>
      <c r="E189" s="341"/>
      <c r="F189" s="341"/>
      <c r="G189" s="341"/>
      <c r="H189" s="405"/>
      <c r="I189" s="15" t="s">
        <v>0</v>
      </c>
      <c r="J189" s="15" t="s">
        <v>0</v>
      </c>
      <c r="K189" s="15" t="s">
        <v>0</v>
      </c>
      <c r="L189" s="15" t="s">
        <v>0</v>
      </c>
      <c r="M189" s="15" t="s">
        <v>0</v>
      </c>
      <c r="N189" s="15" t="s">
        <v>0</v>
      </c>
      <c r="O189" s="130"/>
      <c r="P189" s="130"/>
      <c r="Q189" s="130"/>
      <c r="R189" s="130"/>
      <c r="S189" s="158"/>
      <c r="T189" s="130"/>
      <c r="U189" s="15"/>
      <c r="V189" s="15"/>
      <c r="W189" s="15"/>
      <c r="X189" s="190"/>
      <c r="Y189"/>
      <c r="Z189"/>
      <c r="AA189"/>
      <c r="AB189"/>
      <c r="AC189"/>
      <c r="AD189"/>
      <c r="AE189"/>
      <c r="AF189"/>
      <c r="AG189"/>
      <c r="AH189" s="280"/>
    </row>
    <row r="190" spans="1:35" s="1" customFormat="1">
      <c r="A190" s="1" t="s">
        <v>412</v>
      </c>
      <c r="B190" s="13"/>
      <c r="C190" s="328"/>
      <c r="D190" s="328"/>
      <c r="E190" s="328"/>
      <c r="F190" s="328"/>
      <c r="G190" s="328"/>
      <c r="H190" s="400"/>
      <c r="I190" s="15" t="s">
        <v>0</v>
      </c>
      <c r="J190" s="13"/>
      <c r="K190" s="13"/>
      <c r="L190" s="13"/>
      <c r="M190" s="13"/>
      <c r="N190" s="191"/>
      <c r="O190" s="13"/>
      <c r="P190" s="13"/>
      <c r="Q190" s="13"/>
      <c r="R190" s="13"/>
      <c r="T190" s="13"/>
      <c r="U190" s="13"/>
      <c r="V190" s="13"/>
      <c r="W190" s="13"/>
      <c r="X190" s="176"/>
      <c r="Y190"/>
      <c r="Z190"/>
      <c r="AA190"/>
      <c r="AB190"/>
      <c r="AC190"/>
      <c r="AD190"/>
      <c r="AE190"/>
      <c r="AF190"/>
      <c r="AG190"/>
      <c r="AH190" s="280"/>
    </row>
    <row r="191" spans="1:35">
      <c r="A191" t="s">
        <v>406</v>
      </c>
      <c r="I191" s="112"/>
      <c r="J191" s="112"/>
      <c r="K191" s="112"/>
      <c r="L191" s="112"/>
      <c r="M191" s="131"/>
      <c r="N191" s="192"/>
      <c r="O191" s="131"/>
      <c r="P191" s="112"/>
      <c r="Q191" s="112"/>
      <c r="R191" s="131"/>
      <c r="S191" s="131"/>
      <c r="T191" s="131"/>
      <c r="U191" s="131"/>
      <c r="V191" s="112"/>
      <c r="W191" s="112"/>
    </row>
    <row r="192" spans="1:35">
      <c r="A192" t="s">
        <v>407</v>
      </c>
      <c r="I192" s="112"/>
      <c r="J192" s="112"/>
      <c r="K192" s="112"/>
      <c r="L192" s="112"/>
      <c r="M192" s="131"/>
      <c r="N192" s="192"/>
      <c r="O192" s="131"/>
      <c r="P192" s="112"/>
      <c r="Q192" s="112"/>
      <c r="R192" s="131"/>
      <c r="S192" s="131"/>
      <c r="T192" s="131"/>
      <c r="U192" s="131"/>
      <c r="V192" s="112"/>
      <c r="W192" s="112"/>
    </row>
    <row r="193" spans="1:34">
      <c r="A193" t="s">
        <v>408</v>
      </c>
      <c r="I193" s="112"/>
      <c r="J193" s="112"/>
      <c r="K193" s="112"/>
      <c r="L193" s="112"/>
      <c r="M193" s="131"/>
      <c r="N193" s="192"/>
      <c r="O193" s="131"/>
      <c r="P193" s="112"/>
      <c r="Q193" s="112"/>
      <c r="R193" s="131"/>
      <c r="S193" s="131"/>
      <c r="T193" s="131"/>
      <c r="U193" s="131"/>
      <c r="V193" s="112"/>
      <c r="W193" s="112"/>
    </row>
    <row r="194" spans="1:34">
      <c r="A194" t="s">
        <v>388</v>
      </c>
      <c r="C194" s="331">
        <f>SUM(C195:C196)</f>
        <v>197.89013</v>
      </c>
      <c r="D194" s="331">
        <f t="shared" ref="D194:AH194" si="112">SUM(D195:D196)</f>
        <v>292.24413000000004</v>
      </c>
      <c r="E194" s="331">
        <f t="shared" si="112"/>
        <v>331.97094088524636</v>
      </c>
      <c r="F194" s="331">
        <f t="shared" si="112"/>
        <v>367.19823241079655</v>
      </c>
      <c r="G194" s="331">
        <f t="shared" si="112"/>
        <v>433.6062948345413</v>
      </c>
      <c r="H194" s="402">
        <f t="shared" si="112"/>
        <v>445.21242143738584</v>
      </c>
      <c r="I194" s="14">
        <f t="shared" si="112"/>
        <v>466.08871898878056</v>
      </c>
      <c r="J194" s="14">
        <f t="shared" si="112"/>
        <v>522.81452996672306</v>
      </c>
      <c r="K194" s="14">
        <f t="shared" si="112"/>
        <v>596.3861120907701</v>
      </c>
      <c r="L194" s="14">
        <f t="shared" si="112"/>
        <v>637.80932816128359</v>
      </c>
      <c r="M194" s="14">
        <f t="shared" si="112"/>
        <v>655.35768747344537</v>
      </c>
      <c r="N194" s="187">
        <f t="shared" si="112"/>
        <v>658.6944770090297</v>
      </c>
      <c r="O194" s="14">
        <f t="shared" si="112"/>
        <v>680.58536101438563</v>
      </c>
      <c r="P194" s="14">
        <f t="shared" si="112"/>
        <v>719.20023176478128</v>
      </c>
      <c r="Q194" s="14">
        <f t="shared" si="112"/>
        <v>771.75864805671483</v>
      </c>
      <c r="R194" s="14">
        <f t="shared" si="112"/>
        <v>827.41938726485068</v>
      </c>
      <c r="S194" s="15">
        <f t="shared" si="112"/>
        <v>866.88870590691158</v>
      </c>
      <c r="T194" s="14">
        <f t="shared" si="112"/>
        <v>925.49925905957309</v>
      </c>
      <c r="U194" s="14">
        <f t="shared" si="112"/>
        <v>976.09483135129062</v>
      </c>
      <c r="V194" s="14">
        <f t="shared" si="112"/>
        <v>1003.8381086065378</v>
      </c>
      <c r="W194" s="14">
        <f t="shared" si="112"/>
        <v>1007.1974021089009</v>
      </c>
      <c r="X194" s="187">
        <f t="shared" si="112"/>
        <v>1033.5298765077498</v>
      </c>
      <c r="Y194" s="158">
        <f t="shared" si="112"/>
        <v>1102.0270199729002</v>
      </c>
      <c r="Z194" s="158">
        <f t="shared" si="112"/>
        <v>1205.0541104841138</v>
      </c>
      <c r="AA194" s="158">
        <f t="shared" si="112"/>
        <v>1299.571953959522</v>
      </c>
      <c r="AB194" s="158">
        <f t="shared" si="112"/>
        <v>1392.8437893187452</v>
      </c>
      <c r="AC194" s="158">
        <f t="shared" si="112"/>
        <v>1416.2810181985228</v>
      </c>
      <c r="AD194" s="158">
        <f t="shared" si="112"/>
        <v>1465.064462958836</v>
      </c>
      <c r="AE194" s="158">
        <f t="shared" si="112"/>
        <v>1506.7633880448116</v>
      </c>
      <c r="AF194" s="158">
        <f t="shared" si="112"/>
        <v>1540.4252497819321</v>
      </c>
      <c r="AG194" s="158">
        <f t="shared" si="112"/>
        <v>1572.4002788982516</v>
      </c>
      <c r="AH194" s="187">
        <f t="shared" si="112"/>
        <v>1581.2789750071574</v>
      </c>
    </row>
    <row r="195" spans="1:34">
      <c r="A195" t="s">
        <v>389</v>
      </c>
      <c r="C195" s="330">
        <f>'Output - Jobs vs Yr (BAU)'!C51</f>
        <v>104.15270000000001</v>
      </c>
      <c r="D195" s="330">
        <f>'Output - Jobs vs Yr (BAU)'!D51</f>
        <v>153.81270000000001</v>
      </c>
      <c r="E195" s="330">
        <f>'Output - Jobs vs Yr (BAU)'!E51</f>
        <v>174.72154783434019</v>
      </c>
      <c r="F195" s="330">
        <f>'Output - Jobs vs Yr (BAU)'!F51</f>
        <v>193.26222758462978</v>
      </c>
      <c r="G195" s="330">
        <f>'Output - Jobs vs Yr (BAU)'!G51</f>
        <v>228.21383938660068</v>
      </c>
      <c r="H195" s="286">
        <f>'Output - Jobs vs Yr (BAU)'!H51</f>
        <v>234.32232707230833</v>
      </c>
      <c r="I195" s="118">
        <f>'Output - Jobs vs Yr (BAU)'!I51</f>
        <v>245.30985209935818</v>
      </c>
      <c r="J195" s="118">
        <f>'Output - Jobs vs Yr (BAU)'!J51</f>
        <v>275.16554208774903</v>
      </c>
      <c r="K195" s="118">
        <f>'Output - Jobs vs Yr (BAU)'!K51</f>
        <v>313.88742741619478</v>
      </c>
      <c r="L195" s="118">
        <f>'Output - Jobs vs Yr (BAU)'!L51</f>
        <v>335.6891200848861</v>
      </c>
      <c r="M195" s="118">
        <f>'Output - Jobs vs Yr (BAU)'!M51</f>
        <v>344.92509867023443</v>
      </c>
      <c r="N195" s="177">
        <f>'Output - Jobs vs Yr (BAU)'!N51</f>
        <v>346.68130368896306</v>
      </c>
      <c r="O195" s="118">
        <f>'Output - Jobs vs Yr (BAU)'!O51</f>
        <v>358.20282158651878</v>
      </c>
      <c r="P195" s="118">
        <f>'Output - Jobs vs Yr (BAU)'!P51</f>
        <v>378.52643777093749</v>
      </c>
      <c r="Q195" s="118">
        <f>'Output - Jobs vs Yr (BAU)'!Q51</f>
        <v>406.18876213511305</v>
      </c>
      <c r="R195" s="118">
        <f>'Output - Jobs vs Yr (BAU)'!R51</f>
        <v>435.48388803413195</v>
      </c>
      <c r="S195" s="118">
        <f>'Output - Jobs vs Yr (BAU)'!S51</f>
        <v>456.25721363521654</v>
      </c>
      <c r="T195" s="118">
        <f>'Output - Jobs vs Yr (BAU)'!T51</f>
        <v>487.10487318924891</v>
      </c>
      <c r="U195" s="118">
        <f>'Output - Jobs vs Yr (BAU)'!U51</f>
        <v>513.73412176383715</v>
      </c>
      <c r="V195" s="118">
        <f>'Output - Jobs vs Yr (BAU)'!V51</f>
        <v>528.33584663501983</v>
      </c>
      <c r="W195" s="118">
        <f>'Output - Jobs vs Yr (BAU)'!W51</f>
        <v>530.1038958467899</v>
      </c>
      <c r="X195" s="184">
        <f>'Output - Jobs vs Yr (BAU)'!X51</f>
        <v>543.96309289881572</v>
      </c>
      <c r="Y195" s="271">
        <f>'Output - Jobs vs Yr (BAU)'!Y51</f>
        <v>580.01422103836853</v>
      </c>
      <c r="Z195" s="271">
        <f>'Output - Jobs vs Yr (BAU)'!Z51</f>
        <v>634.23900551795464</v>
      </c>
      <c r="AA195" s="271">
        <f>'Output - Jobs vs Yr (BAU)'!AA51</f>
        <v>683.9852389260642</v>
      </c>
      <c r="AB195" s="271">
        <f>'Output - Jobs vs Yr (BAU)'!AB51</f>
        <v>733.07567858881328</v>
      </c>
      <c r="AC195" s="271">
        <f>'Output - Jobs vs Yr (BAU)'!AC51</f>
        <v>745.41106220974871</v>
      </c>
      <c r="AD195" s="271">
        <f>'Output - Jobs vs Yr (BAU)'!AD51</f>
        <v>771.08655945201895</v>
      </c>
      <c r="AE195" s="271">
        <f>'Output - Jobs vs Yr (BAU)'!AE51</f>
        <v>793.03336212884813</v>
      </c>
      <c r="AF195" s="271">
        <f>'Output - Jobs vs Yr (BAU)'!AF51</f>
        <v>810.75013146417473</v>
      </c>
      <c r="AG195" s="271">
        <f>'Output - Jobs vs Yr (BAU)'!AG51</f>
        <v>827.57909415697452</v>
      </c>
      <c r="AH195" s="184">
        <f>'Output - Jobs vs Yr (BAU)'!AH51</f>
        <v>832.25209210903017</v>
      </c>
    </row>
    <row r="196" spans="1:34">
      <c r="A196" t="s">
        <v>390</v>
      </c>
      <c r="C196" s="330">
        <f>'Output - Jobs vs Yr (BAU)'!C69</f>
        <v>93.737430000000003</v>
      </c>
      <c r="D196" s="330">
        <f>'Output - Jobs vs Yr (BAU)'!D69</f>
        <v>138.43143000000003</v>
      </c>
      <c r="E196" s="330">
        <f>'Output - Jobs vs Yr (BAU)'!E69</f>
        <v>157.24939305090615</v>
      </c>
      <c r="F196" s="330">
        <f>'Output - Jobs vs Yr (BAU)'!F69</f>
        <v>173.93600482616677</v>
      </c>
      <c r="G196" s="330">
        <f>'Output - Jobs vs Yr (BAU)'!G69</f>
        <v>205.39245544794062</v>
      </c>
      <c r="H196" s="286">
        <f>'Output - Jobs vs Yr (BAU)'!H69</f>
        <v>210.89009436507752</v>
      </c>
      <c r="I196" s="118">
        <f>'Output - Jobs vs Yr (BAU)'!I69</f>
        <v>220.77886688942237</v>
      </c>
      <c r="J196" s="118">
        <f>'Output - Jobs vs Yr (BAU)'!J69</f>
        <v>247.64898787897408</v>
      </c>
      <c r="K196" s="118">
        <f>'Output - Jobs vs Yr (BAU)'!K69</f>
        <v>282.49868467457532</v>
      </c>
      <c r="L196" s="118">
        <f>'Output - Jobs vs Yr (BAU)'!L69</f>
        <v>302.12020807639749</v>
      </c>
      <c r="M196" s="118">
        <f>'Output - Jobs vs Yr (BAU)'!M69</f>
        <v>310.43258880321099</v>
      </c>
      <c r="N196" s="177">
        <f>'Output - Jobs vs Yr (BAU)'!N69</f>
        <v>312.0131733200667</v>
      </c>
      <c r="O196" s="118">
        <f>'Output - Jobs vs Yr (BAU)'!O69</f>
        <v>322.3825394278669</v>
      </c>
      <c r="P196" s="118">
        <f>'Output - Jobs vs Yr (BAU)'!P69</f>
        <v>340.67379399384379</v>
      </c>
      <c r="Q196" s="118">
        <f>'Output - Jobs vs Yr (BAU)'!Q69</f>
        <v>365.56988592160178</v>
      </c>
      <c r="R196" s="118">
        <f>'Output - Jobs vs Yr (BAU)'!R69</f>
        <v>391.93549923071873</v>
      </c>
      <c r="S196" s="118">
        <f>'Output - Jobs vs Yr (BAU)'!S69</f>
        <v>410.63149227169498</v>
      </c>
      <c r="T196" s="118">
        <f>'Output - Jobs vs Yr (BAU)'!T69</f>
        <v>438.39438587032419</v>
      </c>
      <c r="U196" s="118">
        <f>'Output - Jobs vs Yr (BAU)'!U69</f>
        <v>462.36070958745347</v>
      </c>
      <c r="V196" s="118">
        <f>'Output - Jobs vs Yr (BAU)'!V69</f>
        <v>475.50226197151801</v>
      </c>
      <c r="W196" s="118">
        <f>'Output - Jobs vs Yr (BAU)'!W69</f>
        <v>477.09350626211091</v>
      </c>
      <c r="X196" s="184">
        <f>'Output - Jobs vs Yr (BAU)'!X69</f>
        <v>489.56678360893414</v>
      </c>
      <c r="Y196" s="271">
        <f>'Output - Jobs vs Yr (BAU)'!Y69</f>
        <v>522.0127989345317</v>
      </c>
      <c r="Z196" s="271">
        <f>'Output - Jobs vs Yr (BAU)'!Z69</f>
        <v>570.8151049661592</v>
      </c>
      <c r="AA196" s="271">
        <f>'Output - Jobs vs Yr (BAU)'!AA69</f>
        <v>615.58671503345772</v>
      </c>
      <c r="AB196" s="271">
        <f>'Output - Jobs vs Yr (BAU)'!AB69</f>
        <v>659.768110729932</v>
      </c>
      <c r="AC196" s="271">
        <f>'Output - Jobs vs Yr (BAU)'!AC69</f>
        <v>670.869955988774</v>
      </c>
      <c r="AD196" s="271">
        <f>'Output - Jobs vs Yr (BAU)'!AD69</f>
        <v>693.97790350681703</v>
      </c>
      <c r="AE196" s="271">
        <f>'Output - Jobs vs Yr (BAU)'!AE69</f>
        <v>713.73002591596332</v>
      </c>
      <c r="AF196" s="271">
        <f>'Output - Jobs vs Yr (BAU)'!AF69</f>
        <v>729.67511831775732</v>
      </c>
      <c r="AG196" s="271">
        <f>'Output - Jobs vs Yr (BAU)'!AG69</f>
        <v>744.82118474127708</v>
      </c>
      <c r="AH196" s="184">
        <f>'Output - Jobs vs Yr (BAU)'!AH69</f>
        <v>749.02688289812716</v>
      </c>
    </row>
    <row r="197" spans="1:34">
      <c r="A197" t="s">
        <v>391</v>
      </c>
      <c r="C197" s="331">
        <f>SUM(C198:C199)</f>
        <v>237.97215</v>
      </c>
      <c r="D197" s="331">
        <f t="shared" ref="D197:AH197" si="113">SUM(D198:D199)</f>
        <v>198.35714999999999</v>
      </c>
      <c r="E197" s="331">
        <f t="shared" si="113"/>
        <v>240.02810591408075</v>
      </c>
      <c r="F197" s="331">
        <f t="shared" si="113"/>
        <v>225.62123023156974</v>
      </c>
      <c r="G197" s="331">
        <f t="shared" si="113"/>
        <v>185.55212148114998</v>
      </c>
      <c r="H197" s="402">
        <f t="shared" si="113"/>
        <v>189.49883544744296</v>
      </c>
      <c r="I197" s="14">
        <f t="shared" si="113"/>
        <v>192.62078603813228</v>
      </c>
      <c r="J197" s="14">
        <f t="shared" si="113"/>
        <v>196.0224202316827</v>
      </c>
      <c r="K197" s="14">
        <f t="shared" si="113"/>
        <v>198.41411372595604</v>
      </c>
      <c r="L197" s="14">
        <f t="shared" si="113"/>
        <v>197.56341368789396</v>
      </c>
      <c r="M197" s="14">
        <f t="shared" si="113"/>
        <v>197.56347879218674</v>
      </c>
      <c r="N197" s="187">
        <f t="shared" si="113"/>
        <v>197.56341368789396</v>
      </c>
      <c r="O197" s="14">
        <f t="shared" si="113"/>
        <v>198.58513678452144</v>
      </c>
      <c r="P197" s="14">
        <f t="shared" si="113"/>
        <v>198.58507168022868</v>
      </c>
      <c r="Q197" s="14">
        <f t="shared" si="113"/>
        <v>198.58504948558345</v>
      </c>
      <c r="R197" s="14">
        <f t="shared" si="113"/>
        <v>198.58504948558345</v>
      </c>
      <c r="S197" s="15">
        <f t="shared" si="113"/>
        <v>198.58504948558345</v>
      </c>
      <c r="T197" s="14">
        <f t="shared" si="113"/>
        <v>198.58502581129514</v>
      </c>
      <c r="U197" s="14">
        <f t="shared" si="113"/>
        <v>198.58502581129514</v>
      </c>
      <c r="V197" s="14">
        <f t="shared" si="113"/>
        <v>198.58502581129514</v>
      </c>
      <c r="W197" s="14">
        <f t="shared" si="113"/>
        <v>199.78454873150946</v>
      </c>
      <c r="X197" s="187">
        <f t="shared" si="113"/>
        <v>199.78454873150946</v>
      </c>
      <c r="Y197" s="158">
        <f t="shared" si="113"/>
        <v>200.04480018261819</v>
      </c>
      <c r="Z197" s="158">
        <f t="shared" si="113"/>
        <v>200.04480166226122</v>
      </c>
      <c r="AA197" s="158">
        <f t="shared" si="113"/>
        <v>200.04480166226122</v>
      </c>
      <c r="AB197" s="158">
        <f t="shared" si="113"/>
        <v>200.04480166226122</v>
      </c>
      <c r="AC197" s="158">
        <f t="shared" si="113"/>
        <v>200.427739193831</v>
      </c>
      <c r="AD197" s="158">
        <f t="shared" si="113"/>
        <v>200.42780577776682</v>
      </c>
      <c r="AE197" s="158">
        <f t="shared" si="113"/>
        <v>200.42775990883331</v>
      </c>
      <c r="AF197" s="158">
        <f t="shared" si="113"/>
        <v>200.42769184525449</v>
      </c>
      <c r="AG197" s="158">
        <f t="shared" si="113"/>
        <v>201.35264776816317</v>
      </c>
      <c r="AH197" s="187">
        <f t="shared" si="113"/>
        <v>201.35262705316089</v>
      </c>
    </row>
    <row r="198" spans="1:34">
      <c r="A198" t="s">
        <v>393</v>
      </c>
      <c r="C198" s="330">
        <f>SUM('Output - Jobs vs Yr (BAU)'!C40:C43)</f>
        <v>125.24849999999999</v>
      </c>
      <c r="D198" s="330">
        <f>SUM('Output - Jobs vs Yr (BAU)'!D40:D43)</f>
        <v>104.3985</v>
      </c>
      <c r="E198" s="330">
        <f>SUM('Output - Jobs vs Yr (BAU)'!E40:E43)</f>
        <v>126.3305820600425</v>
      </c>
      <c r="F198" s="330">
        <f>SUM('Output - Jobs vs Yr (BAU)'!F40:F43)</f>
        <v>118.7480159113525</v>
      </c>
      <c r="G198" s="330">
        <f>SUM('Output - Jobs vs Yr (BAU)'!G40:G43)</f>
        <v>97.659011305868404</v>
      </c>
      <c r="H198" s="286">
        <f>SUM('Output - Jobs vs Yr (BAU)'!H40:H43)</f>
        <v>99.736229182864719</v>
      </c>
      <c r="I198" s="118">
        <f>SUM('Output - Jobs vs Yr (BAU)'!I40:I43)</f>
        <v>101.3793610727012</v>
      </c>
      <c r="J198" s="118">
        <f>SUM('Output - Jobs vs Yr (BAU)'!J40:J43)</f>
        <v>103.16969485878036</v>
      </c>
      <c r="K198" s="118">
        <f>SUM('Output - Jobs vs Yr (BAU)'!K40:K43)</f>
        <v>104.42848090839792</v>
      </c>
      <c r="L198" s="118">
        <f>SUM('Output - Jobs vs Yr (BAU)'!L40:L43)</f>
        <v>103.98074404625997</v>
      </c>
      <c r="M198" s="118">
        <f>SUM('Output - Jobs vs Yr (BAU)'!M40:M43)</f>
        <v>103.98077831167723</v>
      </c>
      <c r="N198" s="177">
        <f>SUM('Output - Jobs vs Yr (BAU)'!N40:N43)</f>
        <v>103.98074404625997</v>
      </c>
      <c r="O198" s="118">
        <f>SUM('Output - Jobs vs Yr (BAU)'!O40:O43)</f>
        <v>104.51849304448497</v>
      </c>
      <c r="P198" s="118">
        <f>SUM('Output - Jobs vs Yr (BAU)'!P40:P43)</f>
        <v>104.51845877906773</v>
      </c>
      <c r="Q198" s="118">
        <f>SUM('Output - Jobs vs Yr (BAU)'!Q40:Q43)</f>
        <v>104.51844709767549</v>
      </c>
      <c r="R198" s="118">
        <f>SUM('Output - Jobs vs Yr (BAU)'!R40:R43)</f>
        <v>104.51844709767549</v>
      </c>
      <c r="S198" s="118">
        <f>SUM('Output - Jobs vs Yr (BAU)'!S40:S43)</f>
        <v>104.51844709767549</v>
      </c>
      <c r="T198" s="118">
        <f>SUM('Output - Jobs vs Yr (BAU)'!T40:T43)</f>
        <v>104.51843463752375</v>
      </c>
      <c r="U198" s="118">
        <f>SUM('Output - Jobs vs Yr (BAU)'!U40:U43)</f>
        <v>104.51843463752375</v>
      </c>
      <c r="V198" s="118">
        <f>SUM('Output - Jobs vs Yr (BAU)'!V40:V43)</f>
        <v>104.51843463752375</v>
      </c>
      <c r="W198" s="118">
        <f>SUM('Output - Jobs vs Yr (BAU)'!W40:W43)</f>
        <v>105.14976249026813</v>
      </c>
      <c r="X198" s="184">
        <f>SUM('Output - Jobs vs Yr (BAU)'!X40:X43)</f>
        <v>105.14976249026813</v>
      </c>
      <c r="Y198" s="271">
        <f>SUM('Output - Jobs vs Yr (BAU)'!Y40:Y43)</f>
        <v>105.2867369382201</v>
      </c>
      <c r="Z198" s="271">
        <f>SUM('Output - Jobs vs Yr (BAU)'!Z40:Z43)</f>
        <v>105.28673771697959</v>
      </c>
      <c r="AA198" s="271">
        <f>SUM('Output - Jobs vs Yr (BAU)'!AA40:AA43)</f>
        <v>105.28673771697959</v>
      </c>
      <c r="AB198" s="271">
        <f>SUM('Output - Jobs vs Yr (BAU)'!AB40:AB43)</f>
        <v>105.28673771697959</v>
      </c>
      <c r="AC198" s="271">
        <f>SUM('Output - Jobs vs Yr (BAU)'!AC40:AC43)</f>
        <v>105.48828378622684</v>
      </c>
      <c r="AD198" s="271">
        <f>SUM('Output - Jobs vs Yr (BAU)'!AD40:AD43)</f>
        <v>105.4883188304036</v>
      </c>
      <c r="AE198" s="271">
        <f>SUM('Output - Jobs vs Yr (BAU)'!AE40:AE43)</f>
        <v>105.48829468885964</v>
      </c>
      <c r="AF198" s="271">
        <f>SUM('Output - Jobs vs Yr (BAU)'!AF40:AF43)</f>
        <v>105.48825886592341</v>
      </c>
      <c r="AG198" s="271">
        <f>SUM('Output - Jobs vs Yr (BAU)'!AG40:AG43)</f>
        <v>105.97507777271746</v>
      </c>
      <c r="AH198" s="184">
        <f>SUM('Output - Jobs vs Yr (BAU)'!AH40:AH43)</f>
        <v>105.97506687008467</v>
      </c>
    </row>
    <row r="199" spans="1:34">
      <c r="A199" t="s">
        <v>392</v>
      </c>
      <c r="C199" s="330">
        <f>SUM('Output - Jobs vs Yr (BAU)'!C58:C61)</f>
        <v>112.72364999999999</v>
      </c>
      <c r="D199" s="330">
        <f>SUM('Output - Jobs vs Yr (BAU)'!D58:D61)</f>
        <v>93.958650000000006</v>
      </c>
      <c r="E199" s="330">
        <f>SUM('Output - Jobs vs Yr (BAU)'!E58:E61)</f>
        <v>113.69752385403825</v>
      </c>
      <c r="F199" s="330">
        <f>SUM('Output - Jobs vs Yr (BAU)'!F58:F61)</f>
        <v>106.87321432021724</v>
      </c>
      <c r="G199" s="330">
        <f>SUM('Output - Jobs vs Yr (BAU)'!G58:G61)</f>
        <v>87.893110175281564</v>
      </c>
      <c r="H199" s="286">
        <f>SUM('Output - Jobs vs Yr (BAU)'!H58:H61)</f>
        <v>89.762606264578253</v>
      </c>
      <c r="I199" s="118">
        <f>SUM('Output - Jobs vs Yr (BAU)'!I58:I61)</f>
        <v>91.241424965431079</v>
      </c>
      <c r="J199" s="118">
        <f>SUM('Output - Jobs vs Yr (BAU)'!J58:J61)</f>
        <v>92.852725372902327</v>
      </c>
      <c r="K199" s="118">
        <f>SUM('Output - Jobs vs Yr (BAU)'!K58:K61)</f>
        <v>93.985632817558127</v>
      </c>
      <c r="L199" s="118">
        <f>SUM('Output - Jobs vs Yr (BAU)'!L58:L61)</f>
        <v>93.58266964163397</v>
      </c>
      <c r="M199" s="118">
        <f>SUM('Output - Jobs vs Yr (BAU)'!M58:M61)</f>
        <v>93.582700480509502</v>
      </c>
      <c r="N199" s="177">
        <f>SUM('Output - Jobs vs Yr (BAU)'!N58:N61)</f>
        <v>93.58266964163397</v>
      </c>
      <c r="O199" s="118">
        <f>SUM('Output - Jobs vs Yr (BAU)'!O58:O61)</f>
        <v>94.066643740036469</v>
      </c>
      <c r="P199" s="118">
        <f>SUM('Output - Jobs vs Yr (BAU)'!P58:P61)</f>
        <v>94.066612901160951</v>
      </c>
      <c r="Q199" s="118">
        <f>SUM('Output - Jobs vs Yr (BAU)'!Q58:Q61)</f>
        <v>94.066602387907949</v>
      </c>
      <c r="R199" s="118">
        <f>SUM('Output - Jobs vs Yr (BAU)'!R58:R61)</f>
        <v>94.066602387907949</v>
      </c>
      <c r="S199" s="118">
        <f>SUM('Output - Jobs vs Yr (BAU)'!S58:S61)</f>
        <v>94.066602387907949</v>
      </c>
      <c r="T199" s="118">
        <f>SUM('Output - Jobs vs Yr (BAU)'!T58:T61)</f>
        <v>94.066591173771386</v>
      </c>
      <c r="U199" s="118">
        <f>SUM('Output - Jobs vs Yr (BAU)'!U58:U61)</f>
        <v>94.066591173771386</v>
      </c>
      <c r="V199" s="118">
        <f>SUM('Output - Jobs vs Yr (BAU)'!V58:V61)</f>
        <v>94.066591173771386</v>
      </c>
      <c r="W199" s="118">
        <f>SUM('Output - Jobs vs Yr (BAU)'!W58:W61)</f>
        <v>94.634786241241315</v>
      </c>
      <c r="X199" s="184">
        <f>SUM('Output - Jobs vs Yr (BAU)'!X58:X61)</f>
        <v>94.634786241241315</v>
      </c>
      <c r="Y199" s="271">
        <f>SUM('Output - Jobs vs Yr (BAU)'!Y58:Y61)</f>
        <v>94.758063244398087</v>
      </c>
      <c r="Z199" s="271">
        <f>SUM('Output - Jobs vs Yr (BAU)'!Z58:Z61)</f>
        <v>94.758063945281634</v>
      </c>
      <c r="AA199" s="271">
        <f>SUM('Output - Jobs vs Yr (BAU)'!AA58:AA61)</f>
        <v>94.758063945281634</v>
      </c>
      <c r="AB199" s="271">
        <f>SUM('Output - Jobs vs Yr (BAU)'!AB58:AB61)</f>
        <v>94.758063945281634</v>
      </c>
      <c r="AC199" s="271">
        <f>SUM('Output - Jobs vs Yr (BAU)'!AC58:AC61)</f>
        <v>94.939455407604157</v>
      </c>
      <c r="AD199" s="271">
        <f>SUM('Output - Jobs vs Yr (BAU)'!AD58:AD61)</f>
        <v>94.939486947363235</v>
      </c>
      <c r="AE199" s="271">
        <f>SUM('Output - Jobs vs Yr (BAU)'!AE58:AE61)</f>
        <v>94.939465219973684</v>
      </c>
      <c r="AF199" s="271">
        <f>SUM('Output - Jobs vs Yr (BAU)'!AF58:AF61)</f>
        <v>94.939432979331073</v>
      </c>
      <c r="AG199" s="271">
        <f>SUM('Output - Jobs vs Yr (BAU)'!AG58:AG61)</f>
        <v>95.377569995445711</v>
      </c>
      <c r="AH199" s="184">
        <f>SUM('Output - Jobs vs Yr (BAU)'!AH58:AH61)</f>
        <v>95.377560183076213</v>
      </c>
    </row>
    <row r="200" spans="1:34">
      <c r="A200" t="s">
        <v>394</v>
      </c>
      <c r="C200" s="331">
        <f>SUM(C201:C202)</f>
        <v>8771.73</v>
      </c>
      <c r="D200" s="331">
        <f t="shared" ref="D200:AH200" si="114">SUM(D201:D202)</f>
        <v>8467.0079999999998</v>
      </c>
      <c r="E200" s="331">
        <f t="shared" si="114"/>
        <v>8701.4988396599983</v>
      </c>
      <c r="F200" s="331">
        <f t="shared" si="114"/>
        <v>8995.5519372400013</v>
      </c>
      <c r="G200" s="331">
        <f t="shared" si="114"/>
        <v>8848.3392781300008</v>
      </c>
      <c r="H200" s="402">
        <f t="shared" si="114"/>
        <v>9068.6021480999989</v>
      </c>
      <c r="I200" s="14">
        <f t="shared" si="114"/>
        <v>8944.9617922500001</v>
      </c>
      <c r="J200" s="14">
        <f t="shared" si="114"/>
        <v>9006.069153729999</v>
      </c>
      <c r="K200" s="14">
        <f t="shared" si="114"/>
        <v>9224.6841213999978</v>
      </c>
      <c r="L200" s="14">
        <f t="shared" si="114"/>
        <v>9420.0771805799995</v>
      </c>
      <c r="M200" s="14">
        <f t="shared" si="114"/>
        <v>9465.9191925100004</v>
      </c>
      <c r="N200" s="187">
        <f t="shared" si="114"/>
        <v>9540.4838696200022</v>
      </c>
      <c r="O200" s="14">
        <f t="shared" si="114"/>
        <v>9558.6019960199992</v>
      </c>
      <c r="P200" s="14">
        <f t="shared" si="114"/>
        <v>9692.8500005700007</v>
      </c>
      <c r="Q200" s="14">
        <f t="shared" si="114"/>
        <v>9849.9430364500004</v>
      </c>
      <c r="R200" s="14">
        <f t="shared" si="114"/>
        <v>9910.1870252000008</v>
      </c>
      <c r="S200" s="15">
        <f t="shared" si="114"/>
        <v>10034.936928609999</v>
      </c>
      <c r="T200" s="14">
        <f t="shared" si="114"/>
        <v>10176.904688829998</v>
      </c>
      <c r="U200" s="14">
        <f t="shared" si="114"/>
        <v>10262.747655930001</v>
      </c>
      <c r="V200" s="14">
        <f t="shared" si="114"/>
        <v>10319.927031700001</v>
      </c>
      <c r="W200" s="14">
        <f t="shared" si="114"/>
        <v>10460.63373399</v>
      </c>
      <c r="X200" s="187">
        <f t="shared" si="114"/>
        <v>10583.193432349999</v>
      </c>
      <c r="Y200" s="158">
        <f t="shared" si="114"/>
        <v>10572.14185511</v>
      </c>
      <c r="Z200" s="158">
        <f t="shared" si="114"/>
        <v>10670.37488979</v>
      </c>
      <c r="AA200" s="158">
        <f t="shared" si="114"/>
        <v>10720.30662417</v>
      </c>
      <c r="AB200" s="158">
        <f t="shared" si="114"/>
        <v>10741.941146309999</v>
      </c>
      <c r="AC200" s="158">
        <f t="shared" si="114"/>
        <v>10774.81614825</v>
      </c>
      <c r="AD200" s="158">
        <f t="shared" si="114"/>
        <v>10748.922241640001</v>
      </c>
      <c r="AE200" s="158">
        <f t="shared" si="114"/>
        <v>10749.150003570001</v>
      </c>
      <c r="AF200" s="158">
        <f t="shared" si="114"/>
        <v>10794.187127239999</v>
      </c>
      <c r="AG200" s="158">
        <f t="shared" si="114"/>
        <v>10913.36422539</v>
      </c>
      <c r="AH200" s="187">
        <f t="shared" si="114"/>
        <v>11017.411706950001</v>
      </c>
    </row>
    <row r="201" spans="1:34">
      <c r="A201" t="s">
        <v>395</v>
      </c>
      <c r="C201" s="330">
        <f>SUM('Output - Jobs vs Yr (BAU)'!C53:C54)</f>
        <v>4616.7</v>
      </c>
      <c r="D201" s="330">
        <f>SUM('Output - Jobs vs Yr (BAU)'!D53:D54)</f>
        <v>4456.32</v>
      </c>
      <c r="E201" s="330">
        <f>SUM('Output - Jobs vs Yr (BAU)'!E53:E54)</f>
        <v>4579.7362313999993</v>
      </c>
      <c r="F201" s="330">
        <f>SUM('Output - Jobs vs Yr (BAU)'!F53:F54)</f>
        <v>4734.5010196000003</v>
      </c>
      <c r="G201" s="330">
        <f>SUM('Output - Jobs vs Yr (BAU)'!G53:G54)</f>
        <v>4657.0206727000004</v>
      </c>
      <c r="H201" s="286">
        <f>SUM('Output - Jobs vs Yr (BAU)'!H53:H54)</f>
        <v>4772.9484990000001</v>
      </c>
      <c r="I201" s="118">
        <f>SUM('Output - Jobs vs Yr (BAU)'!I53:I54)</f>
        <v>4707.8746275000003</v>
      </c>
      <c r="J201" s="118">
        <f>SUM('Output - Jobs vs Yr (BAU)'!J53:J54)</f>
        <v>4740.0363966999994</v>
      </c>
      <c r="K201" s="118">
        <f>SUM('Output - Jobs vs Yr (BAU)'!K53:K54)</f>
        <v>4855.0969059999989</v>
      </c>
      <c r="L201" s="118">
        <f>SUM('Output - Jobs vs Yr (BAU)'!L53:L54)</f>
        <v>4957.9353581999994</v>
      </c>
      <c r="M201" s="118">
        <f>SUM('Output - Jobs vs Yr (BAU)'!M53:M54)</f>
        <v>4982.0627328999999</v>
      </c>
      <c r="N201" s="177">
        <f>SUM('Output - Jobs vs Yr (BAU)'!N53:N54)</f>
        <v>5021.3072998000007</v>
      </c>
      <c r="O201" s="118">
        <f>SUM('Output - Jobs vs Yr (BAU)'!O53:O54)</f>
        <v>5030.8431557999993</v>
      </c>
      <c r="P201" s="118">
        <f>SUM('Output - Jobs vs Yr (BAU)'!P53:P54)</f>
        <v>5101.5000002999996</v>
      </c>
      <c r="Q201" s="118">
        <f>SUM('Output - Jobs vs Yr (BAU)'!Q53:Q54)</f>
        <v>5184.1805454999994</v>
      </c>
      <c r="R201" s="118">
        <f>SUM('Output - Jobs vs Yr (BAU)'!R53:R54)</f>
        <v>5215.8879080000006</v>
      </c>
      <c r="S201" s="118">
        <f>SUM('Output - Jobs vs Yr (BAU)'!S53:S54)</f>
        <v>5281.5457518999992</v>
      </c>
      <c r="T201" s="118">
        <f>SUM('Output - Jobs vs Yr (BAU)'!T53:T54)</f>
        <v>5356.265625699999</v>
      </c>
      <c r="U201" s="118">
        <f>SUM('Output - Jobs vs Yr (BAU)'!U53:U54)</f>
        <v>5401.4461347000006</v>
      </c>
      <c r="V201" s="118">
        <f>SUM('Output - Jobs vs Yr (BAU)'!V53:V54)</f>
        <v>5431.5405430000001</v>
      </c>
      <c r="W201" s="118">
        <f>SUM('Output - Jobs vs Yr (BAU)'!W53:W54)</f>
        <v>5505.5967020999997</v>
      </c>
      <c r="X201" s="184">
        <f>SUM('Output - Jobs vs Yr (BAU)'!X53:X54)</f>
        <v>5570.1018064999998</v>
      </c>
      <c r="Y201" s="271">
        <f>SUM('Output - Jobs vs Yr (BAU)'!Y53:Y54)</f>
        <v>5564.2851868999996</v>
      </c>
      <c r="Z201" s="271">
        <f>SUM('Output - Jobs vs Yr (BAU)'!Z53:Z54)</f>
        <v>5615.9867840999996</v>
      </c>
      <c r="AA201" s="271">
        <f>SUM('Output - Jobs vs Yr (BAU)'!AA53:AA54)</f>
        <v>5642.2666442999998</v>
      </c>
      <c r="AB201" s="271">
        <f>SUM('Output - Jobs vs Yr (BAU)'!AB53:AB54)</f>
        <v>5653.653234899999</v>
      </c>
      <c r="AC201" s="271">
        <f>SUM('Output - Jobs vs Yr (BAU)'!AC53:AC54)</f>
        <v>5670.9558674999998</v>
      </c>
      <c r="AD201" s="271">
        <f>SUM('Output - Jobs vs Yr (BAU)'!AD53:AD54)</f>
        <v>5657.3274956000005</v>
      </c>
      <c r="AE201" s="271">
        <f>SUM('Output - Jobs vs Yr (BAU)'!AE53:AE54)</f>
        <v>5657.4473703000003</v>
      </c>
      <c r="AF201" s="271">
        <f>SUM('Output - Jobs vs Yr (BAU)'!AF53:AF54)</f>
        <v>5681.1511195999992</v>
      </c>
      <c r="AG201" s="271">
        <f>SUM('Output - Jobs vs Yr (BAU)'!AG53:AG54)</f>
        <v>5743.8759080999998</v>
      </c>
      <c r="AH201" s="184">
        <f>SUM('Output - Jobs vs Yr (BAU)'!AH53:AH54)</f>
        <v>5798.6377405000003</v>
      </c>
    </row>
    <row r="202" spans="1:34">
      <c r="A202" t="s">
        <v>396</v>
      </c>
      <c r="C202" s="330">
        <f>SUM('Output - Jobs vs Yr (BAU)'!C71:C72)</f>
        <v>4155.03</v>
      </c>
      <c r="D202" s="330">
        <f>SUM('Output - Jobs vs Yr (BAU)'!D71:D72)</f>
        <v>4010.6880000000001</v>
      </c>
      <c r="E202" s="330">
        <f>SUM('Output - Jobs vs Yr (BAU)'!E71:E72)</f>
        <v>4121.76260826</v>
      </c>
      <c r="F202" s="330">
        <f>SUM('Output - Jobs vs Yr (BAU)'!F71:F72)</f>
        <v>4261.050917640001</v>
      </c>
      <c r="G202" s="330">
        <f>SUM('Output - Jobs vs Yr (BAU)'!G71:G72)</f>
        <v>4191.3186054300004</v>
      </c>
      <c r="H202" s="286">
        <f>SUM('Output - Jobs vs Yr (BAU)'!H71:H72)</f>
        <v>4295.6536490999997</v>
      </c>
      <c r="I202" s="118">
        <f>SUM('Output - Jobs vs Yr (BAU)'!I71:I72)</f>
        <v>4237.0871647500007</v>
      </c>
      <c r="J202" s="118">
        <f>SUM('Output - Jobs vs Yr (BAU)'!J71:J72)</f>
        <v>4266.0327570299996</v>
      </c>
      <c r="K202" s="118">
        <f>SUM('Output - Jobs vs Yr (BAU)'!K71:K72)</f>
        <v>4369.5872153999999</v>
      </c>
      <c r="L202" s="118">
        <f>SUM('Output - Jobs vs Yr (BAU)'!L71:L72)</f>
        <v>4462.1418223800001</v>
      </c>
      <c r="M202" s="118">
        <f>SUM('Output - Jobs vs Yr (BAU)'!M71:M72)</f>
        <v>4483.8564596100005</v>
      </c>
      <c r="N202" s="177">
        <f>SUM('Output - Jobs vs Yr (BAU)'!N71:N72)</f>
        <v>4519.1765698200006</v>
      </c>
      <c r="O202" s="118">
        <f>SUM('Output - Jobs vs Yr (BAU)'!O71:O72)</f>
        <v>4527.7588402199999</v>
      </c>
      <c r="P202" s="118">
        <f>SUM('Output - Jobs vs Yr (BAU)'!P71:P72)</f>
        <v>4591.3500002700002</v>
      </c>
      <c r="Q202" s="118">
        <f>SUM('Output - Jobs vs Yr (BAU)'!Q71:Q72)</f>
        <v>4665.76249095</v>
      </c>
      <c r="R202" s="118">
        <f>SUM('Output - Jobs vs Yr (BAU)'!R71:R72)</f>
        <v>4694.2991172000002</v>
      </c>
      <c r="S202" s="118">
        <f>SUM('Output - Jobs vs Yr (BAU)'!S71:S72)</f>
        <v>4753.3911767099999</v>
      </c>
      <c r="T202" s="118">
        <f>SUM('Output - Jobs vs Yr (BAU)'!T71:T72)</f>
        <v>4820.6390631299992</v>
      </c>
      <c r="U202" s="118">
        <f>SUM('Output - Jobs vs Yr (BAU)'!U71:U72)</f>
        <v>4861.3015212299997</v>
      </c>
      <c r="V202" s="118">
        <f>SUM('Output - Jobs vs Yr (BAU)'!V71:V72)</f>
        <v>4888.3864887</v>
      </c>
      <c r="W202" s="118">
        <f>SUM('Output - Jobs vs Yr (BAU)'!W71:W72)</f>
        <v>4955.0370318900004</v>
      </c>
      <c r="X202" s="184">
        <f>SUM('Output - Jobs vs Yr (BAU)'!X71:X72)</f>
        <v>5013.0916258500001</v>
      </c>
      <c r="Y202" s="271">
        <f>SUM('Output - Jobs vs Yr (BAU)'!Y71:Y72)</f>
        <v>5007.85666821</v>
      </c>
      <c r="Z202" s="271">
        <f>SUM('Output - Jobs vs Yr (BAU)'!Z71:Z72)</f>
        <v>5054.38810569</v>
      </c>
      <c r="AA202" s="271">
        <f>SUM('Output - Jobs vs Yr (BAU)'!AA71:AA72)</f>
        <v>5078.03997987</v>
      </c>
      <c r="AB202" s="271">
        <f>SUM('Output - Jobs vs Yr (BAU)'!AB71:AB72)</f>
        <v>5088.2879114099997</v>
      </c>
      <c r="AC202" s="271">
        <f>SUM('Output - Jobs vs Yr (BAU)'!AC71:AC72)</f>
        <v>5103.8602807500001</v>
      </c>
      <c r="AD202" s="271">
        <f>SUM('Output - Jobs vs Yr (BAU)'!AD71:AD72)</f>
        <v>5091.5947460400002</v>
      </c>
      <c r="AE202" s="271">
        <f>SUM('Output - Jobs vs Yr (BAU)'!AE71:AE72)</f>
        <v>5091.7026332699998</v>
      </c>
      <c r="AF202" s="271">
        <f>SUM('Output - Jobs vs Yr (BAU)'!AF71:AF72)</f>
        <v>5113.0360076400002</v>
      </c>
      <c r="AG202" s="271">
        <f>SUM('Output - Jobs vs Yr (BAU)'!AG71:AG72)</f>
        <v>5169.488317289999</v>
      </c>
      <c r="AH202" s="184">
        <f>SUM('Output - Jobs vs Yr (BAU)'!AH71:AH72)</f>
        <v>5218.7739664500004</v>
      </c>
    </row>
    <row r="203" spans="1:34">
      <c r="A203" s="1" t="s">
        <v>425</v>
      </c>
      <c r="C203" s="331">
        <f>SUM(C191,C194,C197,C200)</f>
        <v>9207.5922799999989</v>
      </c>
      <c r="D203" s="331">
        <f t="shared" ref="D203:AH203" si="115">SUM(D191,D194,D197,D200)</f>
        <v>8957.6092800000006</v>
      </c>
      <c r="E203" s="331">
        <f t="shared" si="115"/>
        <v>9273.4978864593249</v>
      </c>
      <c r="F203" s="331">
        <f t="shared" si="115"/>
        <v>9588.3713998823678</v>
      </c>
      <c r="G203" s="331">
        <f t="shared" si="115"/>
        <v>9467.4976944456921</v>
      </c>
      <c r="H203" s="402">
        <f t="shared" si="115"/>
        <v>9703.3134049848268</v>
      </c>
      <c r="I203" s="14">
        <f t="shared" si="115"/>
        <v>9603.6712972769128</v>
      </c>
      <c r="J203" s="14">
        <f t="shared" si="115"/>
        <v>9724.9061039284043</v>
      </c>
      <c r="K203" s="14">
        <f t="shared" si="115"/>
        <v>10019.484347216723</v>
      </c>
      <c r="L203" s="14">
        <f t="shared" si="115"/>
        <v>10255.449922429178</v>
      </c>
      <c r="M203" s="132">
        <f t="shared" si="115"/>
        <v>10318.840358775633</v>
      </c>
      <c r="N203" s="193">
        <f t="shared" si="115"/>
        <v>10396.741760316925</v>
      </c>
      <c r="O203" s="14">
        <f t="shared" si="115"/>
        <v>10437.772493818906</v>
      </c>
      <c r="P203" s="14">
        <f t="shared" si="115"/>
        <v>10610.63530401501</v>
      </c>
      <c r="Q203" s="14">
        <f t="shared" si="115"/>
        <v>10820.2867339923</v>
      </c>
      <c r="R203" s="14">
        <f t="shared" si="115"/>
        <v>10936.191461950435</v>
      </c>
      <c r="S203" s="14">
        <f t="shared" si="115"/>
        <v>11100.410684002494</v>
      </c>
      <c r="T203" s="14">
        <f t="shared" si="115"/>
        <v>11300.988973700867</v>
      </c>
      <c r="U203" s="14">
        <f t="shared" si="115"/>
        <v>11437.427513092587</v>
      </c>
      <c r="V203" s="14">
        <f t="shared" si="115"/>
        <v>11522.350166117834</v>
      </c>
      <c r="W203" s="14">
        <f t="shared" si="115"/>
        <v>11667.615684830411</v>
      </c>
      <c r="X203" s="187">
        <f t="shared" si="115"/>
        <v>11816.507857589258</v>
      </c>
      <c r="Y203" s="158">
        <f t="shared" si="115"/>
        <v>11874.213675265519</v>
      </c>
      <c r="Z203" s="158">
        <f t="shared" si="115"/>
        <v>12075.473801936376</v>
      </c>
      <c r="AA203" s="158">
        <f t="shared" si="115"/>
        <v>12219.923379791784</v>
      </c>
      <c r="AB203" s="158">
        <f t="shared" si="115"/>
        <v>12334.829737291006</v>
      </c>
      <c r="AC203" s="158">
        <f t="shared" si="115"/>
        <v>12391.524905642354</v>
      </c>
      <c r="AD203" s="158">
        <f t="shared" si="115"/>
        <v>12414.414510376604</v>
      </c>
      <c r="AE203" s="158">
        <f t="shared" si="115"/>
        <v>12456.341151523646</v>
      </c>
      <c r="AF203" s="158">
        <f t="shared" si="115"/>
        <v>12535.040068867185</v>
      </c>
      <c r="AG203" s="158">
        <f t="shared" si="115"/>
        <v>12687.117152056415</v>
      </c>
      <c r="AH203" s="187">
        <f t="shared" si="115"/>
        <v>12800.04330901032</v>
      </c>
    </row>
    <row r="204" spans="1:34">
      <c r="A204" s="1" t="s">
        <v>448</v>
      </c>
      <c r="C204" s="331"/>
      <c r="D204" s="331">
        <f>D194+D197</f>
        <v>490.60128000000003</v>
      </c>
      <c r="E204" s="331">
        <f t="shared" ref="E204:AH204" si="116">E194+E197</f>
        <v>571.99904679932706</v>
      </c>
      <c r="F204" s="331">
        <f t="shared" si="116"/>
        <v>592.81946264236626</v>
      </c>
      <c r="G204" s="331">
        <f t="shared" si="116"/>
        <v>619.15841631569128</v>
      </c>
      <c r="H204" s="402">
        <f t="shared" si="116"/>
        <v>634.7112568848288</v>
      </c>
      <c r="I204" s="14">
        <f t="shared" si="116"/>
        <v>658.70950502691289</v>
      </c>
      <c r="J204" s="14">
        <f t="shared" si="116"/>
        <v>718.8369501984057</v>
      </c>
      <c r="K204" s="14">
        <f t="shared" si="116"/>
        <v>794.8002258167262</v>
      </c>
      <c r="L204" s="14">
        <f t="shared" si="116"/>
        <v>835.3727418491776</v>
      </c>
      <c r="M204" s="14">
        <f t="shared" si="116"/>
        <v>852.92116626563211</v>
      </c>
      <c r="N204" s="187">
        <f t="shared" si="116"/>
        <v>856.2578906969236</v>
      </c>
      <c r="O204" s="14">
        <f t="shared" si="116"/>
        <v>879.17049779890704</v>
      </c>
      <c r="P204" s="14">
        <f t="shared" si="116"/>
        <v>917.78530344500996</v>
      </c>
      <c r="Q204" s="14">
        <f t="shared" si="116"/>
        <v>970.34369754229829</v>
      </c>
      <c r="R204" s="14">
        <f t="shared" si="116"/>
        <v>1026.0044367504343</v>
      </c>
      <c r="S204" s="14">
        <f t="shared" si="116"/>
        <v>1065.4737553924951</v>
      </c>
      <c r="T204" s="14">
        <f t="shared" si="116"/>
        <v>1124.0842848708683</v>
      </c>
      <c r="U204" s="14">
        <f t="shared" si="116"/>
        <v>1174.6798571625857</v>
      </c>
      <c r="V204" s="14">
        <f t="shared" si="116"/>
        <v>1202.4231344178329</v>
      </c>
      <c r="W204" s="14">
        <f t="shared" si="116"/>
        <v>1206.9819508404103</v>
      </c>
      <c r="X204" s="187">
        <f t="shared" si="116"/>
        <v>1233.3144252392592</v>
      </c>
      <c r="Y204" s="158">
        <f t="shared" si="116"/>
        <v>1302.0718201555185</v>
      </c>
      <c r="Z204" s="158">
        <f t="shared" si="116"/>
        <v>1405.0989121463751</v>
      </c>
      <c r="AA204" s="158">
        <f t="shared" si="116"/>
        <v>1499.6167556217833</v>
      </c>
      <c r="AB204" s="158">
        <f t="shared" si="116"/>
        <v>1592.8885909810065</v>
      </c>
      <c r="AC204" s="158">
        <f t="shared" si="116"/>
        <v>1616.7087573923538</v>
      </c>
      <c r="AD204" s="158">
        <f t="shared" si="116"/>
        <v>1665.4922687366029</v>
      </c>
      <c r="AE204" s="158">
        <f t="shared" si="116"/>
        <v>1707.1911479536448</v>
      </c>
      <c r="AF204" s="158">
        <f t="shared" si="116"/>
        <v>1740.8529416271865</v>
      </c>
      <c r="AG204" s="158">
        <f t="shared" si="116"/>
        <v>1773.7529266664149</v>
      </c>
      <c r="AH204" s="187">
        <f t="shared" si="116"/>
        <v>1782.6316020603183</v>
      </c>
    </row>
    <row r="205" spans="1:34">
      <c r="A205" s="1"/>
      <c r="C205" s="331"/>
      <c r="D205" s="331"/>
      <c r="E205" s="331"/>
      <c r="F205" s="331"/>
      <c r="G205" s="331"/>
      <c r="H205" s="402"/>
      <c r="I205" s="14"/>
      <c r="J205" s="14"/>
      <c r="K205" s="14"/>
      <c r="L205" s="14"/>
      <c r="M205" s="14"/>
      <c r="N205" s="187"/>
      <c r="O205" s="14"/>
      <c r="P205" s="14"/>
      <c r="Q205" s="14"/>
      <c r="R205" s="14"/>
      <c r="S205" s="14"/>
      <c r="T205" s="14"/>
      <c r="U205" s="14"/>
      <c r="V205" s="14"/>
      <c r="W205" s="14"/>
      <c r="X205" s="187"/>
    </row>
    <row r="206" spans="1:34">
      <c r="A206" s="1" t="s">
        <v>453</v>
      </c>
      <c r="C206" s="331"/>
      <c r="D206" s="331">
        <f>D194</f>
        <v>292.24413000000004</v>
      </c>
      <c r="E206" s="331">
        <f>D206+E194</f>
        <v>624.2150708852464</v>
      </c>
      <c r="F206" s="331">
        <f>E206+F194</f>
        <v>991.41330329604295</v>
      </c>
      <c r="G206" s="331">
        <f>F206+G194</f>
        <v>1425.0195981305842</v>
      </c>
      <c r="H206" s="402">
        <f t="shared" ref="H206:X206" si="117">G206+H194</f>
        <v>1870.2320195679699</v>
      </c>
      <c r="I206" s="14">
        <f t="shared" si="117"/>
        <v>2336.3207385567503</v>
      </c>
      <c r="J206" s="14">
        <f t="shared" si="117"/>
        <v>2859.1352685234733</v>
      </c>
      <c r="K206" s="14">
        <f t="shared" si="117"/>
        <v>3455.5213806142433</v>
      </c>
      <c r="L206" s="14">
        <f t="shared" si="117"/>
        <v>4093.330708775527</v>
      </c>
      <c r="M206" s="14">
        <f t="shared" si="117"/>
        <v>4748.6883962489719</v>
      </c>
      <c r="N206" s="187">
        <f t="shared" si="117"/>
        <v>5407.3828732580014</v>
      </c>
      <c r="O206" s="14">
        <f t="shared" si="117"/>
        <v>6087.9682342723872</v>
      </c>
      <c r="P206" s="14">
        <f t="shared" si="117"/>
        <v>6807.1684660371684</v>
      </c>
      <c r="Q206" s="14">
        <f t="shared" si="117"/>
        <v>7578.9271140938836</v>
      </c>
      <c r="R206" s="14">
        <f t="shared" si="117"/>
        <v>8406.3465013587338</v>
      </c>
      <c r="S206" s="14">
        <f t="shared" si="117"/>
        <v>9273.2352072656449</v>
      </c>
      <c r="T206" s="14">
        <f t="shared" si="117"/>
        <v>10198.734466325219</v>
      </c>
      <c r="U206" s="14">
        <f t="shared" si="117"/>
        <v>11174.82929767651</v>
      </c>
      <c r="V206" s="14">
        <f t="shared" si="117"/>
        <v>12178.667406283048</v>
      </c>
      <c r="W206" s="14">
        <f t="shared" si="117"/>
        <v>13185.864808391949</v>
      </c>
      <c r="X206" s="187">
        <f t="shared" si="117"/>
        <v>14219.394684899698</v>
      </c>
      <c r="Y206" s="158">
        <f t="shared" ref="Y206:AH206" si="118">X206+Y194</f>
        <v>15321.421704872599</v>
      </c>
      <c r="Z206" s="158">
        <f t="shared" si="118"/>
        <v>16526.475815356713</v>
      </c>
      <c r="AA206" s="158">
        <f t="shared" si="118"/>
        <v>17826.047769316236</v>
      </c>
      <c r="AB206" s="158">
        <f t="shared" si="118"/>
        <v>19218.891558634979</v>
      </c>
      <c r="AC206" s="158">
        <f t="shared" si="118"/>
        <v>20635.172576833502</v>
      </c>
      <c r="AD206" s="158">
        <f t="shared" si="118"/>
        <v>22100.237039792337</v>
      </c>
      <c r="AE206" s="158">
        <f t="shared" si="118"/>
        <v>23607.000427837149</v>
      </c>
      <c r="AF206" s="158">
        <f t="shared" si="118"/>
        <v>25147.425677619081</v>
      </c>
      <c r="AG206" s="158">
        <f t="shared" si="118"/>
        <v>26719.825956517332</v>
      </c>
      <c r="AH206" s="187">
        <f t="shared" si="118"/>
        <v>28301.104931524489</v>
      </c>
    </row>
    <row r="207" spans="1:34">
      <c r="A207" s="1" t="s">
        <v>456</v>
      </c>
      <c r="C207" s="331"/>
      <c r="D207" s="331">
        <f>D200</f>
        <v>8467.0079999999998</v>
      </c>
      <c r="E207" s="331">
        <f>D207+E200</f>
        <v>17168.506839659996</v>
      </c>
      <c r="F207" s="331">
        <f>E207+F200</f>
        <v>26164.058776899998</v>
      </c>
      <c r="G207" s="331">
        <f t="shared" ref="G207:X207" si="119">F207+G200</f>
        <v>35012.398055029997</v>
      </c>
      <c r="H207" s="402">
        <f t="shared" si="119"/>
        <v>44081.000203129995</v>
      </c>
      <c r="I207" s="14">
        <f t="shared" si="119"/>
        <v>53025.961995379999</v>
      </c>
      <c r="J207" s="14">
        <f t="shared" si="119"/>
        <v>62032.03114911</v>
      </c>
      <c r="K207" s="14">
        <f t="shared" si="119"/>
        <v>71256.715270510002</v>
      </c>
      <c r="L207" s="14">
        <f t="shared" si="119"/>
        <v>80676.792451090005</v>
      </c>
      <c r="M207" s="14">
        <f t="shared" si="119"/>
        <v>90142.711643600007</v>
      </c>
      <c r="N207" s="187">
        <f t="shared" si="119"/>
        <v>99683.195513220009</v>
      </c>
      <c r="O207" s="14">
        <f t="shared" si="119"/>
        <v>109241.79750924002</v>
      </c>
      <c r="P207" s="14">
        <f t="shared" si="119"/>
        <v>118934.64750981002</v>
      </c>
      <c r="Q207" s="14">
        <f t="shared" si="119"/>
        <v>128784.59054626002</v>
      </c>
      <c r="R207" s="14">
        <f t="shared" si="119"/>
        <v>138694.77757146003</v>
      </c>
      <c r="S207" s="14">
        <f t="shared" si="119"/>
        <v>148729.71450007003</v>
      </c>
      <c r="T207" s="14">
        <f t="shared" si="119"/>
        <v>158906.61918890002</v>
      </c>
      <c r="U207" s="14">
        <f t="shared" si="119"/>
        <v>169169.36684483002</v>
      </c>
      <c r="V207" s="14">
        <f t="shared" si="119"/>
        <v>179489.29387653002</v>
      </c>
      <c r="W207" s="14">
        <f t="shared" si="119"/>
        <v>189949.92761052001</v>
      </c>
      <c r="X207" s="187">
        <f t="shared" si="119"/>
        <v>200533.12104287001</v>
      </c>
      <c r="Y207" s="158">
        <f t="shared" ref="Y207:AH207" si="120">X207+Y200</f>
        <v>211105.26289798002</v>
      </c>
      <c r="Z207" s="158">
        <f t="shared" si="120"/>
        <v>221775.63778777001</v>
      </c>
      <c r="AA207" s="158">
        <f t="shared" si="120"/>
        <v>232495.94441194</v>
      </c>
      <c r="AB207" s="158">
        <f t="shared" si="120"/>
        <v>243237.88555825001</v>
      </c>
      <c r="AC207" s="158">
        <f t="shared" si="120"/>
        <v>254012.70170650003</v>
      </c>
      <c r="AD207" s="158">
        <f t="shared" si="120"/>
        <v>264761.62394814001</v>
      </c>
      <c r="AE207" s="158">
        <f t="shared" si="120"/>
        <v>275510.77395171003</v>
      </c>
      <c r="AF207" s="158">
        <f t="shared" si="120"/>
        <v>286304.96107895003</v>
      </c>
      <c r="AG207" s="158">
        <f t="shared" si="120"/>
        <v>297218.32530434005</v>
      </c>
      <c r="AH207" s="187">
        <f t="shared" si="120"/>
        <v>308235.73701129004</v>
      </c>
    </row>
    <row r="208" spans="1:34">
      <c r="A208" s="1"/>
      <c r="C208" s="331"/>
      <c r="D208" s="331"/>
      <c r="E208" s="331"/>
      <c r="F208" s="331"/>
      <c r="G208" s="331"/>
      <c r="H208" s="402"/>
      <c r="I208" s="14"/>
      <c r="J208" s="14"/>
      <c r="K208" s="14"/>
      <c r="L208" s="14"/>
      <c r="M208" s="14"/>
      <c r="N208" s="187"/>
      <c r="O208" s="14"/>
      <c r="P208" s="14"/>
      <c r="Q208" s="14"/>
      <c r="R208" s="14"/>
      <c r="S208" s="14"/>
      <c r="T208" s="14"/>
      <c r="U208" s="14"/>
      <c r="V208" s="14"/>
      <c r="W208" s="14"/>
      <c r="X208" s="187"/>
    </row>
    <row r="209" spans="1:34">
      <c r="A209" s="1" t="s">
        <v>412</v>
      </c>
      <c r="C209" s="331"/>
      <c r="D209" s="331"/>
      <c r="E209" s="331"/>
      <c r="F209" s="331"/>
      <c r="G209" s="331"/>
      <c r="H209" s="402"/>
      <c r="I209" s="14"/>
      <c r="J209" s="14"/>
      <c r="K209" s="14"/>
      <c r="L209" s="14"/>
      <c r="M209" s="14"/>
      <c r="N209" s="187"/>
      <c r="O209" s="14"/>
      <c r="P209" s="14"/>
      <c r="Q209" s="14"/>
      <c r="R209" s="14"/>
      <c r="S209" s="14"/>
      <c r="T209" s="14"/>
      <c r="U209" s="14"/>
      <c r="V209" s="14"/>
      <c r="W209" s="14"/>
      <c r="X209" s="187"/>
    </row>
    <row r="210" spans="1:34" s="1" customFormat="1">
      <c r="A210" s="1" t="s">
        <v>409</v>
      </c>
      <c r="B210" s="13"/>
      <c r="C210" s="341">
        <f>SUM(C211:C212)</f>
        <v>0</v>
      </c>
      <c r="D210" s="341">
        <f t="shared" ref="D210:AH210" si="121">SUM(D211:D212)</f>
        <v>0</v>
      </c>
      <c r="E210" s="341">
        <f t="shared" si="121"/>
        <v>0</v>
      </c>
      <c r="F210" s="341">
        <f t="shared" si="121"/>
        <v>0</v>
      </c>
      <c r="G210" s="341">
        <f t="shared" si="121"/>
        <v>0</v>
      </c>
      <c r="H210" s="405">
        <f t="shared" si="121"/>
        <v>0</v>
      </c>
      <c r="I210" s="15">
        <f t="shared" si="121"/>
        <v>0</v>
      </c>
      <c r="J210" s="15">
        <f t="shared" si="121"/>
        <v>0</v>
      </c>
      <c r="K210" s="15">
        <f t="shared" si="121"/>
        <v>0</v>
      </c>
      <c r="L210" s="15">
        <f t="shared" si="121"/>
        <v>0</v>
      </c>
      <c r="M210" s="15">
        <f t="shared" si="121"/>
        <v>0</v>
      </c>
      <c r="N210" s="190">
        <f t="shared" si="121"/>
        <v>0</v>
      </c>
      <c r="O210" s="15">
        <f>SUM(O211:O212)</f>
        <v>0</v>
      </c>
      <c r="P210" s="15">
        <f t="shared" si="121"/>
        <v>0</v>
      </c>
      <c r="Q210" s="15">
        <f t="shared" si="121"/>
        <v>0</v>
      </c>
      <c r="R210" s="15">
        <f t="shared" si="121"/>
        <v>0</v>
      </c>
      <c r="S210" s="15">
        <f t="shared" si="121"/>
        <v>0</v>
      </c>
      <c r="T210" s="15">
        <f t="shared" si="121"/>
        <v>0</v>
      </c>
      <c r="U210" s="15">
        <f t="shared" si="121"/>
        <v>0</v>
      </c>
      <c r="V210" s="15">
        <f t="shared" si="121"/>
        <v>0</v>
      </c>
      <c r="W210" s="15">
        <f t="shared" si="121"/>
        <v>0</v>
      </c>
      <c r="X210" s="190">
        <f t="shared" si="121"/>
        <v>0</v>
      </c>
      <c r="Y210" s="130">
        <f t="shared" si="121"/>
        <v>0</v>
      </c>
      <c r="Z210" s="130">
        <f t="shared" si="121"/>
        <v>0</v>
      </c>
      <c r="AA210" s="130">
        <f t="shared" si="121"/>
        <v>0</v>
      </c>
      <c r="AB210" s="130">
        <f t="shared" si="121"/>
        <v>0</v>
      </c>
      <c r="AC210" s="130">
        <f t="shared" si="121"/>
        <v>0</v>
      </c>
      <c r="AD210" s="130">
        <f t="shared" si="121"/>
        <v>0</v>
      </c>
      <c r="AE210" s="130">
        <f t="shared" si="121"/>
        <v>0</v>
      </c>
      <c r="AF210" s="130">
        <f t="shared" si="121"/>
        <v>0</v>
      </c>
      <c r="AG210" s="130">
        <f t="shared" si="121"/>
        <v>0</v>
      </c>
      <c r="AH210" s="190">
        <f t="shared" si="121"/>
        <v>0</v>
      </c>
    </row>
    <row r="211" spans="1:34">
      <c r="A211" t="s">
        <v>410</v>
      </c>
      <c r="C211" s="331">
        <f>C100</f>
        <v>0</v>
      </c>
      <c r="D211" s="331">
        <f t="shared" ref="D211:AH211" si="122">D100</f>
        <v>0</v>
      </c>
      <c r="E211" s="331">
        <f t="shared" si="122"/>
        <v>0</v>
      </c>
      <c r="F211" s="331">
        <f t="shared" si="122"/>
        <v>0</v>
      </c>
      <c r="G211" s="331">
        <f t="shared" si="122"/>
        <v>0</v>
      </c>
      <c r="H211" s="402">
        <f t="shared" si="122"/>
        <v>0</v>
      </c>
      <c r="I211" s="14">
        <f t="shared" si="122"/>
        <v>0</v>
      </c>
      <c r="J211" s="14">
        <f t="shared" si="122"/>
        <v>0</v>
      </c>
      <c r="K211" s="14">
        <f t="shared" si="122"/>
        <v>0</v>
      </c>
      <c r="L211" s="14">
        <f t="shared" si="122"/>
        <v>0</v>
      </c>
      <c r="M211" s="14">
        <f t="shared" si="122"/>
        <v>0</v>
      </c>
      <c r="N211" s="187">
        <f t="shared" si="122"/>
        <v>0</v>
      </c>
      <c r="O211" s="14">
        <f>O100</f>
        <v>0</v>
      </c>
      <c r="P211" s="14">
        <f t="shared" si="122"/>
        <v>0</v>
      </c>
      <c r="Q211" s="14">
        <f t="shared" si="122"/>
        <v>0</v>
      </c>
      <c r="R211" s="14">
        <f t="shared" si="122"/>
        <v>0</v>
      </c>
      <c r="S211" s="14">
        <f t="shared" si="122"/>
        <v>0</v>
      </c>
      <c r="T211" s="14">
        <f t="shared" si="122"/>
        <v>0</v>
      </c>
      <c r="U211" s="14">
        <f t="shared" si="122"/>
        <v>0</v>
      </c>
      <c r="V211" s="14">
        <f t="shared" si="122"/>
        <v>0</v>
      </c>
      <c r="W211" s="14">
        <f t="shared" si="122"/>
        <v>0</v>
      </c>
      <c r="X211" s="187">
        <f t="shared" si="122"/>
        <v>0</v>
      </c>
      <c r="Y211" s="158">
        <f t="shared" si="122"/>
        <v>0</v>
      </c>
      <c r="Z211" s="158">
        <f t="shared" si="122"/>
        <v>0</v>
      </c>
      <c r="AA211" s="158">
        <f t="shared" si="122"/>
        <v>0</v>
      </c>
      <c r="AB211" s="158">
        <f t="shared" si="122"/>
        <v>0</v>
      </c>
      <c r="AC211" s="158">
        <f t="shared" si="122"/>
        <v>0</v>
      </c>
      <c r="AD211" s="158">
        <f t="shared" si="122"/>
        <v>0</v>
      </c>
      <c r="AE211" s="158">
        <f t="shared" si="122"/>
        <v>0</v>
      </c>
      <c r="AF211" s="158">
        <f t="shared" si="122"/>
        <v>0</v>
      </c>
      <c r="AG211" s="158">
        <f t="shared" si="122"/>
        <v>0</v>
      </c>
      <c r="AH211" s="187">
        <f t="shared" si="122"/>
        <v>0</v>
      </c>
    </row>
    <row r="212" spans="1:34">
      <c r="A212" t="s">
        <v>411</v>
      </c>
      <c r="C212" s="331">
        <f>C127</f>
        <v>0</v>
      </c>
      <c r="D212" s="331">
        <f t="shared" ref="D212:AH212" si="123">D127</f>
        <v>0</v>
      </c>
      <c r="E212" s="331">
        <f t="shared" si="123"/>
        <v>0</v>
      </c>
      <c r="F212" s="331">
        <f t="shared" si="123"/>
        <v>0</v>
      </c>
      <c r="G212" s="331">
        <f t="shared" si="123"/>
        <v>0</v>
      </c>
      <c r="H212" s="402">
        <f t="shared" si="123"/>
        <v>0</v>
      </c>
      <c r="I212" s="14">
        <f t="shared" si="123"/>
        <v>0</v>
      </c>
      <c r="J212" s="14">
        <f t="shared" si="123"/>
        <v>0</v>
      </c>
      <c r="K212" s="14">
        <f t="shared" si="123"/>
        <v>0</v>
      </c>
      <c r="L212" s="14">
        <f t="shared" si="123"/>
        <v>0</v>
      </c>
      <c r="M212" s="14">
        <f t="shared" si="123"/>
        <v>0</v>
      </c>
      <c r="N212" s="187">
        <f t="shared" si="123"/>
        <v>0</v>
      </c>
      <c r="O212" s="14">
        <f>O127</f>
        <v>0</v>
      </c>
      <c r="P212" s="14">
        <f t="shared" si="123"/>
        <v>0</v>
      </c>
      <c r="Q212" s="14">
        <f t="shared" si="123"/>
        <v>0</v>
      </c>
      <c r="R212" s="14">
        <f t="shared" si="123"/>
        <v>0</v>
      </c>
      <c r="S212" s="14">
        <f t="shared" si="123"/>
        <v>0</v>
      </c>
      <c r="T212" s="14">
        <f t="shared" si="123"/>
        <v>0</v>
      </c>
      <c r="U212" s="14">
        <f t="shared" si="123"/>
        <v>0</v>
      </c>
      <c r="V212" s="14">
        <f t="shared" si="123"/>
        <v>0</v>
      </c>
      <c r="W212" s="14">
        <f t="shared" si="123"/>
        <v>0</v>
      </c>
      <c r="X212" s="187">
        <f t="shared" si="123"/>
        <v>0</v>
      </c>
      <c r="Y212" s="158">
        <f t="shared" si="123"/>
        <v>0</v>
      </c>
      <c r="Z212" s="158">
        <f t="shared" si="123"/>
        <v>0</v>
      </c>
      <c r="AA212" s="158">
        <f t="shared" si="123"/>
        <v>0</v>
      </c>
      <c r="AB212" s="158">
        <f t="shared" si="123"/>
        <v>0</v>
      </c>
      <c r="AC212" s="158">
        <f t="shared" si="123"/>
        <v>0</v>
      </c>
      <c r="AD212" s="158">
        <f t="shared" si="123"/>
        <v>0</v>
      </c>
      <c r="AE212" s="158">
        <f t="shared" si="123"/>
        <v>0</v>
      </c>
      <c r="AF212" s="158">
        <f t="shared" si="123"/>
        <v>0</v>
      </c>
      <c r="AG212" s="158">
        <f t="shared" si="123"/>
        <v>0</v>
      </c>
      <c r="AH212" s="187">
        <f t="shared" si="123"/>
        <v>0</v>
      </c>
    </row>
    <row r="213" spans="1:34" s="1" customFormat="1">
      <c r="A213" s="1" t="s">
        <v>397</v>
      </c>
      <c r="B213" s="13"/>
      <c r="C213" s="341">
        <f>SUM(C214:C215)</f>
        <v>197.88986</v>
      </c>
      <c r="D213" s="341">
        <f t="shared" ref="D213:AH213" si="124">SUM(D214:D215)</f>
        <v>332.15841964828871</v>
      </c>
      <c r="E213" s="341">
        <f t="shared" si="124"/>
        <v>450.23553800285038</v>
      </c>
      <c r="F213" s="341">
        <f t="shared" si="124"/>
        <v>571.62451138557276</v>
      </c>
      <c r="G213" s="341">
        <f t="shared" si="124"/>
        <v>716.75022175424203</v>
      </c>
      <c r="H213" s="405">
        <f t="shared" si="124"/>
        <v>445.21215143738584</v>
      </c>
      <c r="I213" s="15">
        <f t="shared" si="124"/>
        <v>548.90129491404832</v>
      </c>
      <c r="J213" s="15">
        <f t="shared" si="124"/>
        <v>692.88074098045809</v>
      </c>
      <c r="K213" s="15">
        <f t="shared" si="124"/>
        <v>891.9583931157847</v>
      </c>
      <c r="L213" s="15">
        <f t="shared" si="124"/>
        <v>1145.7516535646446</v>
      </c>
      <c r="M213" s="15">
        <f t="shared" si="124"/>
        <v>1452.4381735014108</v>
      </c>
      <c r="N213" s="190">
        <f t="shared" si="124"/>
        <v>1850.2784008840404</v>
      </c>
      <c r="O213" s="15">
        <f t="shared" si="124"/>
        <v>1889.4904847331638</v>
      </c>
      <c r="P213" s="15">
        <f t="shared" si="124"/>
        <v>1952.9387593333768</v>
      </c>
      <c r="Q213" s="15">
        <f t="shared" si="124"/>
        <v>2024.029688097881</v>
      </c>
      <c r="R213" s="15">
        <f t="shared" si="124"/>
        <v>2078.2072439028743</v>
      </c>
      <c r="S213" s="15">
        <f t="shared" si="124"/>
        <v>2144.7683248309731</v>
      </c>
      <c r="T213" s="15">
        <f t="shared" si="124"/>
        <v>2218.8258725568007</v>
      </c>
      <c r="U213" s="15">
        <f t="shared" si="124"/>
        <v>2282.2572286174291</v>
      </c>
      <c r="V213" s="15">
        <f t="shared" si="124"/>
        <v>2339.0445116751671</v>
      </c>
      <c r="W213" s="15">
        <f t="shared" si="124"/>
        <v>2412.8880316282657</v>
      </c>
      <c r="X213" s="190">
        <f t="shared" si="124"/>
        <v>2486.9156186013511</v>
      </c>
      <c r="Y213" s="130">
        <f t="shared" si="124"/>
        <v>2547.5954126291936</v>
      </c>
      <c r="Z213" s="130">
        <f t="shared" si="124"/>
        <v>2638.0329734034653</v>
      </c>
      <c r="AA213" s="130">
        <f t="shared" si="124"/>
        <v>2719.3793277456571</v>
      </c>
      <c r="AB213" s="130">
        <f t="shared" si="124"/>
        <v>2795.9628232265413</v>
      </c>
      <c r="AC213" s="130">
        <f t="shared" si="124"/>
        <v>2869.6338926114968</v>
      </c>
      <c r="AD213" s="130">
        <f t="shared" si="124"/>
        <v>2934.7602178329234</v>
      </c>
      <c r="AE213" s="130">
        <f t="shared" si="124"/>
        <v>3007.0576535745499</v>
      </c>
      <c r="AF213" s="130">
        <f t="shared" si="124"/>
        <v>3091.1273526732057</v>
      </c>
      <c r="AG213" s="130">
        <f t="shared" si="124"/>
        <v>3197.1672755041573</v>
      </c>
      <c r="AH213" s="190">
        <f t="shared" si="124"/>
        <v>3299.4080799544481</v>
      </c>
    </row>
    <row r="214" spans="1:34">
      <c r="A214" t="s">
        <v>398</v>
      </c>
      <c r="C214" s="331">
        <f>C115</f>
        <v>104.15270000000001</v>
      </c>
      <c r="D214" s="331">
        <f t="shared" ref="D214:AH214" si="125">D115</f>
        <v>174.82038299835</v>
      </c>
      <c r="E214" s="331">
        <f t="shared" si="125"/>
        <v>236.96626904280663</v>
      </c>
      <c r="F214" s="331">
        <f t="shared" si="125"/>
        <v>300.85524484552843</v>
      </c>
      <c r="G214" s="331">
        <f t="shared" si="125"/>
        <v>377.23723541768243</v>
      </c>
      <c r="H214" s="402">
        <f t="shared" si="125"/>
        <v>234.32232707230833</v>
      </c>
      <c r="I214" s="14">
        <f t="shared" si="125"/>
        <v>288.89558362368172</v>
      </c>
      <c r="J214" s="14">
        <f t="shared" si="125"/>
        <v>364.67427042039668</v>
      </c>
      <c r="K214" s="14">
        <f t="shared" si="125"/>
        <v>469.45202282106214</v>
      </c>
      <c r="L214" s="14">
        <f t="shared" si="125"/>
        <v>603.02747086621162</v>
      </c>
      <c r="M214" s="14">
        <f t="shared" si="125"/>
        <v>764.44148075144562</v>
      </c>
      <c r="N214" s="182">
        <f t="shared" si="125"/>
        <v>973.83113648244887</v>
      </c>
      <c r="O214" s="14">
        <f t="shared" si="125"/>
        <v>994.46908380993864</v>
      </c>
      <c r="P214" s="14">
        <f t="shared" si="125"/>
        <v>1027.8629262350864</v>
      </c>
      <c r="Q214" s="14">
        <f t="shared" si="125"/>
        <v>1065.279219869197</v>
      </c>
      <c r="R214" s="14">
        <f t="shared" si="125"/>
        <v>1093.7937346126052</v>
      </c>
      <c r="S214" s="14">
        <f t="shared" si="125"/>
        <v>1128.825896829243</v>
      </c>
      <c r="T214" s="14">
        <f t="shared" si="125"/>
        <v>1167.8035695040621</v>
      </c>
      <c r="U214" s="14">
        <f t="shared" si="125"/>
        <v>1201.1885074310417</v>
      </c>
      <c r="V214" s="14">
        <f t="shared" si="125"/>
        <v>1231.0765633968063</v>
      </c>
      <c r="W214" s="14">
        <f t="shared" si="125"/>
        <v>1269.9415898292784</v>
      </c>
      <c r="X214" s="187">
        <f t="shared" si="125"/>
        <v>1308.903493680401</v>
      </c>
      <c r="Y214" s="158">
        <f t="shared" si="125"/>
        <v>1340.8402404701928</v>
      </c>
      <c r="Z214" s="158">
        <f t="shared" si="125"/>
        <v>1388.4389761779819</v>
      </c>
      <c r="AA214" s="158">
        <f t="shared" si="125"/>
        <v>1431.252864433885</v>
      </c>
      <c r="AB214" s="158">
        <f t="shared" si="125"/>
        <v>1471.5599838405185</v>
      </c>
      <c r="AC214" s="158">
        <f t="shared" si="125"/>
        <v>1510.3342467788691</v>
      </c>
      <c r="AD214" s="158">
        <f t="shared" si="125"/>
        <v>1544.6112741035165</v>
      </c>
      <c r="AE214" s="158">
        <f t="shared" si="125"/>
        <v>1582.662571670086</v>
      </c>
      <c r="AF214" s="158">
        <f t="shared" si="125"/>
        <v>1626.909799859025</v>
      </c>
      <c r="AG214" s="158">
        <f t="shared" si="125"/>
        <v>1682.7203084363496</v>
      </c>
      <c r="AH214" s="187">
        <f t="shared" si="125"/>
        <v>1736.5312802042388</v>
      </c>
    </row>
    <row r="215" spans="1:34">
      <c r="A215" t="s">
        <v>399</v>
      </c>
      <c r="C215" s="331">
        <f>C142</f>
        <v>93.737160000000003</v>
      </c>
      <c r="D215" s="331">
        <f t="shared" ref="D215:AH215" si="126">D142</f>
        <v>157.33803664993872</v>
      </c>
      <c r="E215" s="331">
        <f t="shared" si="126"/>
        <v>213.26926896004377</v>
      </c>
      <c r="F215" s="331">
        <f t="shared" si="126"/>
        <v>270.76926654004433</v>
      </c>
      <c r="G215" s="331">
        <f t="shared" si="126"/>
        <v>339.51298633655961</v>
      </c>
      <c r="H215" s="402">
        <f t="shared" si="126"/>
        <v>210.88982436507752</v>
      </c>
      <c r="I215" s="14">
        <f t="shared" si="126"/>
        <v>260.00571129036661</v>
      </c>
      <c r="J215" s="14">
        <f t="shared" si="126"/>
        <v>328.20647056006135</v>
      </c>
      <c r="K215" s="14">
        <f t="shared" si="126"/>
        <v>422.50637029472261</v>
      </c>
      <c r="L215" s="14">
        <f t="shared" si="126"/>
        <v>542.72418269843286</v>
      </c>
      <c r="M215" s="14">
        <f t="shared" si="126"/>
        <v>687.99669274996518</v>
      </c>
      <c r="N215" s="182">
        <f t="shared" si="126"/>
        <v>876.4472644015915</v>
      </c>
      <c r="O215" s="14">
        <f t="shared" si="126"/>
        <v>895.0214009232252</v>
      </c>
      <c r="P215" s="14">
        <f t="shared" si="126"/>
        <v>925.07583309829033</v>
      </c>
      <c r="Q215" s="14">
        <f t="shared" si="126"/>
        <v>958.75046822868399</v>
      </c>
      <c r="R215" s="14">
        <f t="shared" si="126"/>
        <v>984.41350929026885</v>
      </c>
      <c r="S215" s="14">
        <f t="shared" si="126"/>
        <v>1015.9424280017299</v>
      </c>
      <c r="T215" s="14">
        <f t="shared" si="126"/>
        <v>1051.0223030527386</v>
      </c>
      <c r="U215" s="14">
        <f t="shared" si="126"/>
        <v>1081.0687211863874</v>
      </c>
      <c r="V215" s="14">
        <f t="shared" si="126"/>
        <v>1107.9679482783608</v>
      </c>
      <c r="W215" s="14">
        <f t="shared" si="126"/>
        <v>1142.9464417989875</v>
      </c>
      <c r="X215" s="187">
        <f t="shared" si="126"/>
        <v>1178.0121249209501</v>
      </c>
      <c r="Y215" s="158">
        <f t="shared" si="126"/>
        <v>1206.7551721590005</v>
      </c>
      <c r="Z215" s="158">
        <f t="shared" si="126"/>
        <v>1249.5939972254835</v>
      </c>
      <c r="AA215" s="158">
        <f t="shared" si="126"/>
        <v>1288.1264633117721</v>
      </c>
      <c r="AB215" s="158">
        <f t="shared" si="126"/>
        <v>1324.4028393860226</v>
      </c>
      <c r="AC215" s="158">
        <f t="shared" si="126"/>
        <v>1359.2996458326277</v>
      </c>
      <c r="AD215" s="158">
        <f t="shared" si="126"/>
        <v>1390.1489437294067</v>
      </c>
      <c r="AE215" s="158">
        <f t="shared" si="126"/>
        <v>1424.395081904464</v>
      </c>
      <c r="AF215" s="158">
        <f t="shared" si="126"/>
        <v>1464.2175528141804</v>
      </c>
      <c r="AG215" s="158">
        <f t="shared" si="126"/>
        <v>1514.4469670678077</v>
      </c>
      <c r="AH215" s="187">
        <f t="shared" si="126"/>
        <v>1562.8767997502091</v>
      </c>
    </row>
    <row r="216" spans="1:34">
      <c r="A216" t="s">
        <v>400</v>
      </c>
      <c r="C216" s="331">
        <f>SUM(C217:C218)</f>
        <v>237.97215</v>
      </c>
      <c r="D216" s="331">
        <f t="shared" ref="D216:AH216" si="127">SUM(D217:D218)</f>
        <v>225.61216384569656</v>
      </c>
      <c r="E216" s="331">
        <f t="shared" si="127"/>
        <v>226.99015134475562</v>
      </c>
      <c r="F216" s="331">
        <f t="shared" si="127"/>
        <v>229.12738436565519</v>
      </c>
      <c r="G216" s="331">
        <f t="shared" si="127"/>
        <v>220.11145191615537</v>
      </c>
      <c r="H216" s="402">
        <f t="shared" si="127"/>
        <v>189.49883544744296</v>
      </c>
      <c r="I216" s="14">
        <f t="shared" si="127"/>
        <v>186.80972583685389</v>
      </c>
      <c r="J216" s="14">
        <f t="shared" si="127"/>
        <v>188.04886916404192</v>
      </c>
      <c r="K216" s="14">
        <f t="shared" si="127"/>
        <v>192.52245266394362</v>
      </c>
      <c r="L216" s="14">
        <f t="shared" si="127"/>
        <v>196.13340143867174</v>
      </c>
      <c r="M216" s="14">
        <f t="shared" si="127"/>
        <v>196.63971659248369</v>
      </c>
      <c r="N216" s="190">
        <f t="shared" si="127"/>
        <v>197.56341368789396</v>
      </c>
      <c r="O216" s="14">
        <f t="shared" si="127"/>
        <v>196.18055499489117</v>
      </c>
      <c r="P216" s="14">
        <f t="shared" si="127"/>
        <v>197.1514051324138</v>
      </c>
      <c r="Q216" s="14">
        <f t="shared" si="127"/>
        <v>198.64859386078263</v>
      </c>
      <c r="R216" s="14">
        <f t="shared" si="127"/>
        <v>198.27654429708227</v>
      </c>
      <c r="S216" s="15">
        <f t="shared" si="127"/>
        <v>198.89889256423368</v>
      </c>
      <c r="T216" s="14">
        <f t="shared" si="127"/>
        <v>199.98591090201728</v>
      </c>
      <c r="U216" s="14">
        <f t="shared" si="127"/>
        <v>199.90273796482276</v>
      </c>
      <c r="V216" s="14">
        <f t="shared" si="127"/>
        <v>199.07806527111501</v>
      </c>
      <c r="W216" s="14">
        <f t="shared" si="127"/>
        <v>199.5283770994827</v>
      </c>
      <c r="X216" s="187">
        <f t="shared" si="127"/>
        <v>199.78454873150946</v>
      </c>
      <c r="Y216" s="158">
        <f t="shared" si="127"/>
        <v>199.13378329035424</v>
      </c>
      <c r="Z216" s="158">
        <f t="shared" si="127"/>
        <v>200.63060919045719</v>
      </c>
      <c r="AA216" s="158">
        <f t="shared" si="127"/>
        <v>201.22316781868602</v>
      </c>
      <c r="AB216" s="158">
        <f t="shared" si="127"/>
        <v>201.28870998471166</v>
      </c>
      <c r="AC216" s="158">
        <f t="shared" si="127"/>
        <v>200.99388757992625</v>
      </c>
      <c r="AD216" s="158">
        <f t="shared" si="127"/>
        <v>199.97959912312817</v>
      </c>
      <c r="AE216" s="158">
        <f t="shared" si="127"/>
        <v>199.34245215380076</v>
      </c>
      <c r="AF216" s="158">
        <f t="shared" si="127"/>
        <v>199.3462390569544</v>
      </c>
      <c r="AG216" s="158">
        <f t="shared" si="127"/>
        <v>200.57538055782351</v>
      </c>
      <c r="AH216" s="187">
        <f t="shared" si="127"/>
        <v>201.35262705316089</v>
      </c>
    </row>
    <row r="217" spans="1:34">
      <c r="A217" t="s">
        <v>401</v>
      </c>
      <c r="C217" s="331">
        <f>C114</f>
        <v>125.24849999999999</v>
      </c>
      <c r="D217" s="331">
        <f t="shared" ref="D217:AH217" si="128">D114</f>
        <v>118.74324412931398</v>
      </c>
      <c r="E217" s="331">
        <f t="shared" si="128"/>
        <v>119.46850070776611</v>
      </c>
      <c r="F217" s="331">
        <f t="shared" si="128"/>
        <v>120.59336019245009</v>
      </c>
      <c r="G217" s="331">
        <f t="shared" si="128"/>
        <v>115.84813258745019</v>
      </c>
      <c r="H217" s="402">
        <f t="shared" si="128"/>
        <v>99.736229182864719</v>
      </c>
      <c r="I217" s="14">
        <f t="shared" si="128"/>
        <v>98.320908335186246</v>
      </c>
      <c r="J217" s="14">
        <f t="shared" si="128"/>
        <v>98.973089033706273</v>
      </c>
      <c r="K217" s="14">
        <f t="shared" si="128"/>
        <v>101.32760666523349</v>
      </c>
      <c r="L217" s="14">
        <f t="shared" si="128"/>
        <v>103.22810602035355</v>
      </c>
      <c r="M217" s="14">
        <f t="shared" si="128"/>
        <v>103.49458768025458</v>
      </c>
      <c r="N217" s="187">
        <f t="shared" si="128"/>
        <v>103.98074404625997</v>
      </c>
      <c r="O217" s="14">
        <f t="shared" si="128"/>
        <v>103.25292368152166</v>
      </c>
      <c r="P217" s="14">
        <f t="shared" si="128"/>
        <v>103.76389743811252</v>
      </c>
      <c r="Q217" s="14">
        <f t="shared" si="128"/>
        <v>104.55189150567507</v>
      </c>
      <c r="R217" s="14">
        <f t="shared" si="128"/>
        <v>104.35607594583277</v>
      </c>
      <c r="S217" s="14">
        <f t="shared" si="128"/>
        <v>104.68362766538615</v>
      </c>
      <c r="T217" s="14">
        <f t="shared" si="128"/>
        <v>105.25574258000908</v>
      </c>
      <c r="U217" s="14">
        <f t="shared" si="128"/>
        <v>105.21196734990671</v>
      </c>
      <c r="V217" s="14">
        <f t="shared" si="128"/>
        <v>104.77792909006052</v>
      </c>
      <c r="W217" s="14">
        <f t="shared" si="128"/>
        <v>105.01493531551721</v>
      </c>
      <c r="X217" s="187">
        <f t="shared" si="128"/>
        <v>105.14976249026813</v>
      </c>
      <c r="Y217" s="158">
        <f t="shared" si="128"/>
        <v>104.80725436334434</v>
      </c>
      <c r="Z217" s="158">
        <f t="shared" si="128"/>
        <v>105.59505746866168</v>
      </c>
      <c r="AA217" s="158">
        <f t="shared" si="128"/>
        <v>105.90693043088737</v>
      </c>
      <c r="AB217" s="158">
        <f t="shared" si="128"/>
        <v>105.94142630774297</v>
      </c>
      <c r="AC217" s="158">
        <f t="shared" si="128"/>
        <v>105.78625662101381</v>
      </c>
      <c r="AD217" s="158">
        <f t="shared" si="128"/>
        <v>105.25242059112009</v>
      </c>
      <c r="AE217" s="158">
        <f t="shared" si="128"/>
        <v>104.91708008094777</v>
      </c>
      <c r="AF217" s="158">
        <f t="shared" si="128"/>
        <v>104.91907318787074</v>
      </c>
      <c r="AG217" s="158">
        <f t="shared" si="128"/>
        <v>105.56598976727552</v>
      </c>
      <c r="AH217" s="187">
        <f t="shared" si="128"/>
        <v>105.97506687008467</v>
      </c>
    </row>
    <row r="218" spans="1:34">
      <c r="A218" t="s">
        <v>402</v>
      </c>
      <c r="C218" s="331">
        <f>C141</f>
        <v>112.72364999999999</v>
      </c>
      <c r="D218" s="331">
        <f t="shared" ref="D218:AH218" si="129">D141</f>
        <v>106.86891971638258</v>
      </c>
      <c r="E218" s="331">
        <f t="shared" si="129"/>
        <v>107.52165063698951</v>
      </c>
      <c r="F218" s="331">
        <f t="shared" si="129"/>
        <v>108.53402417320508</v>
      </c>
      <c r="G218" s="331">
        <f t="shared" si="129"/>
        <v>104.26331932870518</v>
      </c>
      <c r="H218" s="402">
        <f t="shared" si="129"/>
        <v>89.762606264578253</v>
      </c>
      <c r="I218" s="14">
        <f t="shared" si="129"/>
        <v>88.488817501667626</v>
      </c>
      <c r="J218" s="14">
        <f t="shared" si="129"/>
        <v>89.075780130335644</v>
      </c>
      <c r="K218" s="14">
        <f t="shared" si="129"/>
        <v>91.194845998710136</v>
      </c>
      <c r="L218" s="14">
        <f t="shared" si="129"/>
        <v>92.905295418318204</v>
      </c>
      <c r="M218" s="14">
        <f t="shared" si="129"/>
        <v>93.145128912229126</v>
      </c>
      <c r="N218" s="187">
        <f t="shared" si="129"/>
        <v>93.58266964163397</v>
      </c>
      <c r="O218" s="14">
        <f t="shared" si="129"/>
        <v>92.927631313369503</v>
      </c>
      <c r="P218" s="14">
        <f t="shared" si="129"/>
        <v>93.387507694301277</v>
      </c>
      <c r="Q218" s="14">
        <f t="shared" si="129"/>
        <v>94.096702355107567</v>
      </c>
      <c r="R218" s="14">
        <f t="shared" si="129"/>
        <v>93.920468351249497</v>
      </c>
      <c r="S218" s="14">
        <f t="shared" si="129"/>
        <v>94.215264898847536</v>
      </c>
      <c r="T218" s="14">
        <f t="shared" si="129"/>
        <v>94.730168322008183</v>
      </c>
      <c r="U218" s="14">
        <f t="shared" si="129"/>
        <v>94.690770614916048</v>
      </c>
      <c r="V218" s="14">
        <f t="shared" si="129"/>
        <v>94.300136181054469</v>
      </c>
      <c r="W218" s="14">
        <f t="shared" si="129"/>
        <v>94.51344178396549</v>
      </c>
      <c r="X218" s="187">
        <f t="shared" si="129"/>
        <v>94.634786241241315</v>
      </c>
      <c r="Y218" s="158">
        <f t="shared" si="129"/>
        <v>94.326528927009903</v>
      </c>
      <c r="Z218" s="158">
        <f t="shared" si="129"/>
        <v>95.035551721795514</v>
      </c>
      <c r="AA218" s="158">
        <f t="shared" si="129"/>
        <v>95.316237387798637</v>
      </c>
      <c r="AB218" s="158">
        <f t="shared" si="129"/>
        <v>95.347283676968672</v>
      </c>
      <c r="AC218" s="158">
        <f t="shared" si="129"/>
        <v>95.207630958912432</v>
      </c>
      <c r="AD218" s="158">
        <f t="shared" si="129"/>
        <v>94.727178532008082</v>
      </c>
      <c r="AE218" s="158">
        <f t="shared" si="129"/>
        <v>94.425372072852994</v>
      </c>
      <c r="AF218" s="158">
        <f t="shared" si="129"/>
        <v>94.427165869083666</v>
      </c>
      <c r="AG218" s="158">
        <f t="shared" si="129"/>
        <v>95.009390790547968</v>
      </c>
      <c r="AH218" s="187">
        <f t="shared" si="129"/>
        <v>95.377560183076213</v>
      </c>
    </row>
    <row r="219" spans="1:34" s="1" customFormat="1">
      <c r="A219" s="1" t="s">
        <v>394</v>
      </c>
      <c r="B219" s="13"/>
      <c r="C219" s="341">
        <f>SUM(C220:C221)</f>
        <v>8771.7300000000014</v>
      </c>
      <c r="D219" s="341">
        <f t="shared" ref="D219:AH219" si="130">SUM(D220:D221)</f>
        <v>8429.1837471336348</v>
      </c>
      <c r="E219" s="341">
        <f t="shared" si="130"/>
        <v>8658.2800998444291</v>
      </c>
      <c r="F219" s="341">
        <f t="shared" si="130"/>
        <v>8901.6404745773452</v>
      </c>
      <c r="G219" s="341">
        <f t="shared" si="130"/>
        <v>8696.6943854091896</v>
      </c>
      <c r="H219" s="405">
        <f t="shared" si="130"/>
        <v>9068.3868780999983</v>
      </c>
      <c r="I219" s="15">
        <f t="shared" si="130"/>
        <v>8905.635145170927</v>
      </c>
      <c r="J219" s="15">
        <f t="shared" si="130"/>
        <v>8915.9532015656405</v>
      </c>
      <c r="K219" s="15">
        <f t="shared" si="130"/>
        <v>9058.1640743577336</v>
      </c>
      <c r="L219" s="15">
        <f t="shared" si="130"/>
        <v>9130.8867156116357</v>
      </c>
      <c r="M219" s="15">
        <f t="shared" si="130"/>
        <v>9023.4780353913393</v>
      </c>
      <c r="N219" s="190">
        <f t="shared" si="130"/>
        <v>8891.1964538307493</v>
      </c>
      <c r="O219" s="15">
        <f t="shared" si="130"/>
        <v>8898.4355144337696</v>
      </c>
      <c r="P219" s="15">
        <f t="shared" si="130"/>
        <v>9013.4536031963689</v>
      </c>
      <c r="Q219" s="15">
        <f t="shared" si="130"/>
        <v>9154.4603551134751</v>
      </c>
      <c r="R219" s="15">
        <f t="shared" si="130"/>
        <v>9210.6617268840491</v>
      </c>
      <c r="S219" s="15">
        <f t="shared" si="130"/>
        <v>9314.3623244645823</v>
      </c>
      <c r="T219" s="15">
        <f t="shared" si="130"/>
        <v>9441.6940108669733</v>
      </c>
      <c r="U219" s="15">
        <f t="shared" si="130"/>
        <v>9515.2519813538529</v>
      </c>
      <c r="V219" s="15">
        <f t="shared" si="130"/>
        <v>9554.3035691043769</v>
      </c>
      <c r="W219" s="15">
        <f t="shared" si="130"/>
        <v>9655.761131294219</v>
      </c>
      <c r="X219" s="190">
        <f t="shared" si="130"/>
        <v>9749.3720705100714</v>
      </c>
      <c r="Y219" s="130">
        <f t="shared" si="130"/>
        <v>9736.8646768418221</v>
      </c>
      <c r="Z219" s="130">
        <f t="shared" si="130"/>
        <v>9829.1627058051599</v>
      </c>
      <c r="AA219" s="130">
        <f t="shared" si="130"/>
        <v>9876.7499495974189</v>
      </c>
      <c r="AB219" s="130">
        <f t="shared" si="130"/>
        <v>9897.9305632095129</v>
      </c>
      <c r="AC219" s="130">
        <f t="shared" si="130"/>
        <v>9900.7603531754412</v>
      </c>
      <c r="AD219" s="130">
        <f t="shared" si="130"/>
        <v>9867.3587523836359</v>
      </c>
      <c r="AE219" s="130">
        <f t="shared" si="130"/>
        <v>9851.8583646683364</v>
      </c>
      <c r="AF219" s="130">
        <f t="shared" si="130"/>
        <v>9867.3971973721491</v>
      </c>
      <c r="AG219" s="130">
        <f t="shared" si="130"/>
        <v>9943.131657504282</v>
      </c>
      <c r="AH219" s="190">
        <f t="shared" si="130"/>
        <v>9995.8547282657</v>
      </c>
    </row>
    <row r="220" spans="1:34">
      <c r="A220" t="s">
        <v>403</v>
      </c>
      <c r="C220" s="331">
        <f>SUM(C116:C117)</f>
        <v>4616.7000000000007</v>
      </c>
      <c r="D220" s="331">
        <f t="shared" ref="D220:AH220" si="131">SUM(D116:D117)</f>
        <v>4436.4124984913869</v>
      </c>
      <c r="E220" s="331">
        <f t="shared" si="131"/>
        <v>4556.9895262339105</v>
      </c>
      <c r="F220" s="331">
        <f t="shared" si="131"/>
        <v>4685.0739339880765</v>
      </c>
      <c r="G220" s="331">
        <f t="shared" si="131"/>
        <v>4577.2075712679944</v>
      </c>
      <c r="H220" s="402">
        <f t="shared" si="131"/>
        <v>4772.8351989999992</v>
      </c>
      <c r="I220" s="14">
        <f t="shared" si="131"/>
        <v>4687.1763921952243</v>
      </c>
      <c r="J220" s="14">
        <f t="shared" si="131"/>
        <v>4692.6069481924424</v>
      </c>
      <c r="K220" s="14">
        <f t="shared" si="131"/>
        <v>4767.4547759777552</v>
      </c>
      <c r="L220" s="14">
        <f t="shared" si="131"/>
        <v>4805.7298503219126</v>
      </c>
      <c r="M220" s="14">
        <f t="shared" si="131"/>
        <v>4749.1989659954415</v>
      </c>
      <c r="N220" s="187">
        <f t="shared" si="131"/>
        <v>4679.5770809635524</v>
      </c>
      <c r="O220" s="14">
        <f t="shared" si="131"/>
        <v>4683.3871128598785</v>
      </c>
      <c r="P220" s="14">
        <f t="shared" si="131"/>
        <v>4743.9229490507205</v>
      </c>
      <c r="Q220" s="14">
        <f t="shared" si="131"/>
        <v>4818.1370290070918</v>
      </c>
      <c r="R220" s="14">
        <f t="shared" si="131"/>
        <v>4847.7166983600255</v>
      </c>
      <c r="S220" s="14">
        <f t="shared" si="131"/>
        <v>4902.2959602445171</v>
      </c>
      <c r="T220" s="14">
        <f t="shared" si="131"/>
        <v>4969.312637298407</v>
      </c>
      <c r="U220" s="14">
        <f t="shared" si="131"/>
        <v>5008.0273586072908</v>
      </c>
      <c r="V220" s="14">
        <f t="shared" si="131"/>
        <v>5028.5808258444085</v>
      </c>
      <c r="W220" s="14">
        <f t="shared" si="131"/>
        <v>5081.979542786431</v>
      </c>
      <c r="X220" s="187">
        <f t="shared" si="131"/>
        <v>5131.2484581631952</v>
      </c>
      <c r="Y220" s="158">
        <f t="shared" si="131"/>
        <v>5124.6656193904328</v>
      </c>
      <c r="Z220" s="158">
        <f t="shared" si="131"/>
        <v>5173.2435293711369</v>
      </c>
      <c r="AA220" s="158">
        <f t="shared" si="131"/>
        <v>5198.2894471565369</v>
      </c>
      <c r="AB220" s="158">
        <f t="shared" si="131"/>
        <v>5209.4371385313234</v>
      </c>
      <c r="AC220" s="158">
        <f t="shared" si="131"/>
        <v>5210.9265016712852</v>
      </c>
      <c r="AD220" s="158">
        <f t="shared" si="131"/>
        <v>5193.3467117808605</v>
      </c>
      <c r="AE220" s="158">
        <f t="shared" si="131"/>
        <v>5185.1886129833347</v>
      </c>
      <c r="AF220" s="158">
        <f t="shared" si="131"/>
        <v>5193.3669459853418</v>
      </c>
      <c r="AG220" s="158">
        <f t="shared" si="131"/>
        <v>5233.2271881601482</v>
      </c>
      <c r="AH220" s="187">
        <f t="shared" si="131"/>
        <v>5260.9761727714213</v>
      </c>
    </row>
    <row r="221" spans="1:34">
      <c r="A221" t="s">
        <v>404</v>
      </c>
      <c r="C221" s="331">
        <f>SUM(C143:C144)</f>
        <v>4155.0300000000007</v>
      </c>
      <c r="D221" s="331">
        <f t="shared" ref="D221:AH221" si="132">SUM(D143:D144)</f>
        <v>3992.7712486422479</v>
      </c>
      <c r="E221" s="331">
        <f t="shared" si="132"/>
        <v>4101.2905736105195</v>
      </c>
      <c r="F221" s="331">
        <f t="shared" si="132"/>
        <v>4216.5665405892687</v>
      </c>
      <c r="G221" s="331">
        <f t="shared" si="132"/>
        <v>4119.4868141411953</v>
      </c>
      <c r="H221" s="402">
        <f t="shared" si="132"/>
        <v>4295.5516790999991</v>
      </c>
      <c r="I221" s="14">
        <f t="shared" si="132"/>
        <v>4218.4587529757018</v>
      </c>
      <c r="J221" s="14">
        <f t="shared" si="132"/>
        <v>4223.3462533731981</v>
      </c>
      <c r="K221" s="14">
        <f t="shared" si="132"/>
        <v>4290.7092983799794</v>
      </c>
      <c r="L221" s="14">
        <f t="shared" si="132"/>
        <v>4325.1568652897222</v>
      </c>
      <c r="M221" s="14">
        <f t="shared" si="132"/>
        <v>4274.2790693958977</v>
      </c>
      <c r="N221" s="187">
        <f t="shared" si="132"/>
        <v>4211.6193728671969</v>
      </c>
      <c r="O221" s="14">
        <f t="shared" si="132"/>
        <v>4215.0484015738912</v>
      </c>
      <c r="P221" s="14">
        <f t="shared" si="132"/>
        <v>4269.5306541456484</v>
      </c>
      <c r="Q221" s="14">
        <f t="shared" si="132"/>
        <v>4336.3233261063833</v>
      </c>
      <c r="R221" s="14">
        <f t="shared" si="132"/>
        <v>4362.9450285240227</v>
      </c>
      <c r="S221" s="14">
        <f t="shared" si="132"/>
        <v>4412.0663642200652</v>
      </c>
      <c r="T221" s="14">
        <f t="shared" si="132"/>
        <v>4472.3813735685662</v>
      </c>
      <c r="U221" s="14">
        <f t="shared" si="132"/>
        <v>4507.2246227465621</v>
      </c>
      <c r="V221" s="14">
        <f t="shared" si="132"/>
        <v>4525.7227432599684</v>
      </c>
      <c r="W221" s="14">
        <f t="shared" si="132"/>
        <v>4573.781588507788</v>
      </c>
      <c r="X221" s="187">
        <f t="shared" si="132"/>
        <v>4618.1236123468752</v>
      </c>
      <c r="Y221" s="158">
        <f t="shared" si="132"/>
        <v>4612.1990574513902</v>
      </c>
      <c r="Z221" s="158">
        <f t="shared" si="132"/>
        <v>4655.9191764340239</v>
      </c>
      <c r="AA221" s="158">
        <f t="shared" si="132"/>
        <v>4678.4605024408829</v>
      </c>
      <c r="AB221" s="158">
        <f t="shared" si="132"/>
        <v>4688.4934246781904</v>
      </c>
      <c r="AC221" s="158">
        <f t="shared" si="132"/>
        <v>4689.833851504156</v>
      </c>
      <c r="AD221" s="158">
        <f t="shared" si="132"/>
        <v>4674.0120406027745</v>
      </c>
      <c r="AE221" s="158">
        <f t="shared" si="132"/>
        <v>4666.6697516850008</v>
      </c>
      <c r="AF221" s="158">
        <f t="shared" si="132"/>
        <v>4674.0302513868082</v>
      </c>
      <c r="AG221" s="158">
        <f t="shared" si="132"/>
        <v>4709.9044693441338</v>
      </c>
      <c r="AH221" s="187">
        <f t="shared" si="132"/>
        <v>4734.8785554942788</v>
      </c>
    </row>
    <row r="222" spans="1:34">
      <c r="A222" s="1" t="s">
        <v>426</v>
      </c>
      <c r="C222" s="331">
        <f>SUM(C210,C213,C216,C219)</f>
        <v>9207.5920100000021</v>
      </c>
      <c r="D222" s="331">
        <f t="shared" ref="D222:AH222" si="133">SUM(D210,D213,D216,D219)</f>
        <v>8986.9543306276209</v>
      </c>
      <c r="E222" s="331">
        <f t="shared" si="133"/>
        <v>9335.5057891920351</v>
      </c>
      <c r="F222" s="331">
        <f t="shared" si="133"/>
        <v>9702.3923703285727</v>
      </c>
      <c r="G222" s="331">
        <f t="shared" si="133"/>
        <v>9633.5560590795867</v>
      </c>
      <c r="H222" s="402">
        <f t="shared" si="133"/>
        <v>9703.0978649848275</v>
      </c>
      <c r="I222" s="14">
        <f t="shared" si="133"/>
        <v>9641.3461659218301</v>
      </c>
      <c r="J222" s="14">
        <f t="shared" si="133"/>
        <v>9796.8828117101402</v>
      </c>
      <c r="K222" s="14">
        <f t="shared" si="133"/>
        <v>10142.644920137462</v>
      </c>
      <c r="L222" s="14">
        <f t="shared" si="133"/>
        <v>10472.771770614952</v>
      </c>
      <c r="M222" s="14">
        <f t="shared" si="133"/>
        <v>10672.555925485234</v>
      </c>
      <c r="N222" s="187">
        <f t="shared" si="133"/>
        <v>10939.038268402684</v>
      </c>
      <c r="O222" s="14">
        <f t="shared" si="133"/>
        <v>10984.106554161825</v>
      </c>
      <c r="P222" s="14">
        <f t="shared" si="133"/>
        <v>11163.543767662159</v>
      </c>
      <c r="Q222" s="14">
        <f t="shared" si="133"/>
        <v>11377.138637072139</v>
      </c>
      <c r="R222" s="14">
        <f t="shared" si="133"/>
        <v>11487.145515084005</v>
      </c>
      <c r="S222" s="14">
        <f t="shared" si="133"/>
        <v>11658.029541859789</v>
      </c>
      <c r="T222" s="14">
        <f t="shared" si="133"/>
        <v>11860.505794325791</v>
      </c>
      <c r="U222" s="14">
        <f t="shared" si="133"/>
        <v>11997.411947936105</v>
      </c>
      <c r="V222" s="14">
        <f t="shared" si="133"/>
        <v>12092.426146050659</v>
      </c>
      <c r="W222" s="14">
        <f t="shared" si="133"/>
        <v>12268.177540021967</v>
      </c>
      <c r="X222" s="187">
        <f t="shared" si="133"/>
        <v>12436.072237842931</v>
      </c>
      <c r="Y222" s="158">
        <f t="shared" si="133"/>
        <v>12483.59387276137</v>
      </c>
      <c r="Z222" s="158">
        <f t="shared" si="133"/>
        <v>12667.826288399083</v>
      </c>
      <c r="AA222" s="158">
        <f t="shared" si="133"/>
        <v>12797.352445161761</v>
      </c>
      <c r="AB222" s="158">
        <f t="shared" si="133"/>
        <v>12895.182096420765</v>
      </c>
      <c r="AC222" s="158">
        <f t="shared" si="133"/>
        <v>12971.388133366865</v>
      </c>
      <c r="AD222" s="158">
        <f t="shared" si="133"/>
        <v>13002.098569339687</v>
      </c>
      <c r="AE222" s="158">
        <f t="shared" si="133"/>
        <v>13058.258470396688</v>
      </c>
      <c r="AF222" s="158">
        <f t="shared" si="133"/>
        <v>13157.87078910231</v>
      </c>
      <c r="AG222" s="158">
        <f t="shared" si="133"/>
        <v>13340.874313566263</v>
      </c>
      <c r="AH222" s="187">
        <f t="shared" si="133"/>
        <v>13496.61543527331</v>
      </c>
    </row>
    <row r="223" spans="1:34" s="1" customFormat="1">
      <c r="A223" s="1" t="s">
        <v>444</v>
      </c>
      <c r="B223" s="13"/>
      <c r="C223" s="328" t="s">
        <v>0</v>
      </c>
      <c r="D223" s="341">
        <f>D210+D213</f>
        <v>332.15841964828871</v>
      </c>
      <c r="E223" s="341">
        <f t="shared" ref="E223:AH223" si="134">E210+E213</f>
        <v>450.23553800285038</v>
      </c>
      <c r="F223" s="341">
        <f t="shared" si="134"/>
        <v>571.62451138557276</v>
      </c>
      <c r="G223" s="341">
        <f t="shared" si="134"/>
        <v>716.75022175424203</v>
      </c>
      <c r="H223" s="405">
        <f>H210+H213</f>
        <v>445.21215143738584</v>
      </c>
      <c r="I223" s="15">
        <f t="shared" si="134"/>
        <v>548.90129491404832</v>
      </c>
      <c r="J223" s="15">
        <f t="shared" si="134"/>
        <v>692.88074098045809</v>
      </c>
      <c r="K223" s="15">
        <f t="shared" si="134"/>
        <v>891.9583931157847</v>
      </c>
      <c r="L223" s="15">
        <f t="shared" si="134"/>
        <v>1145.7516535646446</v>
      </c>
      <c r="M223" s="15">
        <f t="shared" si="134"/>
        <v>1452.4381735014108</v>
      </c>
      <c r="N223" s="190">
        <f t="shared" si="134"/>
        <v>1850.2784008840404</v>
      </c>
      <c r="O223" s="15">
        <f t="shared" si="134"/>
        <v>1889.4904847331638</v>
      </c>
      <c r="P223" s="15">
        <f t="shared" si="134"/>
        <v>1952.9387593333768</v>
      </c>
      <c r="Q223" s="15">
        <f t="shared" si="134"/>
        <v>2024.029688097881</v>
      </c>
      <c r="R223" s="15">
        <f t="shared" si="134"/>
        <v>2078.2072439028743</v>
      </c>
      <c r="S223" s="15">
        <f t="shared" si="134"/>
        <v>2144.7683248309731</v>
      </c>
      <c r="T223" s="15">
        <f t="shared" si="134"/>
        <v>2218.8258725568007</v>
      </c>
      <c r="U223" s="15">
        <f t="shared" si="134"/>
        <v>2282.2572286174291</v>
      </c>
      <c r="V223" s="15">
        <f t="shared" si="134"/>
        <v>2339.0445116751671</v>
      </c>
      <c r="W223" s="15">
        <f t="shared" si="134"/>
        <v>2412.8880316282657</v>
      </c>
      <c r="X223" s="190">
        <f t="shared" si="134"/>
        <v>2486.9156186013511</v>
      </c>
      <c r="Y223" s="130">
        <f t="shared" si="134"/>
        <v>2547.5954126291936</v>
      </c>
      <c r="Z223" s="130">
        <f t="shared" si="134"/>
        <v>2638.0329734034653</v>
      </c>
      <c r="AA223" s="130">
        <f t="shared" si="134"/>
        <v>2719.3793277456571</v>
      </c>
      <c r="AB223" s="130">
        <f t="shared" si="134"/>
        <v>2795.9628232265413</v>
      </c>
      <c r="AC223" s="130">
        <f t="shared" si="134"/>
        <v>2869.6338926114968</v>
      </c>
      <c r="AD223" s="130">
        <f t="shared" si="134"/>
        <v>2934.7602178329234</v>
      </c>
      <c r="AE223" s="130">
        <f t="shared" si="134"/>
        <v>3007.0576535745499</v>
      </c>
      <c r="AF223" s="130">
        <f t="shared" si="134"/>
        <v>3091.1273526732057</v>
      </c>
      <c r="AG223" s="130">
        <f t="shared" si="134"/>
        <v>3197.1672755041573</v>
      </c>
      <c r="AH223" s="190">
        <f t="shared" si="134"/>
        <v>3299.4080799544481</v>
      </c>
    </row>
    <row r="224" spans="1:34">
      <c r="A224" t="s">
        <v>447</v>
      </c>
      <c r="D224" s="331">
        <f>D210+D213+D216</f>
        <v>557.77058349398521</v>
      </c>
      <c r="E224" s="331">
        <f t="shared" ref="E224:AH224" si="135">E210+E213+E216</f>
        <v>677.22568934760602</v>
      </c>
      <c r="F224" s="331">
        <f t="shared" si="135"/>
        <v>800.75189575122795</v>
      </c>
      <c r="G224" s="331">
        <f t="shared" si="135"/>
        <v>936.86167367039741</v>
      </c>
      <c r="H224" s="402">
        <f t="shared" si="135"/>
        <v>634.7109868848288</v>
      </c>
      <c r="I224" s="14">
        <f t="shared" si="135"/>
        <v>735.71102075090221</v>
      </c>
      <c r="J224" s="14">
        <f t="shared" si="135"/>
        <v>880.92961014449997</v>
      </c>
      <c r="K224" s="14">
        <f t="shared" si="135"/>
        <v>1084.4808457797283</v>
      </c>
      <c r="L224" s="14">
        <f t="shared" si="135"/>
        <v>1341.8850550033162</v>
      </c>
      <c r="M224" s="14">
        <f t="shared" si="135"/>
        <v>1649.0778900938944</v>
      </c>
      <c r="N224" s="187">
        <f t="shared" si="135"/>
        <v>2047.8418145719343</v>
      </c>
      <c r="O224" s="14">
        <f t="shared" si="135"/>
        <v>2085.6710397280549</v>
      </c>
      <c r="P224" s="14">
        <f t="shared" si="135"/>
        <v>2150.0901644657906</v>
      </c>
      <c r="Q224" s="14">
        <f t="shared" si="135"/>
        <v>2222.6782819586638</v>
      </c>
      <c r="R224" s="14">
        <f t="shared" si="135"/>
        <v>2276.4837881999565</v>
      </c>
      <c r="S224" s="14">
        <f t="shared" si="135"/>
        <v>2343.667217395207</v>
      </c>
      <c r="T224" s="14">
        <f t="shared" si="135"/>
        <v>2418.8117834588179</v>
      </c>
      <c r="U224" s="14">
        <f t="shared" si="135"/>
        <v>2482.1599665822519</v>
      </c>
      <c r="V224" s="14">
        <f t="shared" si="135"/>
        <v>2538.1225769462822</v>
      </c>
      <c r="W224" s="14">
        <f t="shared" si="135"/>
        <v>2612.4164087277486</v>
      </c>
      <c r="X224" s="187">
        <f t="shared" si="135"/>
        <v>2686.7001673328605</v>
      </c>
      <c r="Y224" s="158">
        <f t="shared" si="135"/>
        <v>2746.7291959195477</v>
      </c>
      <c r="Z224" s="158">
        <f t="shared" si="135"/>
        <v>2838.6635825939225</v>
      </c>
      <c r="AA224" s="158">
        <f t="shared" si="135"/>
        <v>2920.6024955643429</v>
      </c>
      <c r="AB224" s="158">
        <f t="shared" si="135"/>
        <v>2997.251533211253</v>
      </c>
      <c r="AC224" s="158">
        <f t="shared" si="135"/>
        <v>3070.627780191423</v>
      </c>
      <c r="AD224" s="158">
        <f t="shared" si="135"/>
        <v>3134.7398169560515</v>
      </c>
      <c r="AE224" s="158">
        <f t="shared" si="135"/>
        <v>3206.4001057283508</v>
      </c>
      <c r="AF224" s="158">
        <f t="shared" si="135"/>
        <v>3290.47359173016</v>
      </c>
      <c r="AG224" s="158">
        <f t="shared" si="135"/>
        <v>3397.7426560619806</v>
      </c>
      <c r="AH224" s="187">
        <f t="shared" si="135"/>
        <v>3500.7607070076092</v>
      </c>
    </row>
    <row r="225" spans="1:34">
      <c r="D225" s="331"/>
      <c r="E225" s="331"/>
      <c r="F225" s="331"/>
      <c r="G225" s="331"/>
      <c r="H225" s="402"/>
      <c r="I225" s="14"/>
      <c r="J225" s="14"/>
      <c r="K225" s="14"/>
      <c r="L225" s="14"/>
      <c r="M225" s="14"/>
      <c r="N225" s="187"/>
      <c r="O225" s="14"/>
      <c r="P225" s="14"/>
      <c r="Q225" s="14"/>
      <c r="R225" s="14"/>
      <c r="S225" s="14"/>
      <c r="T225" s="14"/>
      <c r="U225" s="14"/>
      <c r="V225" s="14"/>
      <c r="W225" s="14"/>
      <c r="X225" s="187"/>
    </row>
    <row r="226" spans="1:34">
      <c r="A226" s="1" t="s">
        <v>454</v>
      </c>
      <c r="D226" s="331">
        <f>D210+D213</f>
        <v>332.15841964828871</v>
      </c>
      <c r="E226" s="331">
        <f>D226+E210+E213</f>
        <v>782.39395765113909</v>
      </c>
      <c r="F226" s="331">
        <f>E226+F210+F213</f>
        <v>1354.0184690367118</v>
      </c>
      <c r="G226" s="331">
        <f>F226+G210+G213</f>
        <v>2070.7686907909538</v>
      </c>
      <c r="H226" s="402">
        <f t="shared" ref="H226:X226" si="136">G226+H210+H213</f>
        <v>2515.9808422283395</v>
      </c>
      <c r="I226" s="14">
        <f t="shared" si="136"/>
        <v>3064.8821371423878</v>
      </c>
      <c r="J226" s="14">
        <f t="shared" si="136"/>
        <v>3757.7628781228459</v>
      </c>
      <c r="K226" s="14">
        <f t="shared" si="136"/>
        <v>4649.7212712386308</v>
      </c>
      <c r="L226" s="14">
        <f t="shared" si="136"/>
        <v>5795.4729248032754</v>
      </c>
      <c r="M226" s="14">
        <f t="shared" si="136"/>
        <v>7247.9110983046867</v>
      </c>
      <c r="N226" s="187">
        <f t="shared" si="136"/>
        <v>9098.1894991887275</v>
      </c>
      <c r="O226" s="14">
        <f t="shared" si="136"/>
        <v>10987.679983921891</v>
      </c>
      <c r="P226" s="14">
        <f t="shared" si="136"/>
        <v>12940.618743255269</v>
      </c>
      <c r="Q226" s="14">
        <f t="shared" si="136"/>
        <v>14964.648431353149</v>
      </c>
      <c r="R226" s="14">
        <f t="shared" si="136"/>
        <v>17042.855675256025</v>
      </c>
      <c r="S226" s="14">
        <f t="shared" si="136"/>
        <v>19187.624000086998</v>
      </c>
      <c r="T226" s="14">
        <f t="shared" si="136"/>
        <v>21406.4498726438</v>
      </c>
      <c r="U226" s="14">
        <f t="shared" si="136"/>
        <v>23688.707101261229</v>
      </c>
      <c r="V226" s="14">
        <f t="shared" si="136"/>
        <v>26027.751612936394</v>
      </c>
      <c r="W226" s="14">
        <f t="shared" si="136"/>
        <v>28440.639644564661</v>
      </c>
      <c r="X226" s="187">
        <f t="shared" si="136"/>
        <v>30927.55526316601</v>
      </c>
      <c r="Y226" s="158">
        <f t="shared" ref="Y226:AH226" si="137">X226+Y210+Y213</f>
        <v>33475.150675795201</v>
      </c>
      <c r="Z226" s="158">
        <f t="shared" si="137"/>
        <v>36113.183649198669</v>
      </c>
      <c r="AA226" s="158">
        <f t="shared" si="137"/>
        <v>38832.562976944326</v>
      </c>
      <c r="AB226" s="158">
        <f t="shared" si="137"/>
        <v>41628.525800170864</v>
      </c>
      <c r="AC226" s="158">
        <f t="shared" si="137"/>
        <v>44498.159692782363</v>
      </c>
      <c r="AD226" s="158">
        <f t="shared" si="137"/>
        <v>47432.919910615288</v>
      </c>
      <c r="AE226" s="158">
        <f t="shared" si="137"/>
        <v>50439.977564189838</v>
      </c>
      <c r="AF226" s="158">
        <f t="shared" si="137"/>
        <v>53531.104916863042</v>
      </c>
      <c r="AG226" s="158">
        <f t="shared" si="137"/>
        <v>56728.2721923672</v>
      </c>
      <c r="AH226" s="187">
        <f t="shared" si="137"/>
        <v>60027.680272321646</v>
      </c>
    </row>
    <row r="227" spans="1:34">
      <c r="A227" s="1" t="s">
        <v>455</v>
      </c>
      <c r="D227" s="331">
        <f>D219</f>
        <v>8429.1837471336348</v>
      </c>
      <c r="E227" s="331">
        <f>D227+E219</f>
        <v>17087.463846978062</v>
      </c>
      <c r="F227" s="331">
        <f>E227+F219</f>
        <v>25989.104321555409</v>
      </c>
      <c r="G227" s="331">
        <f t="shared" ref="G227:X227" si="138">F227+G219</f>
        <v>34685.798706964597</v>
      </c>
      <c r="H227" s="402">
        <f t="shared" si="138"/>
        <v>43754.185585064595</v>
      </c>
      <c r="I227" s="14">
        <f t="shared" si="138"/>
        <v>52659.820730235522</v>
      </c>
      <c r="J227" s="14">
        <f t="shared" si="138"/>
        <v>61575.773931801159</v>
      </c>
      <c r="K227" s="14">
        <f t="shared" si="138"/>
        <v>70633.938006158889</v>
      </c>
      <c r="L227" s="14">
        <f t="shared" si="138"/>
        <v>79764.824721770521</v>
      </c>
      <c r="M227" s="14">
        <f t="shared" si="138"/>
        <v>88788.302757161859</v>
      </c>
      <c r="N227" s="187">
        <f t="shared" si="138"/>
        <v>97679.49921099261</v>
      </c>
      <c r="O227" s="14">
        <f t="shared" si="138"/>
        <v>106577.93472542638</v>
      </c>
      <c r="P227" s="14">
        <f t="shared" si="138"/>
        <v>115591.38832862275</v>
      </c>
      <c r="Q227" s="14">
        <f t="shared" si="138"/>
        <v>124745.84868373623</v>
      </c>
      <c r="R227" s="14">
        <f t="shared" si="138"/>
        <v>133956.51041062028</v>
      </c>
      <c r="S227" s="14">
        <f t="shared" si="138"/>
        <v>143270.87273508485</v>
      </c>
      <c r="T227" s="14">
        <f t="shared" si="138"/>
        <v>152712.56674595183</v>
      </c>
      <c r="U227" s="14">
        <f t="shared" si="138"/>
        <v>162227.81872730568</v>
      </c>
      <c r="V227" s="14">
        <f t="shared" si="138"/>
        <v>171782.12229641006</v>
      </c>
      <c r="W227" s="14">
        <f t="shared" si="138"/>
        <v>181437.88342770428</v>
      </c>
      <c r="X227" s="187">
        <f t="shared" si="138"/>
        <v>191187.25549821433</v>
      </c>
      <c r="Y227" s="158">
        <f t="shared" ref="Y227:AH227" si="139">X227+Y219</f>
        <v>200924.12017505616</v>
      </c>
      <c r="Z227" s="158">
        <f t="shared" si="139"/>
        <v>210753.28288086131</v>
      </c>
      <c r="AA227" s="158">
        <f t="shared" si="139"/>
        <v>220630.03283045872</v>
      </c>
      <c r="AB227" s="158">
        <f t="shared" si="139"/>
        <v>230527.96339366824</v>
      </c>
      <c r="AC227" s="158">
        <f t="shared" si="139"/>
        <v>240428.72374684367</v>
      </c>
      <c r="AD227" s="158">
        <f t="shared" si="139"/>
        <v>250296.08249922731</v>
      </c>
      <c r="AE227" s="158">
        <f t="shared" si="139"/>
        <v>260147.94086389564</v>
      </c>
      <c r="AF227" s="158">
        <f t="shared" si="139"/>
        <v>270015.3380612678</v>
      </c>
      <c r="AG227" s="158">
        <f t="shared" si="139"/>
        <v>279958.4697187721</v>
      </c>
      <c r="AH227" s="187">
        <f t="shared" si="139"/>
        <v>289954.32444703783</v>
      </c>
    </row>
    <row r="228" spans="1:34">
      <c r="A228" s="1" t="s">
        <v>457</v>
      </c>
      <c r="D228" s="331">
        <f t="shared" ref="D228:AH228" si="140">D227-D207</f>
        <v>-37.824252866364986</v>
      </c>
      <c r="E228" s="331">
        <f t="shared" si="140"/>
        <v>-81.042992681934265</v>
      </c>
      <c r="F228" s="331">
        <f t="shared" si="140"/>
        <v>-174.9544553445885</v>
      </c>
      <c r="G228" s="331">
        <f t="shared" si="140"/>
        <v>-326.59934806539968</v>
      </c>
      <c r="H228" s="402">
        <f>H227-H207</f>
        <v>-326.81461806540028</v>
      </c>
      <c r="I228" s="14">
        <f t="shared" si="140"/>
        <v>-366.14126514447707</v>
      </c>
      <c r="J228" s="14">
        <f t="shared" si="140"/>
        <v>-456.25721730884106</v>
      </c>
      <c r="K228" s="14">
        <f t="shared" si="140"/>
        <v>-622.77726435111254</v>
      </c>
      <c r="L228" s="14">
        <f t="shared" si="140"/>
        <v>-911.96772931948362</v>
      </c>
      <c r="M228" s="14">
        <f t="shared" si="140"/>
        <v>-1354.4088864381483</v>
      </c>
      <c r="N228" s="187">
        <f t="shared" si="140"/>
        <v>-2003.6963022273994</v>
      </c>
      <c r="O228" s="14">
        <f t="shared" si="140"/>
        <v>-2663.8627838136308</v>
      </c>
      <c r="P228" s="14">
        <f t="shared" si="140"/>
        <v>-3343.2591811872699</v>
      </c>
      <c r="Q228" s="14">
        <f t="shared" si="140"/>
        <v>-4038.7418625237915</v>
      </c>
      <c r="R228" s="14">
        <f t="shared" si="140"/>
        <v>-4738.2671608397504</v>
      </c>
      <c r="S228" s="14">
        <f t="shared" si="140"/>
        <v>-5458.8417649851763</v>
      </c>
      <c r="T228" s="14">
        <f t="shared" si="140"/>
        <v>-6194.0524429481884</v>
      </c>
      <c r="U228" s="14">
        <f t="shared" si="140"/>
        <v>-6941.5481175243331</v>
      </c>
      <c r="V228" s="14">
        <f t="shared" si="140"/>
        <v>-7707.1715801199607</v>
      </c>
      <c r="W228" s="14">
        <f t="shared" si="140"/>
        <v>-8512.0441828157345</v>
      </c>
      <c r="X228" s="187">
        <f t="shared" si="140"/>
        <v>-9345.8655446556804</v>
      </c>
      <c r="Y228" s="158">
        <f t="shared" si="140"/>
        <v>-10181.142722923862</v>
      </c>
      <c r="Z228" s="158">
        <f t="shared" si="140"/>
        <v>-11022.354906908702</v>
      </c>
      <c r="AA228" s="158">
        <f t="shared" si="140"/>
        <v>-11865.911581481283</v>
      </c>
      <c r="AB228" s="158">
        <f t="shared" si="140"/>
        <v>-12709.922164581774</v>
      </c>
      <c r="AC228" s="158">
        <f t="shared" si="140"/>
        <v>-13583.97795965636</v>
      </c>
      <c r="AD228" s="158">
        <f t="shared" si="140"/>
        <v>-14465.5414489127</v>
      </c>
      <c r="AE228" s="158">
        <f t="shared" si="140"/>
        <v>-15362.83308781439</v>
      </c>
      <c r="AF228" s="158">
        <f t="shared" si="140"/>
        <v>-16289.623017682228</v>
      </c>
      <c r="AG228" s="158">
        <f t="shared" si="140"/>
        <v>-17259.855585567944</v>
      </c>
      <c r="AH228" s="187">
        <f t="shared" si="140"/>
        <v>-18281.412564252212</v>
      </c>
    </row>
    <row r="229" spans="1:34">
      <c r="I229" s="129"/>
      <c r="J229" s="129"/>
      <c r="K229" s="129"/>
      <c r="L229" s="129"/>
      <c r="M229" s="129"/>
      <c r="O229" s="129"/>
      <c r="P229" s="129"/>
      <c r="Q229" s="129"/>
      <c r="R229" s="129"/>
      <c r="S229" s="129"/>
      <c r="T229" s="129"/>
      <c r="U229" s="129"/>
      <c r="V229" s="129"/>
      <c r="W229" s="129"/>
    </row>
    <row r="230" spans="1:34">
      <c r="A230" s="1" t="s">
        <v>413</v>
      </c>
    </row>
    <row r="231" spans="1:34">
      <c r="A231" t="s">
        <v>414</v>
      </c>
      <c r="C231" s="331">
        <f t="shared" ref="C231:AH231" si="141">C210-C191</f>
        <v>0</v>
      </c>
      <c r="D231" s="331">
        <f t="shared" si="141"/>
        <v>0</v>
      </c>
      <c r="E231" s="331">
        <f t="shared" si="141"/>
        <v>0</v>
      </c>
      <c r="F231" s="331">
        <f t="shared" si="141"/>
        <v>0</v>
      </c>
      <c r="G231" s="331">
        <f t="shared" si="141"/>
        <v>0</v>
      </c>
      <c r="H231" s="402">
        <f t="shared" si="141"/>
        <v>0</v>
      </c>
      <c r="I231" s="14">
        <f t="shared" si="141"/>
        <v>0</v>
      </c>
      <c r="J231" s="14">
        <f t="shared" si="141"/>
        <v>0</v>
      </c>
      <c r="K231" s="14">
        <f t="shared" si="141"/>
        <v>0</v>
      </c>
      <c r="L231" s="14">
        <f t="shared" si="141"/>
        <v>0</v>
      </c>
      <c r="M231" s="14">
        <f t="shared" si="141"/>
        <v>0</v>
      </c>
      <c r="N231" s="187">
        <f t="shared" ref="N231:O233" si="142">N210-N191</f>
        <v>0</v>
      </c>
      <c r="O231" s="14">
        <f t="shared" si="142"/>
        <v>0</v>
      </c>
      <c r="P231" s="14">
        <f t="shared" si="141"/>
        <v>0</v>
      </c>
      <c r="Q231" s="14">
        <f t="shared" si="141"/>
        <v>0</v>
      </c>
      <c r="R231" s="14">
        <f t="shared" si="141"/>
        <v>0</v>
      </c>
      <c r="S231" s="14">
        <f t="shared" si="141"/>
        <v>0</v>
      </c>
      <c r="T231" s="14">
        <f t="shared" si="141"/>
        <v>0</v>
      </c>
      <c r="U231" s="14">
        <f t="shared" si="141"/>
        <v>0</v>
      </c>
      <c r="V231" s="14">
        <f t="shared" si="141"/>
        <v>0</v>
      </c>
      <c r="W231" s="14">
        <f t="shared" si="141"/>
        <v>0</v>
      </c>
      <c r="X231" s="187">
        <f t="shared" si="141"/>
        <v>0</v>
      </c>
      <c r="Y231" s="158">
        <f t="shared" si="141"/>
        <v>0</v>
      </c>
      <c r="Z231" s="158">
        <f t="shared" si="141"/>
        <v>0</v>
      </c>
      <c r="AA231" s="158">
        <f t="shared" si="141"/>
        <v>0</v>
      </c>
      <c r="AB231" s="158">
        <f t="shared" si="141"/>
        <v>0</v>
      </c>
      <c r="AC231" s="158">
        <f t="shared" si="141"/>
        <v>0</v>
      </c>
      <c r="AD231" s="158">
        <f t="shared" si="141"/>
        <v>0</v>
      </c>
      <c r="AE231" s="158">
        <f t="shared" si="141"/>
        <v>0</v>
      </c>
      <c r="AF231" s="158">
        <f t="shared" si="141"/>
        <v>0</v>
      </c>
      <c r="AG231" s="158">
        <f t="shared" si="141"/>
        <v>0</v>
      </c>
      <c r="AH231" s="187">
        <f t="shared" si="141"/>
        <v>0</v>
      </c>
    </row>
    <row r="232" spans="1:34">
      <c r="A232" t="s">
        <v>415</v>
      </c>
      <c r="C232" s="331">
        <f t="shared" ref="C232:AH232" si="143">C211-C192</f>
        <v>0</v>
      </c>
      <c r="D232" s="331">
        <f t="shared" si="143"/>
        <v>0</v>
      </c>
      <c r="E232" s="331">
        <f t="shared" si="143"/>
        <v>0</v>
      </c>
      <c r="F232" s="331">
        <f t="shared" si="143"/>
        <v>0</v>
      </c>
      <c r="G232" s="331">
        <f t="shared" si="143"/>
        <v>0</v>
      </c>
      <c r="H232" s="402">
        <f t="shared" si="143"/>
        <v>0</v>
      </c>
      <c r="I232" s="14">
        <f t="shared" si="143"/>
        <v>0</v>
      </c>
      <c r="J232" s="14">
        <f t="shared" si="143"/>
        <v>0</v>
      </c>
      <c r="K232" s="14">
        <f t="shared" si="143"/>
        <v>0</v>
      </c>
      <c r="L232" s="14">
        <f t="shared" si="143"/>
        <v>0</v>
      </c>
      <c r="M232" s="14">
        <f t="shared" si="143"/>
        <v>0</v>
      </c>
      <c r="N232" s="187">
        <f t="shared" si="142"/>
        <v>0</v>
      </c>
      <c r="O232" s="14">
        <f t="shared" si="142"/>
        <v>0</v>
      </c>
      <c r="P232" s="14">
        <f t="shared" si="143"/>
        <v>0</v>
      </c>
      <c r="Q232" s="14">
        <f t="shared" si="143"/>
        <v>0</v>
      </c>
      <c r="R232" s="14">
        <f t="shared" si="143"/>
        <v>0</v>
      </c>
      <c r="S232" s="14">
        <f t="shared" si="143"/>
        <v>0</v>
      </c>
      <c r="T232" s="14">
        <f t="shared" si="143"/>
        <v>0</v>
      </c>
      <c r="U232" s="14">
        <f t="shared" si="143"/>
        <v>0</v>
      </c>
      <c r="V232" s="14">
        <f t="shared" si="143"/>
        <v>0</v>
      </c>
      <c r="W232" s="14">
        <f t="shared" si="143"/>
        <v>0</v>
      </c>
      <c r="X232" s="187">
        <f t="shared" si="143"/>
        <v>0</v>
      </c>
      <c r="Y232" s="158">
        <f t="shared" si="143"/>
        <v>0</v>
      </c>
      <c r="Z232" s="158">
        <f t="shared" si="143"/>
        <v>0</v>
      </c>
      <c r="AA232" s="158">
        <f t="shared" si="143"/>
        <v>0</v>
      </c>
      <c r="AB232" s="158">
        <f t="shared" si="143"/>
        <v>0</v>
      </c>
      <c r="AC232" s="158">
        <f t="shared" si="143"/>
        <v>0</v>
      </c>
      <c r="AD232" s="158">
        <f t="shared" si="143"/>
        <v>0</v>
      </c>
      <c r="AE232" s="158">
        <f t="shared" si="143"/>
        <v>0</v>
      </c>
      <c r="AF232" s="158">
        <f t="shared" si="143"/>
        <v>0</v>
      </c>
      <c r="AG232" s="158">
        <f t="shared" si="143"/>
        <v>0</v>
      </c>
      <c r="AH232" s="187">
        <f t="shared" si="143"/>
        <v>0</v>
      </c>
    </row>
    <row r="233" spans="1:34">
      <c r="A233" t="s">
        <v>416</v>
      </c>
      <c r="C233" s="331">
        <f t="shared" ref="C233:AH233" si="144">C212-C193</f>
        <v>0</v>
      </c>
      <c r="D233" s="331">
        <f t="shared" si="144"/>
        <v>0</v>
      </c>
      <c r="E233" s="331">
        <f t="shared" si="144"/>
        <v>0</v>
      </c>
      <c r="F233" s="331">
        <f t="shared" si="144"/>
        <v>0</v>
      </c>
      <c r="G233" s="331">
        <f t="shared" si="144"/>
        <v>0</v>
      </c>
      <c r="H233" s="402">
        <f t="shared" si="144"/>
        <v>0</v>
      </c>
      <c r="I233" s="14">
        <f t="shared" si="144"/>
        <v>0</v>
      </c>
      <c r="J233" s="14">
        <f t="shared" si="144"/>
        <v>0</v>
      </c>
      <c r="K233" s="14">
        <f t="shared" si="144"/>
        <v>0</v>
      </c>
      <c r="L233" s="14">
        <f t="shared" si="144"/>
        <v>0</v>
      </c>
      <c r="M233" s="14">
        <f t="shared" si="144"/>
        <v>0</v>
      </c>
      <c r="N233" s="187">
        <f t="shared" si="142"/>
        <v>0</v>
      </c>
      <c r="O233" s="14">
        <f t="shared" si="142"/>
        <v>0</v>
      </c>
      <c r="P233" s="14">
        <f t="shared" si="144"/>
        <v>0</v>
      </c>
      <c r="Q233" s="14">
        <f t="shared" si="144"/>
        <v>0</v>
      </c>
      <c r="R233" s="14">
        <f t="shared" si="144"/>
        <v>0</v>
      </c>
      <c r="S233" s="14">
        <f t="shared" si="144"/>
        <v>0</v>
      </c>
      <c r="T233" s="14">
        <f t="shared" si="144"/>
        <v>0</v>
      </c>
      <c r="U233" s="14">
        <f t="shared" si="144"/>
        <v>0</v>
      </c>
      <c r="V233" s="14">
        <f t="shared" si="144"/>
        <v>0</v>
      </c>
      <c r="W233" s="14">
        <f t="shared" si="144"/>
        <v>0</v>
      </c>
      <c r="X233" s="187">
        <f t="shared" si="144"/>
        <v>0</v>
      </c>
      <c r="Y233" s="158">
        <f t="shared" si="144"/>
        <v>0</v>
      </c>
      <c r="Z233" s="158">
        <f t="shared" si="144"/>
        <v>0</v>
      </c>
      <c r="AA233" s="158">
        <f t="shared" si="144"/>
        <v>0</v>
      </c>
      <c r="AB233" s="158">
        <f t="shared" si="144"/>
        <v>0</v>
      </c>
      <c r="AC233" s="158">
        <f t="shared" si="144"/>
        <v>0</v>
      </c>
      <c r="AD233" s="158">
        <f t="shared" si="144"/>
        <v>0</v>
      </c>
      <c r="AE233" s="158">
        <f t="shared" si="144"/>
        <v>0</v>
      </c>
      <c r="AF233" s="158">
        <f t="shared" si="144"/>
        <v>0</v>
      </c>
      <c r="AG233" s="158">
        <f t="shared" si="144"/>
        <v>0</v>
      </c>
      <c r="AH233" s="187">
        <f t="shared" si="144"/>
        <v>0</v>
      </c>
    </row>
    <row r="234" spans="1:34">
      <c r="A234" t="s">
        <v>417</v>
      </c>
      <c r="C234" s="331">
        <f t="shared" ref="C234:AH234" si="145">C213-C194</f>
        <v>-2.7000000000043656E-4</v>
      </c>
      <c r="D234" s="331">
        <f t="shared" si="145"/>
        <v>39.914289648288673</v>
      </c>
      <c r="E234" s="331">
        <f t="shared" si="145"/>
        <v>118.26459711760401</v>
      </c>
      <c r="F234" s="331">
        <f t="shared" si="145"/>
        <v>204.42627897477621</v>
      </c>
      <c r="G234" s="331">
        <f t="shared" si="145"/>
        <v>283.14392691970073</v>
      </c>
      <c r="H234" s="402">
        <f>H213-H194</f>
        <v>-2.7000000000043656E-4</v>
      </c>
      <c r="I234" s="14">
        <f t="shared" si="145"/>
        <v>82.812575925267765</v>
      </c>
      <c r="J234" s="14">
        <f t="shared" si="145"/>
        <v>170.06621101373503</v>
      </c>
      <c r="K234" s="14">
        <f t="shared" si="145"/>
        <v>295.5722810250146</v>
      </c>
      <c r="L234" s="14">
        <f t="shared" si="145"/>
        <v>507.942325403361</v>
      </c>
      <c r="M234" s="14">
        <f t="shared" si="145"/>
        <v>797.08048602796543</v>
      </c>
      <c r="N234" s="187">
        <f t="shared" si="145"/>
        <v>1191.5839238750107</v>
      </c>
      <c r="O234" s="14">
        <f t="shared" si="145"/>
        <v>1208.9051237187782</v>
      </c>
      <c r="P234" s="14">
        <f t="shared" si="145"/>
        <v>1233.7385275685956</v>
      </c>
      <c r="Q234" s="14">
        <f t="shared" si="145"/>
        <v>1252.2710400411661</v>
      </c>
      <c r="R234" s="14">
        <f t="shared" si="145"/>
        <v>1250.7878566380236</v>
      </c>
      <c r="S234" s="14">
        <f t="shared" si="145"/>
        <v>1277.8796189240616</v>
      </c>
      <c r="T234" s="14">
        <f t="shared" si="145"/>
        <v>1293.3266134972278</v>
      </c>
      <c r="U234" s="14">
        <f t="shared" si="145"/>
        <v>1306.1623972661384</v>
      </c>
      <c r="V234" s="14">
        <f t="shared" si="145"/>
        <v>1335.2064030686292</v>
      </c>
      <c r="W234" s="14">
        <f t="shared" si="145"/>
        <v>1405.6906295193648</v>
      </c>
      <c r="X234" s="187">
        <f t="shared" si="145"/>
        <v>1453.3857420936013</v>
      </c>
      <c r="Y234" s="158">
        <f t="shared" si="145"/>
        <v>1445.5683926562933</v>
      </c>
      <c r="Z234" s="158">
        <f t="shared" si="145"/>
        <v>1432.9788629193515</v>
      </c>
      <c r="AA234" s="158">
        <f t="shared" si="145"/>
        <v>1419.807373786135</v>
      </c>
      <c r="AB234" s="158">
        <f t="shared" si="145"/>
        <v>1403.1190339077962</v>
      </c>
      <c r="AC234" s="158">
        <f t="shared" si="145"/>
        <v>1453.352874412974</v>
      </c>
      <c r="AD234" s="158">
        <f t="shared" si="145"/>
        <v>1469.6957548740875</v>
      </c>
      <c r="AE234" s="158">
        <f t="shared" si="145"/>
        <v>1500.2942655297384</v>
      </c>
      <c r="AF234" s="158">
        <f t="shared" si="145"/>
        <v>1550.7021028912736</v>
      </c>
      <c r="AG234" s="158">
        <f t="shared" si="145"/>
        <v>1624.7669966059057</v>
      </c>
      <c r="AH234" s="187">
        <f t="shared" si="145"/>
        <v>1718.1291049472907</v>
      </c>
    </row>
    <row r="235" spans="1:34">
      <c r="A235" t="s">
        <v>418</v>
      </c>
      <c r="C235" s="331">
        <f t="shared" ref="C235:AH235" si="146">C214-C195</f>
        <v>0</v>
      </c>
      <c r="D235" s="331">
        <f t="shared" si="146"/>
        <v>21.007682998349992</v>
      </c>
      <c r="E235" s="331">
        <f t="shared" si="146"/>
        <v>62.244721208466444</v>
      </c>
      <c r="F235" s="331">
        <f t="shared" si="146"/>
        <v>107.59301726089865</v>
      </c>
      <c r="G235" s="331">
        <f t="shared" si="146"/>
        <v>149.02339603108175</v>
      </c>
      <c r="H235" s="402">
        <f t="shared" si="146"/>
        <v>0</v>
      </c>
      <c r="I235" s="14">
        <f t="shared" si="146"/>
        <v>43.585731524323535</v>
      </c>
      <c r="J235" s="14">
        <f t="shared" si="146"/>
        <v>89.508728332647649</v>
      </c>
      <c r="K235" s="14">
        <f t="shared" si="146"/>
        <v>155.56459540486736</v>
      </c>
      <c r="L235" s="14">
        <f t="shared" si="146"/>
        <v>267.33835078132552</v>
      </c>
      <c r="M235" s="14">
        <f t="shared" si="146"/>
        <v>419.51638208121119</v>
      </c>
      <c r="N235" s="187">
        <f t="shared" si="146"/>
        <v>627.14983279348576</v>
      </c>
      <c r="O235" s="14">
        <f t="shared" si="146"/>
        <v>636.26626222341986</v>
      </c>
      <c r="P235" s="14">
        <f t="shared" si="146"/>
        <v>649.33648846414894</v>
      </c>
      <c r="Q235" s="14">
        <f t="shared" si="146"/>
        <v>659.090457734084</v>
      </c>
      <c r="R235" s="14">
        <f t="shared" si="146"/>
        <v>658.3098465784733</v>
      </c>
      <c r="S235" s="14">
        <f t="shared" si="146"/>
        <v>672.56868319402645</v>
      </c>
      <c r="T235" s="14">
        <f t="shared" si="146"/>
        <v>680.69869631481322</v>
      </c>
      <c r="U235" s="14">
        <f t="shared" si="146"/>
        <v>687.45438566720452</v>
      </c>
      <c r="V235" s="14">
        <f t="shared" si="146"/>
        <v>702.74071676178642</v>
      </c>
      <c r="W235" s="14">
        <f t="shared" si="146"/>
        <v>739.83769398248853</v>
      </c>
      <c r="X235" s="187">
        <f t="shared" si="146"/>
        <v>764.94040078158525</v>
      </c>
      <c r="Y235" s="158">
        <f t="shared" si="146"/>
        <v>760.82601943182431</v>
      </c>
      <c r="Z235" s="158">
        <f t="shared" si="146"/>
        <v>754.19997066002725</v>
      </c>
      <c r="AA235" s="158">
        <f t="shared" si="146"/>
        <v>747.26762550782075</v>
      </c>
      <c r="AB235" s="158">
        <f t="shared" si="146"/>
        <v>738.48430525170522</v>
      </c>
      <c r="AC235" s="158">
        <f t="shared" si="146"/>
        <v>764.92318456912039</v>
      </c>
      <c r="AD235" s="158">
        <f t="shared" si="146"/>
        <v>773.52471465149756</v>
      </c>
      <c r="AE235" s="158">
        <f t="shared" si="146"/>
        <v>789.62920954123786</v>
      </c>
      <c r="AF235" s="158">
        <f t="shared" si="146"/>
        <v>816.15966839485031</v>
      </c>
      <c r="AG235" s="158">
        <f t="shared" si="146"/>
        <v>855.14121427937505</v>
      </c>
      <c r="AH235" s="187">
        <f t="shared" si="146"/>
        <v>904.27918809520861</v>
      </c>
    </row>
    <row r="236" spans="1:34">
      <c r="A236" t="s">
        <v>419</v>
      </c>
      <c r="C236" s="331">
        <f t="shared" ref="C236:AH236" si="147">C215-C196</f>
        <v>-2.7000000000043656E-4</v>
      </c>
      <c r="D236" s="331">
        <f t="shared" si="147"/>
        <v>18.906606649938681</v>
      </c>
      <c r="E236" s="331">
        <f t="shared" si="147"/>
        <v>56.019875909137625</v>
      </c>
      <c r="F236" s="331">
        <f t="shared" si="147"/>
        <v>96.833261713877562</v>
      </c>
      <c r="G236" s="331">
        <f t="shared" si="147"/>
        <v>134.12053088861899</v>
      </c>
      <c r="H236" s="402">
        <f>H215-H196</f>
        <v>-2.7000000000043656E-4</v>
      </c>
      <c r="I236" s="14">
        <f t="shared" si="147"/>
        <v>39.226844400944231</v>
      </c>
      <c r="J236" s="14">
        <f t="shared" si="147"/>
        <v>80.557482681087265</v>
      </c>
      <c r="K236" s="14">
        <f t="shared" si="147"/>
        <v>140.0076856201473</v>
      </c>
      <c r="L236" s="14">
        <f t="shared" si="147"/>
        <v>240.60397462203537</v>
      </c>
      <c r="M236" s="14">
        <f t="shared" si="147"/>
        <v>377.56410394675419</v>
      </c>
      <c r="N236" s="187">
        <f t="shared" si="147"/>
        <v>564.4340910815248</v>
      </c>
      <c r="O236" s="14">
        <f t="shared" si="147"/>
        <v>572.63886149535824</v>
      </c>
      <c r="P236" s="14">
        <f t="shared" si="147"/>
        <v>584.40203910444654</v>
      </c>
      <c r="Q236" s="14">
        <f t="shared" si="147"/>
        <v>593.1805823070822</v>
      </c>
      <c r="R236" s="14">
        <f t="shared" si="147"/>
        <v>592.47801005955012</v>
      </c>
      <c r="S236" s="14">
        <f t="shared" si="147"/>
        <v>605.310935730035</v>
      </c>
      <c r="T236" s="14">
        <f t="shared" si="147"/>
        <v>612.62791718241442</v>
      </c>
      <c r="U236" s="14">
        <f t="shared" si="147"/>
        <v>618.70801159893392</v>
      </c>
      <c r="V236" s="14">
        <f t="shared" si="147"/>
        <v>632.46568630684283</v>
      </c>
      <c r="W236" s="14">
        <f t="shared" si="147"/>
        <v>665.85293553687666</v>
      </c>
      <c r="X236" s="187">
        <f t="shared" si="147"/>
        <v>688.4453413120159</v>
      </c>
      <c r="Y236" s="158">
        <f t="shared" si="147"/>
        <v>684.74237322446879</v>
      </c>
      <c r="Z236" s="158">
        <f t="shared" si="147"/>
        <v>678.77889225932427</v>
      </c>
      <c r="AA236" s="158">
        <f t="shared" si="147"/>
        <v>672.53974827831439</v>
      </c>
      <c r="AB236" s="158">
        <f t="shared" si="147"/>
        <v>664.6347286560906</v>
      </c>
      <c r="AC236" s="158">
        <f t="shared" si="147"/>
        <v>688.42968984385368</v>
      </c>
      <c r="AD236" s="158">
        <f t="shared" si="147"/>
        <v>696.17104022258968</v>
      </c>
      <c r="AE236" s="158">
        <f t="shared" si="147"/>
        <v>710.66505598850063</v>
      </c>
      <c r="AF236" s="158">
        <f t="shared" si="147"/>
        <v>734.54243449642308</v>
      </c>
      <c r="AG236" s="158">
        <f t="shared" si="147"/>
        <v>769.62578232653061</v>
      </c>
      <c r="AH236" s="187">
        <f t="shared" si="147"/>
        <v>813.84991685208195</v>
      </c>
    </row>
    <row r="237" spans="1:34">
      <c r="A237" t="s">
        <v>420</v>
      </c>
      <c r="C237" s="331">
        <f t="shared" ref="C237:AH237" si="148">C216-C197</f>
        <v>0</v>
      </c>
      <c r="D237" s="331">
        <f t="shared" si="148"/>
        <v>27.255013845696567</v>
      </c>
      <c r="E237" s="331">
        <f t="shared" si="148"/>
        <v>-13.037954569325137</v>
      </c>
      <c r="F237" s="331">
        <f t="shared" si="148"/>
        <v>3.506154134085449</v>
      </c>
      <c r="G237" s="331">
        <f t="shared" si="148"/>
        <v>34.559330435005393</v>
      </c>
      <c r="H237" s="402">
        <f t="shared" si="148"/>
        <v>0</v>
      </c>
      <c r="I237" s="14">
        <f t="shared" si="148"/>
        <v>-5.8110602012783943</v>
      </c>
      <c r="J237" s="14">
        <f t="shared" si="148"/>
        <v>-7.9735510676407841</v>
      </c>
      <c r="K237" s="14">
        <f t="shared" si="148"/>
        <v>-5.8916610620124175</v>
      </c>
      <c r="L237" s="14">
        <f t="shared" si="148"/>
        <v>-1.4300122492222158</v>
      </c>
      <c r="M237" s="14">
        <f t="shared" si="148"/>
        <v>-0.92376219970304874</v>
      </c>
      <c r="N237" s="187">
        <f t="shared" si="148"/>
        <v>0</v>
      </c>
      <c r="O237" s="14">
        <f t="shared" si="148"/>
        <v>-2.4045817896302708</v>
      </c>
      <c r="P237" s="14">
        <f t="shared" si="148"/>
        <v>-1.4336665478148802</v>
      </c>
      <c r="Q237" s="14">
        <f t="shared" si="148"/>
        <v>6.3544375199171554E-2</v>
      </c>
      <c r="R237" s="14">
        <f t="shared" si="148"/>
        <v>-0.30850518850118647</v>
      </c>
      <c r="S237" s="14">
        <f t="shared" si="148"/>
        <v>0.31384307865022265</v>
      </c>
      <c r="T237" s="14">
        <f t="shared" si="148"/>
        <v>1.4008850907221415</v>
      </c>
      <c r="U237" s="14">
        <f t="shared" si="148"/>
        <v>1.3177121535276228</v>
      </c>
      <c r="V237" s="14">
        <f t="shared" si="148"/>
        <v>0.49303945981986885</v>
      </c>
      <c r="W237" s="14">
        <f t="shared" si="148"/>
        <v>-0.25617163202676352</v>
      </c>
      <c r="X237" s="187">
        <f t="shared" si="148"/>
        <v>0</v>
      </c>
      <c r="Y237" s="158">
        <f t="shared" si="148"/>
        <v>-0.91101689226394456</v>
      </c>
      <c r="Z237" s="158">
        <f t="shared" si="148"/>
        <v>0.58580752819597137</v>
      </c>
      <c r="AA237" s="158">
        <f t="shared" si="148"/>
        <v>1.1783661564248007</v>
      </c>
      <c r="AB237" s="158">
        <f t="shared" si="148"/>
        <v>1.2439083224504373</v>
      </c>
      <c r="AC237" s="158">
        <f t="shared" si="148"/>
        <v>0.56614838609525009</v>
      </c>
      <c r="AD237" s="158">
        <f t="shared" si="148"/>
        <v>-0.44820665463865339</v>
      </c>
      <c r="AE237" s="158">
        <f t="shared" si="148"/>
        <v>-1.0853077550325452</v>
      </c>
      <c r="AF237" s="158">
        <f t="shared" si="148"/>
        <v>-1.0814527883000835</v>
      </c>
      <c r="AG237" s="158">
        <f t="shared" si="148"/>
        <v>-0.77726721033965873</v>
      </c>
      <c r="AH237" s="187">
        <f t="shared" si="148"/>
        <v>0</v>
      </c>
    </row>
    <row r="238" spans="1:34">
      <c r="A238" t="s">
        <v>421</v>
      </c>
      <c r="C238" s="331">
        <f t="shared" ref="C238:AH238" si="149">C217-C198</f>
        <v>0</v>
      </c>
      <c r="D238" s="331">
        <f t="shared" si="149"/>
        <v>14.34474412931398</v>
      </c>
      <c r="E238" s="331">
        <f t="shared" si="149"/>
        <v>-6.862081352276391</v>
      </c>
      <c r="F238" s="331">
        <f t="shared" si="149"/>
        <v>1.8453442810975957</v>
      </c>
      <c r="G238" s="331">
        <f t="shared" si="149"/>
        <v>18.189121281581791</v>
      </c>
      <c r="H238" s="402">
        <f t="shared" si="149"/>
        <v>0</v>
      </c>
      <c r="I238" s="14">
        <f t="shared" si="149"/>
        <v>-3.0584527375149548</v>
      </c>
      <c r="J238" s="14">
        <f t="shared" si="149"/>
        <v>-4.1966058250740872</v>
      </c>
      <c r="K238" s="14">
        <f t="shared" si="149"/>
        <v>-3.1008742431644265</v>
      </c>
      <c r="L238" s="14">
        <f t="shared" si="149"/>
        <v>-0.75263802590642115</v>
      </c>
      <c r="M238" s="14">
        <f t="shared" si="149"/>
        <v>-0.48619063142264451</v>
      </c>
      <c r="N238" s="187">
        <f t="shared" si="149"/>
        <v>0</v>
      </c>
      <c r="O238" s="14">
        <f t="shared" si="149"/>
        <v>-1.2655693629633049</v>
      </c>
      <c r="P238" s="14">
        <f t="shared" si="149"/>
        <v>-0.75456134095520611</v>
      </c>
      <c r="Q238" s="14">
        <f t="shared" si="149"/>
        <v>3.3444407999581927E-2</v>
      </c>
      <c r="R238" s="14">
        <f t="shared" si="149"/>
        <v>-0.16237115184272</v>
      </c>
      <c r="S238" s="14">
        <f t="shared" si="149"/>
        <v>0.16518056771066369</v>
      </c>
      <c r="T238" s="14">
        <f t="shared" si="149"/>
        <v>0.73730794248533016</v>
      </c>
      <c r="U238" s="14">
        <f t="shared" si="149"/>
        <v>0.69353271238296088</v>
      </c>
      <c r="V238" s="14">
        <f t="shared" si="149"/>
        <v>0.25949445253677084</v>
      </c>
      <c r="W238" s="14">
        <f t="shared" si="149"/>
        <v>-0.13482717475092443</v>
      </c>
      <c r="X238" s="187">
        <f t="shared" si="149"/>
        <v>0</v>
      </c>
      <c r="Y238" s="158">
        <f t="shared" si="149"/>
        <v>-0.47948257487576029</v>
      </c>
      <c r="Z238" s="158">
        <f t="shared" si="149"/>
        <v>0.30831975168209169</v>
      </c>
      <c r="AA238" s="158">
        <f t="shared" si="149"/>
        <v>0.62019271390778385</v>
      </c>
      <c r="AB238" s="158">
        <f t="shared" si="149"/>
        <v>0.65468859076338504</v>
      </c>
      <c r="AC238" s="158">
        <f t="shared" si="149"/>
        <v>0.29797283478696102</v>
      </c>
      <c r="AD238" s="158">
        <f t="shared" si="149"/>
        <v>-0.2358982392835145</v>
      </c>
      <c r="AE238" s="158">
        <f t="shared" si="149"/>
        <v>-0.57121460791186962</v>
      </c>
      <c r="AF238" s="158">
        <f t="shared" si="149"/>
        <v>-0.56918567805267628</v>
      </c>
      <c r="AG238" s="158">
        <f t="shared" si="149"/>
        <v>-0.40908800544193014</v>
      </c>
      <c r="AH238" s="187">
        <f t="shared" si="149"/>
        <v>0</v>
      </c>
    </row>
    <row r="239" spans="1:34">
      <c r="A239" t="s">
        <v>422</v>
      </c>
      <c r="C239" s="331">
        <f t="shared" ref="C239:AH239" si="150">C218-C199</f>
        <v>0</v>
      </c>
      <c r="D239" s="331">
        <f t="shared" si="150"/>
        <v>12.910269716382572</v>
      </c>
      <c r="E239" s="331">
        <f t="shared" si="150"/>
        <v>-6.1758732170487463</v>
      </c>
      <c r="F239" s="331">
        <f t="shared" si="150"/>
        <v>1.660809852987839</v>
      </c>
      <c r="G239" s="331">
        <f t="shared" si="150"/>
        <v>16.370209153423616</v>
      </c>
      <c r="H239" s="402">
        <f t="shared" si="150"/>
        <v>0</v>
      </c>
      <c r="I239" s="14">
        <f t="shared" si="150"/>
        <v>-2.7526074637634537</v>
      </c>
      <c r="J239" s="14">
        <f t="shared" si="150"/>
        <v>-3.7769452425666827</v>
      </c>
      <c r="K239" s="14">
        <f t="shared" si="150"/>
        <v>-2.790786818847991</v>
      </c>
      <c r="L239" s="14">
        <f t="shared" si="150"/>
        <v>-0.67737422331576624</v>
      </c>
      <c r="M239" s="14">
        <f t="shared" si="150"/>
        <v>-0.4375715682803758</v>
      </c>
      <c r="N239" s="187">
        <f t="shared" si="150"/>
        <v>0</v>
      </c>
      <c r="O239" s="14">
        <f t="shared" si="150"/>
        <v>-1.1390124266669659</v>
      </c>
      <c r="P239" s="14">
        <f t="shared" si="150"/>
        <v>-0.67910520685967413</v>
      </c>
      <c r="Q239" s="14">
        <f t="shared" si="150"/>
        <v>3.009996719961805E-2</v>
      </c>
      <c r="R239" s="14">
        <f t="shared" si="150"/>
        <v>-0.14613403665845226</v>
      </c>
      <c r="S239" s="14">
        <f t="shared" si="150"/>
        <v>0.14866251093958738</v>
      </c>
      <c r="T239" s="14">
        <f t="shared" si="150"/>
        <v>0.66357714823679714</v>
      </c>
      <c r="U239" s="14">
        <f t="shared" si="150"/>
        <v>0.62417944114466195</v>
      </c>
      <c r="V239" s="14">
        <f t="shared" si="150"/>
        <v>0.23354500728308381</v>
      </c>
      <c r="W239" s="14">
        <f t="shared" si="150"/>
        <v>-0.12134445727582488</v>
      </c>
      <c r="X239" s="187">
        <f t="shared" si="150"/>
        <v>0</v>
      </c>
      <c r="Y239" s="158">
        <f t="shared" si="150"/>
        <v>-0.43153431738818426</v>
      </c>
      <c r="Z239" s="158">
        <f t="shared" si="150"/>
        <v>0.27748777651387968</v>
      </c>
      <c r="AA239" s="158">
        <f t="shared" si="150"/>
        <v>0.55817344251700263</v>
      </c>
      <c r="AB239" s="158">
        <f t="shared" si="150"/>
        <v>0.58921973168703801</v>
      </c>
      <c r="AC239" s="158">
        <f t="shared" si="150"/>
        <v>0.26817555130827486</v>
      </c>
      <c r="AD239" s="158">
        <f t="shared" si="150"/>
        <v>-0.2123084153551531</v>
      </c>
      <c r="AE239" s="158">
        <f t="shared" si="150"/>
        <v>-0.51409314712068976</v>
      </c>
      <c r="AF239" s="158">
        <f t="shared" si="150"/>
        <v>-0.51226711024740723</v>
      </c>
      <c r="AG239" s="158">
        <f t="shared" si="150"/>
        <v>-0.36817920489774281</v>
      </c>
      <c r="AH239" s="187">
        <f t="shared" si="150"/>
        <v>0</v>
      </c>
    </row>
    <row r="240" spans="1:34">
      <c r="A240" t="s">
        <v>394</v>
      </c>
      <c r="C240" s="331">
        <f>C219-C200</f>
        <v>0</v>
      </c>
      <c r="D240" s="331">
        <f t="shared" ref="D240:AH240" si="151">D219-D200+D249+D252</f>
        <v>-37.824252866364986</v>
      </c>
      <c r="E240" s="331">
        <f t="shared" si="151"/>
        <v>-43.218739815569279</v>
      </c>
      <c r="F240" s="331">
        <f t="shared" si="151"/>
        <v>-93.911462662656049</v>
      </c>
      <c r="G240" s="331">
        <f t="shared" si="151"/>
        <v>-151.64489272081119</v>
      </c>
      <c r="H240" s="402">
        <f t="shared" si="151"/>
        <v>-0.2152700000006007</v>
      </c>
      <c r="I240" s="14">
        <f t="shared" si="151"/>
        <v>-39.326647079073155</v>
      </c>
      <c r="J240" s="14">
        <f t="shared" si="151"/>
        <v>-90.115952164358532</v>
      </c>
      <c r="K240" s="14">
        <f t="shared" si="151"/>
        <v>-166.5200470422642</v>
      </c>
      <c r="L240" s="14">
        <f t="shared" si="151"/>
        <v>-289.19046496836381</v>
      </c>
      <c r="M240" s="14">
        <f t="shared" si="151"/>
        <v>-442.44115711866107</v>
      </c>
      <c r="N240" s="187">
        <f t="shared" si="151"/>
        <v>-649.28741578925292</v>
      </c>
      <c r="O240" s="14">
        <f t="shared" si="151"/>
        <v>-660.16648158622957</v>
      </c>
      <c r="P240" s="14">
        <f t="shared" si="151"/>
        <v>-679.39639737363177</v>
      </c>
      <c r="Q240" s="14">
        <f t="shared" si="151"/>
        <v>-695.48268133652527</v>
      </c>
      <c r="R240" s="14">
        <f t="shared" si="151"/>
        <v>-699.52529831595166</v>
      </c>
      <c r="S240" s="14">
        <f t="shared" si="151"/>
        <v>-720.57460414541674</v>
      </c>
      <c r="T240" s="14">
        <f t="shared" si="151"/>
        <v>-735.21067796302486</v>
      </c>
      <c r="U240" s="14">
        <f t="shared" si="151"/>
        <v>-747.4956745761483</v>
      </c>
      <c r="V240" s="14">
        <f t="shared" si="151"/>
        <v>-765.62346259562401</v>
      </c>
      <c r="W240" s="14">
        <f t="shared" si="151"/>
        <v>-804.8726026957811</v>
      </c>
      <c r="X240" s="187">
        <f t="shared" si="151"/>
        <v>-833.8213618399277</v>
      </c>
      <c r="Y240" s="158">
        <f t="shared" si="151"/>
        <v>-835.27717826817752</v>
      </c>
      <c r="Z240" s="158">
        <f t="shared" si="151"/>
        <v>-841.21218398484052</v>
      </c>
      <c r="AA240" s="158">
        <f t="shared" si="151"/>
        <v>-843.55667457258096</v>
      </c>
      <c r="AB240" s="158">
        <f t="shared" si="151"/>
        <v>-844.01058310048575</v>
      </c>
      <c r="AC240" s="158">
        <f t="shared" si="151"/>
        <v>-874.05579507455877</v>
      </c>
      <c r="AD240" s="158">
        <f t="shared" si="151"/>
        <v>-881.56348925636485</v>
      </c>
      <c r="AE240" s="158">
        <f t="shared" si="151"/>
        <v>-897.29163890166456</v>
      </c>
      <c r="AF240" s="158">
        <f t="shared" si="151"/>
        <v>-926.78992986784942</v>
      </c>
      <c r="AG240" s="158">
        <f t="shared" si="151"/>
        <v>-970.2325678857178</v>
      </c>
      <c r="AH240" s="187">
        <f t="shared" si="151"/>
        <v>-1021.5569786843007</v>
      </c>
    </row>
    <row r="241" spans="1:34">
      <c r="A241" t="s">
        <v>423</v>
      </c>
      <c r="C241" s="331">
        <f>C220-C201</f>
        <v>0</v>
      </c>
      <c r="D241" s="331">
        <f t="shared" ref="D241:AH241" si="152">D220-D201+D250+D253</f>
        <v>-19.907501508612768</v>
      </c>
      <c r="E241" s="331">
        <f t="shared" si="152"/>
        <v>-22.746705166088759</v>
      </c>
      <c r="F241" s="331">
        <f t="shared" si="152"/>
        <v>-49.427085611923758</v>
      </c>
      <c r="G241" s="331">
        <f t="shared" si="152"/>
        <v>-79.813101432006079</v>
      </c>
      <c r="H241" s="402">
        <f t="shared" si="152"/>
        <v>-0.11330000000089058</v>
      </c>
      <c r="I241" s="14">
        <f t="shared" si="152"/>
        <v>-20.698235304776063</v>
      </c>
      <c r="J241" s="14">
        <f t="shared" si="152"/>
        <v>-47.429448507557026</v>
      </c>
      <c r="K241" s="14">
        <f t="shared" si="152"/>
        <v>-87.642130022243691</v>
      </c>
      <c r="L241" s="14">
        <f t="shared" si="152"/>
        <v>-152.20550787808679</v>
      </c>
      <c r="M241" s="14">
        <f t="shared" si="152"/>
        <v>-232.86376690455836</v>
      </c>
      <c r="N241" s="187">
        <f t="shared" si="152"/>
        <v>-341.73021883644833</v>
      </c>
      <c r="O241" s="14">
        <f t="shared" si="152"/>
        <v>-347.45604294012082</v>
      </c>
      <c r="P241" s="14">
        <f t="shared" si="152"/>
        <v>-357.57705124927907</v>
      </c>
      <c r="Q241" s="14">
        <f t="shared" si="152"/>
        <v>-366.04351649290766</v>
      </c>
      <c r="R241" s="14">
        <f t="shared" si="152"/>
        <v>-368.17120963997513</v>
      </c>
      <c r="S241" s="14">
        <f t="shared" si="152"/>
        <v>-379.24979165548211</v>
      </c>
      <c r="T241" s="14">
        <f t="shared" si="152"/>
        <v>-386.95298840159194</v>
      </c>
      <c r="U241" s="14">
        <f t="shared" si="152"/>
        <v>-393.41877609270978</v>
      </c>
      <c r="V241" s="14">
        <f t="shared" si="152"/>
        <v>-402.95971715559153</v>
      </c>
      <c r="W241" s="14">
        <f t="shared" si="152"/>
        <v>-423.61715931356866</v>
      </c>
      <c r="X241" s="187">
        <f t="shared" si="152"/>
        <v>-438.85334833680463</v>
      </c>
      <c r="Y241" s="158">
        <f t="shared" si="152"/>
        <v>-439.61956750956688</v>
      </c>
      <c r="Z241" s="158">
        <f t="shared" si="152"/>
        <v>-442.74325472886267</v>
      </c>
      <c r="AA241" s="158">
        <f t="shared" si="152"/>
        <v>-443.97719714346294</v>
      </c>
      <c r="AB241" s="158">
        <f t="shared" si="152"/>
        <v>-444.21609636867561</v>
      </c>
      <c r="AC241" s="158">
        <f t="shared" si="152"/>
        <v>-460.02936582871462</v>
      </c>
      <c r="AD241" s="158">
        <f t="shared" si="152"/>
        <v>-463.98078381914002</v>
      </c>
      <c r="AE241" s="158">
        <f t="shared" si="152"/>
        <v>-472.25875731666565</v>
      </c>
      <c r="AF241" s="158">
        <f t="shared" si="152"/>
        <v>-487.78417361465745</v>
      </c>
      <c r="AG241" s="158">
        <f t="shared" si="152"/>
        <v>-510.64871993985162</v>
      </c>
      <c r="AH241" s="187">
        <f t="shared" si="152"/>
        <v>-537.66156772857903</v>
      </c>
    </row>
    <row r="242" spans="1:34">
      <c r="A242" t="s">
        <v>424</v>
      </c>
      <c r="C242" s="331">
        <f>C221-C202</f>
        <v>0</v>
      </c>
      <c r="D242" s="331">
        <f t="shared" ref="D242:AH242" si="153">D221-D202+D251+D254</f>
        <v>-17.916751357752219</v>
      </c>
      <c r="E242" s="331">
        <f t="shared" si="153"/>
        <v>-20.47203464948052</v>
      </c>
      <c r="F242" s="331">
        <f t="shared" si="153"/>
        <v>-44.484377050732292</v>
      </c>
      <c r="G242" s="331">
        <f t="shared" si="153"/>
        <v>-71.831791288805107</v>
      </c>
      <c r="H242" s="402">
        <f t="shared" si="153"/>
        <v>-0.10197000000061962</v>
      </c>
      <c r="I242" s="14">
        <f t="shared" si="153"/>
        <v>-18.628411774298911</v>
      </c>
      <c r="J242" s="14">
        <f t="shared" si="153"/>
        <v>-42.686503656801506</v>
      </c>
      <c r="K242" s="14">
        <f t="shared" si="153"/>
        <v>-78.877917020020504</v>
      </c>
      <c r="L242" s="14">
        <f t="shared" si="153"/>
        <v>-136.98495709027793</v>
      </c>
      <c r="M242" s="14">
        <f t="shared" si="153"/>
        <v>-209.57739021410271</v>
      </c>
      <c r="N242" s="187">
        <f t="shared" si="153"/>
        <v>-307.55719695280368</v>
      </c>
      <c r="O242" s="14">
        <f t="shared" si="153"/>
        <v>-312.71043864610874</v>
      </c>
      <c r="P242" s="14">
        <f t="shared" si="153"/>
        <v>-321.8193461243518</v>
      </c>
      <c r="Q242" s="14">
        <f t="shared" si="153"/>
        <v>-329.43916484361671</v>
      </c>
      <c r="R242" s="14">
        <f t="shared" si="153"/>
        <v>-331.35408867597744</v>
      </c>
      <c r="S242" s="14">
        <f t="shared" si="153"/>
        <v>-341.32481248993463</v>
      </c>
      <c r="T242" s="14">
        <f t="shared" si="153"/>
        <v>-348.25768956143293</v>
      </c>
      <c r="U242" s="14">
        <f t="shared" si="153"/>
        <v>-354.07689848343762</v>
      </c>
      <c r="V242" s="14">
        <f t="shared" si="153"/>
        <v>-362.66374544003156</v>
      </c>
      <c r="W242" s="14">
        <f t="shared" si="153"/>
        <v>-381.25544338221243</v>
      </c>
      <c r="X242" s="187">
        <f t="shared" si="153"/>
        <v>-394.96801350312489</v>
      </c>
      <c r="Y242" s="158">
        <f t="shared" si="153"/>
        <v>-395.65761075860974</v>
      </c>
      <c r="Z242" s="158">
        <f t="shared" si="153"/>
        <v>-398.46892925597604</v>
      </c>
      <c r="AA242" s="158">
        <f t="shared" si="153"/>
        <v>-399.57947742911711</v>
      </c>
      <c r="AB242" s="158">
        <f t="shared" si="153"/>
        <v>-399.79448673180923</v>
      </c>
      <c r="AC242" s="158">
        <f t="shared" si="153"/>
        <v>-414.02642924584416</v>
      </c>
      <c r="AD242" s="158">
        <f t="shared" si="153"/>
        <v>-417.58270543722574</v>
      </c>
      <c r="AE242" s="158">
        <f t="shared" si="153"/>
        <v>-425.0328815849989</v>
      </c>
      <c r="AF242" s="158">
        <f t="shared" si="153"/>
        <v>-439.00575625319198</v>
      </c>
      <c r="AG242" s="158">
        <f t="shared" si="153"/>
        <v>-459.58384794586527</v>
      </c>
      <c r="AH242" s="187">
        <f t="shared" si="153"/>
        <v>-483.89541095572167</v>
      </c>
    </row>
    <row r="243" spans="1:34" s="1" customFormat="1">
      <c r="A243" s="1" t="s">
        <v>405</v>
      </c>
      <c r="B243" s="13"/>
      <c r="C243" s="341">
        <f>C222-C203</f>
        <v>-2.699999968172051E-4</v>
      </c>
      <c r="D243" s="341">
        <f t="shared" ref="D243:AH243" si="154">D222-D203+D249+D252</f>
        <v>29.345050627620367</v>
      </c>
      <c r="E243" s="341">
        <f t="shared" si="154"/>
        <v>62.007902732710136</v>
      </c>
      <c r="F243" s="341">
        <f t="shared" si="154"/>
        <v>114.02097044620496</v>
      </c>
      <c r="G243" s="341">
        <f t="shared" si="154"/>
        <v>166.0583646338946</v>
      </c>
      <c r="H243" s="405">
        <f t="shared" si="154"/>
        <v>-0.2155399999992369</v>
      </c>
      <c r="I243" s="15">
        <f t="shared" si="154"/>
        <v>37.674868644917296</v>
      </c>
      <c r="J243" s="15">
        <f t="shared" si="154"/>
        <v>71.976707781735968</v>
      </c>
      <c r="K243" s="15">
        <f t="shared" si="154"/>
        <v>123.16057292073856</v>
      </c>
      <c r="L243" s="15">
        <f t="shared" si="154"/>
        <v>217.3218481857748</v>
      </c>
      <c r="M243" s="15">
        <f t="shared" si="154"/>
        <v>353.71556670960126</v>
      </c>
      <c r="N243" s="190">
        <f t="shared" si="154"/>
        <v>542.29650808575934</v>
      </c>
      <c r="O243" s="15">
        <f t="shared" si="154"/>
        <v>546.33406034291875</v>
      </c>
      <c r="P243" s="15">
        <f t="shared" si="154"/>
        <v>552.90846364714889</v>
      </c>
      <c r="Q243" s="15">
        <f t="shared" si="154"/>
        <v>556.85190307983976</v>
      </c>
      <c r="R243" s="15">
        <f t="shared" si="154"/>
        <v>550.95405313356969</v>
      </c>
      <c r="S243" s="15">
        <f t="shared" si="154"/>
        <v>557.61885785729464</v>
      </c>
      <c r="T243" s="15">
        <f t="shared" si="154"/>
        <v>559.51682062492364</v>
      </c>
      <c r="U243" s="15">
        <f t="shared" si="154"/>
        <v>559.9844348435181</v>
      </c>
      <c r="V243" s="15">
        <f t="shared" si="154"/>
        <v>570.07597993282434</v>
      </c>
      <c r="W243" s="15">
        <f t="shared" si="154"/>
        <v>600.56185519155588</v>
      </c>
      <c r="X243" s="190">
        <f t="shared" si="154"/>
        <v>619.56438025367243</v>
      </c>
      <c r="Y243" s="130">
        <f t="shared" si="154"/>
        <v>609.38019749585146</v>
      </c>
      <c r="Z243" s="130">
        <f t="shared" si="154"/>
        <v>592.35248646270702</v>
      </c>
      <c r="AA243" s="130">
        <f t="shared" si="154"/>
        <v>577.42906536997725</v>
      </c>
      <c r="AB243" s="130">
        <f t="shared" si="154"/>
        <v>560.35235912975986</v>
      </c>
      <c r="AC243" s="130">
        <f t="shared" si="154"/>
        <v>579.86322772451058</v>
      </c>
      <c r="AD243" s="130">
        <f t="shared" si="154"/>
        <v>587.68405896308286</v>
      </c>
      <c r="AE243" s="130">
        <f t="shared" si="154"/>
        <v>601.91731887304195</v>
      </c>
      <c r="AF243" s="130">
        <f t="shared" si="154"/>
        <v>622.83072023512432</v>
      </c>
      <c r="AG243" s="130">
        <f t="shared" si="154"/>
        <v>653.75716150984772</v>
      </c>
      <c r="AH243" s="190">
        <f t="shared" si="154"/>
        <v>696.57212626299042</v>
      </c>
    </row>
    <row r="244" spans="1:34">
      <c r="A244" t="s">
        <v>445</v>
      </c>
      <c r="C244" s="331"/>
      <c r="D244" s="331">
        <f>D231+D234</f>
        <v>39.914289648288673</v>
      </c>
      <c r="E244" s="331">
        <f t="shared" ref="E244:N244" si="155">E231+E234</f>
        <v>118.26459711760401</v>
      </c>
      <c r="F244" s="331">
        <f t="shared" si="155"/>
        <v>204.42627897477621</v>
      </c>
      <c r="G244" s="331">
        <f t="shared" si="155"/>
        <v>283.14392691970073</v>
      </c>
      <c r="H244" s="402">
        <f t="shared" si="155"/>
        <v>-2.7000000000043656E-4</v>
      </c>
      <c r="I244" s="14">
        <f t="shared" si="155"/>
        <v>82.812575925267765</v>
      </c>
      <c r="J244" s="14">
        <f t="shared" si="155"/>
        <v>170.06621101373503</v>
      </c>
      <c r="K244" s="14">
        <f t="shared" si="155"/>
        <v>295.5722810250146</v>
      </c>
      <c r="L244" s="14">
        <f t="shared" si="155"/>
        <v>507.942325403361</v>
      </c>
      <c r="M244" s="14">
        <f t="shared" si="155"/>
        <v>797.08048602796543</v>
      </c>
      <c r="N244" s="187">
        <f t="shared" si="155"/>
        <v>1191.5839238750107</v>
      </c>
      <c r="O244" s="14">
        <f>O231+O234</f>
        <v>1208.9051237187782</v>
      </c>
      <c r="P244" s="14">
        <f t="shared" ref="P244:AH244" si="156">P231+P234</f>
        <v>1233.7385275685956</v>
      </c>
      <c r="Q244" s="14">
        <f t="shared" si="156"/>
        <v>1252.2710400411661</v>
      </c>
      <c r="R244" s="14">
        <f t="shared" si="156"/>
        <v>1250.7878566380236</v>
      </c>
      <c r="S244" s="14">
        <f t="shared" si="156"/>
        <v>1277.8796189240616</v>
      </c>
      <c r="T244" s="14">
        <f t="shared" si="156"/>
        <v>1293.3266134972278</v>
      </c>
      <c r="U244" s="14">
        <f t="shared" si="156"/>
        <v>1306.1623972661384</v>
      </c>
      <c r="V244" s="14">
        <f t="shared" si="156"/>
        <v>1335.2064030686292</v>
      </c>
      <c r="W244" s="14">
        <f t="shared" si="156"/>
        <v>1405.6906295193648</v>
      </c>
      <c r="X244" s="187">
        <f t="shared" si="156"/>
        <v>1453.3857420936013</v>
      </c>
      <c r="Y244" s="158">
        <f t="shared" si="156"/>
        <v>1445.5683926562933</v>
      </c>
      <c r="Z244" s="158">
        <f t="shared" si="156"/>
        <v>1432.9788629193515</v>
      </c>
      <c r="AA244" s="158">
        <f t="shared" si="156"/>
        <v>1419.807373786135</v>
      </c>
      <c r="AB244" s="158">
        <f t="shared" si="156"/>
        <v>1403.1190339077962</v>
      </c>
      <c r="AC244" s="158">
        <f t="shared" si="156"/>
        <v>1453.352874412974</v>
      </c>
      <c r="AD244" s="158">
        <f t="shared" si="156"/>
        <v>1469.6957548740875</v>
      </c>
      <c r="AE244" s="158">
        <f t="shared" si="156"/>
        <v>1500.2942655297384</v>
      </c>
      <c r="AF244" s="158">
        <f t="shared" si="156"/>
        <v>1550.7021028912736</v>
      </c>
      <c r="AG244" s="158">
        <f t="shared" si="156"/>
        <v>1624.7669966059057</v>
      </c>
      <c r="AH244" s="187">
        <f t="shared" si="156"/>
        <v>1718.1291049472907</v>
      </c>
    </row>
    <row r="245" spans="1:34">
      <c r="A245" t="s">
        <v>446</v>
      </c>
      <c r="D245" s="331">
        <f>D231+D234+D237</f>
        <v>67.16930349398524</v>
      </c>
      <c r="E245" s="331">
        <f t="shared" ref="E245:N245" si="157">E231+E234+E237</f>
        <v>105.22664254827887</v>
      </c>
      <c r="F245" s="331">
        <f t="shared" si="157"/>
        <v>207.93243310886166</v>
      </c>
      <c r="G245" s="331">
        <f t="shared" si="157"/>
        <v>317.70325735470612</v>
      </c>
      <c r="H245" s="402">
        <f t="shared" si="157"/>
        <v>-2.7000000000043656E-4</v>
      </c>
      <c r="I245" s="14">
        <f t="shared" si="157"/>
        <v>77.001515723989371</v>
      </c>
      <c r="J245" s="14">
        <f t="shared" si="157"/>
        <v>162.09265994609424</v>
      </c>
      <c r="K245" s="14">
        <f t="shared" si="157"/>
        <v>289.68061996300219</v>
      </c>
      <c r="L245" s="14">
        <f t="shared" si="157"/>
        <v>506.51231315413878</v>
      </c>
      <c r="M245" s="14">
        <f t="shared" si="157"/>
        <v>796.15672382826233</v>
      </c>
      <c r="N245" s="187">
        <f t="shared" si="157"/>
        <v>1191.5839238750107</v>
      </c>
      <c r="O245" s="14">
        <f>O231+O234+O237</f>
        <v>1206.5005419291479</v>
      </c>
      <c r="P245" s="14">
        <f t="shared" ref="P245:AH245" si="158">P231+P234+P237</f>
        <v>1232.3048610207807</v>
      </c>
      <c r="Q245" s="14">
        <f t="shared" si="158"/>
        <v>1252.3345844163653</v>
      </c>
      <c r="R245" s="14">
        <f t="shared" si="158"/>
        <v>1250.4793514495225</v>
      </c>
      <c r="S245" s="14">
        <f t="shared" si="158"/>
        <v>1278.1934620027118</v>
      </c>
      <c r="T245" s="14">
        <f t="shared" si="158"/>
        <v>1294.7274985879499</v>
      </c>
      <c r="U245" s="14">
        <f t="shared" si="158"/>
        <v>1307.480109419666</v>
      </c>
      <c r="V245" s="14">
        <f t="shared" si="158"/>
        <v>1335.699442528449</v>
      </c>
      <c r="W245" s="14">
        <f t="shared" si="158"/>
        <v>1405.4344578873381</v>
      </c>
      <c r="X245" s="187">
        <f t="shared" si="158"/>
        <v>1453.3857420936013</v>
      </c>
      <c r="Y245" s="158">
        <f t="shared" si="158"/>
        <v>1444.6573757640294</v>
      </c>
      <c r="Z245" s="158">
        <f t="shared" si="158"/>
        <v>1433.5646704475475</v>
      </c>
      <c r="AA245" s="158">
        <f t="shared" si="158"/>
        <v>1420.9857399425598</v>
      </c>
      <c r="AB245" s="158">
        <f t="shared" si="158"/>
        <v>1404.3629422302465</v>
      </c>
      <c r="AC245" s="158">
        <f t="shared" si="158"/>
        <v>1453.9190227990691</v>
      </c>
      <c r="AD245" s="158">
        <f t="shared" si="158"/>
        <v>1469.2475482194488</v>
      </c>
      <c r="AE245" s="158">
        <f t="shared" si="158"/>
        <v>1499.2089577747058</v>
      </c>
      <c r="AF245" s="158">
        <f t="shared" si="158"/>
        <v>1549.6206501029735</v>
      </c>
      <c r="AG245" s="158">
        <f t="shared" si="158"/>
        <v>1623.989729395566</v>
      </c>
      <c r="AH245" s="187">
        <f t="shared" si="158"/>
        <v>1718.1291049472907</v>
      </c>
    </row>
    <row r="246" spans="1:34" s="1" customFormat="1">
      <c r="A246" s="1" t="s">
        <v>449</v>
      </c>
      <c r="B246" s="13"/>
      <c r="C246" s="328"/>
      <c r="D246" s="341">
        <f>D243</f>
        <v>29.345050627620367</v>
      </c>
      <c r="E246" s="341">
        <f>D246+E243</f>
        <v>91.352953360330503</v>
      </c>
      <c r="F246" s="341">
        <f>E246+F243</f>
        <v>205.37392380653546</v>
      </c>
      <c r="G246" s="341">
        <f>F246+G243</f>
        <v>371.43228844043006</v>
      </c>
      <c r="H246" s="405"/>
      <c r="I246" s="15">
        <f t="shared" ref="I246:X246" si="159">H246+I243</f>
        <v>37.674868644917296</v>
      </c>
      <c r="J246" s="15">
        <f t="shared" si="159"/>
        <v>109.65157642665326</v>
      </c>
      <c r="K246" s="15">
        <f t="shared" si="159"/>
        <v>232.81214934739182</v>
      </c>
      <c r="L246" s="15">
        <f t="shared" si="159"/>
        <v>450.13399753316662</v>
      </c>
      <c r="M246" s="15">
        <f t="shared" si="159"/>
        <v>803.84956424276788</v>
      </c>
      <c r="N246" s="190">
        <f t="shared" si="159"/>
        <v>1346.1460723285272</v>
      </c>
      <c r="O246" s="15">
        <f t="shared" si="159"/>
        <v>1892.480132671446</v>
      </c>
      <c r="P246" s="15">
        <f t="shared" si="159"/>
        <v>2445.3885963185949</v>
      </c>
      <c r="Q246" s="15">
        <f t="shared" si="159"/>
        <v>3002.2404993984346</v>
      </c>
      <c r="R246" s="15">
        <f t="shared" si="159"/>
        <v>3553.1945525320043</v>
      </c>
      <c r="S246" s="15">
        <f t="shared" si="159"/>
        <v>4110.813410389299</v>
      </c>
      <c r="T246" s="15">
        <f t="shared" si="159"/>
        <v>4670.3302310142226</v>
      </c>
      <c r="U246" s="15">
        <f t="shared" si="159"/>
        <v>5230.3146658577407</v>
      </c>
      <c r="V246" s="15">
        <f t="shared" si="159"/>
        <v>5800.390645790565</v>
      </c>
      <c r="W246" s="15">
        <f t="shared" si="159"/>
        <v>6400.9525009821209</v>
      </c>
      <c r="X246" s="190">
        <f t="shared" si="159"/>
        <v>7020.5168812357933</v>
      </c>
      <c r="Y246" s="130">
        <f t="shared" ref="Y246:AH246" si="160">X246+Y243</f>
        <v>7629.8970787316448</v>
      </c>
      <c r="Z246" s="130">
        <f t="shared" si="160"/>
        <v>8222.2495651943518</v>
      </c>
      <c r="AA246" s="130">
        <f t="shared" si="160"/>
        <v>8799.6786305643291</v>
      </c>
      <c r="AB246" s="130">
        <f t="shared" si="160"/>
        <v>9360.0309896940889</v>
      </c>
      <c r="AC246" s="130">
        <f t="shared" si="160"/>
        <v>9939.8942174185995</v>
      </c>
      <c r="AD246" s="130">
        <f t="shared" si="160"/>
        <v>10527.578276381682</v>
      </c>
      <c r="AE246" s="130">
        <f t="shared" si="160"/>
        <v>11129.495595254724</v>
      </c>
      <c r="AF246" s="130">
        <f t="shared" si="160"/>
        <v>11752.326315489849</v>
      </c>
      <c r="AG246" s="130">
        <f t="shared" si="160"/>
        <v>12406.083476999696</v>
      </c>
      <c r="AH246" s="190">
        <f t="shared" si="160"/>
        <v>13102.655603262687</v>
      </c>
    </row>
    <row r="247" spans="1:34">
      <c r="A247" t="s">
        <v>458</v>
      </c>
      <c r="D247" s="343" t="b">
        <f t="shared" ref="D247:AH247" si="161">IF(D185-D246&lt;1,TRUE,FALSE)</f>
        <v>1</v>
      </c>
      <c r="E247" s="343" t="b">
        <f t="shared" si="161"/>
        <v>1</v>
      </c>
      <c r="F247" s="343" t="b">
        <f t="shared" si="161"/>
        <v>1</v>
      </c>
      <c r="G247" s="343" t="b">
        <f t="shared" si="161"/>
        <v>1</v>
      </c>
      <c r="H247" s="408"/>
      <c r="I247" s="133" t="b">
        <f t="shared" si="161"/>
        <v>1</v>
      </c>
      <c r="J247" s="133" t="b">
        <f t="shared" si="161"/>
        <v>1</v>
      </c>
      <c r="K247" s="133" t="b">
        <f t="shared" si="161"/>
        <v>1</v>
      </c>
      <c r="L247" s="133" t="b">
        <f t="shared" si="161"/>
        <v>1</v>
      </c>
      <c r="M247" s="133" t="b">
        <f t="shared" si="161"/>
        <v>1</v>
      </c>
      <c r="N247" s="194" t="b">
        <f t="shared" si="161"/>
        <v>1</v>
      </c>
      <c r="O247" s="133" t="b">
        <f t="shared" si="161"/>
        <v>1</v>
      </c>
      <c r="P247" s="133" t="b">
        <f t="shared" si="161"/>
        <v>1</v>
      </c>
      <c r="Q247" s="133" t="b">
        <f t="shared" si="161"/>
        <v>1</v>
      </c>
      <c r="R247" s="133" t="b">
        <f t="shared" si="161"/>
        <v>1</v>
      </c>
      <c r="S247" s="133" t="b">
        <f t="shared" si="161"/>
        <v>1</v>
      </c>
      <c r="T247" s="133" t="b">
        <f t="shared" si="161"/>
        <v>1</v>
      </c>
      <c r="U247" s="133" t="b">
        <f t="shared" si="161"/>
        <v>1</v>
      </c>
      <c r="V247" s="133" t="b">
        <f t="shared" si="161"/>
        <v>1</v>
      </c>
      <c r="W247" s="133" t="b">
        <f t="shared" si="161"/>
        <v>1</v>
      </c>
      <c r="X247" s="194" t="b">
        <f t="shared" si="161"/>
        <v>1</v>
      </c>
      <c r="Y247" s="290" t="b">
        <f t="shared" si="161"/>
        <v>1</v>
      </c>
      <c r="Z247" s="290" t="b">
        <f t="shared" si="161"/>
        <v>1</v>
      </c>
      <c r="AA247" s="290" t="b">
        <f t="shared" si="161"/>
        <v>1</v>
      </c>
      <c r="AB247" s="290" t="b">
        <f t="shared" si="161"/>
        <v>1</v>
      </c>
      <c r="AC247" s="290" t="b">
        <f t="shared" si="161"/>
        <v>1</v>
      </c>
      <c r="AD247" s="290" t="b">
        <f t="shared" si="161"/>
        <v>1</v>
      </c>
      <c r="AE247" s="290" t="b">
        <f t="shared" si="161"/>
        <v>1</v>
      </c>
      <c r="AF247" s="290" t="b">
        <f t="shared" si="161"/>
        <v>1</v>
      </c>
      <c r="AG247" s="290" t="b">
        <f t="shared" si="161"/>
        <v>1</v>
      </c>
      <c r="AH247" s="194" t="b">
        <f t="shared" si="161"/>
        <v>1</v>
      </c>
    </row>
    <row r="248" spans="1:34">
      <c r="A248" t="s">
        <v>439</v>
      </c>
    </row>
    <row r="249" spans="1:34" s="1" customFormat="1">
      <c r="A249" s="1" t="s">
        <v>440</v>
      </c>
      <c r="B249" s="13"/>
      <c r="C249" s="328"/>
      <c r="D249" s="341">
        <f>D$29*(EIA_electricity_aeo2014!F$60) * Inputs!$M$60</f>
        <v>0</v>
      </c>
      <c r="E249" s="341">
        <f>E$29*(EIA_electricity_aeo2014!G$60) * Inputs!$M$60</f>
        <v>0</v>
      </c>
      <c r="F249" s="341">
        <f>F$29*(EIA_electricity_aeo2014!H$60) * Inputs!$M$60</f>
        <v>0</v>
      </c>
      <c r="G249" s="341">
        <f>G$29*(EIA_electricity_aeo2014!I$60) * Inputs!$M$60</f>
        <v>0</v>
      </c>
      <c r="H249" s="405">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0">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0">
        <f>X$29*(EIA_electricity_aeo2014!Z$60) * Inputs!$M$60</f>
        <v>0</v>
      </c>
      <c r="Y249" s="130">
        <f>Y$29*(EIA_electricity_aeo2014!AA$60) * Inputs!$M$60</f>
        <v>0</v>
      </c>
      <c r="Z249" s="130">
        <f>Z$29*(EIA_electricity_aeo2014!AB$60) * Inputs!$M$60</f>
        <v>0</v>
      </c>
      <c r="AA249" s="130">
        <f>AA$29*(EIA_electricity_aeo2014!AC$60) * Inputs!$M$60</f>
        <v>0</v>
      </c>
      <c r="AB249" s="130">
        <f>AB$29*(EIA_electricity_aeo2014!AD$60) * Inputs!$M$60</f>
        <v>0</v>
      </c>
      <c r="AC249" s="130">
        <f>AC$29*(EIA_electricity_aeo2014!AE$60) * Inputs!$M$60</f>
        <v>0</v>
      </c>
      <c r="AD249" s="130">
        <f>AD$29*(EIA_electricity_aeo2014!AF$60) * Inputs!$M$60</f>
        <v>0</v>
      </c>
      <c r="AE249" s="130">
        <f>AE$29*(EIA_electricity_aeo2014!AG$60) * Inputs!$M$60</f>
        <v>0</v>
      </c>
      <c r="AF249" s="130">
        <f>AF$29*(EIA_electricity_aeo2014!AH$60) * Inputs!$M$60</f>
        <v>0</v>
      </c>
      <c r="AG249" s="130">
        <f>AG$29*(EIA_electricity_aeo2014!AI$60) * Inputs!$M$60</f>
        <v>0</v>
      </c>
      <c r="AH249" s="190">
        <f>AH$29*(EIA_electricity_aeo2014!AJ$60) * Inputs!$M$60</f>
        <v>0</v>
      </c>
    </row>
    <row r="250" spans="1:34">
      <c r="A250" t="s">
        <v>442</v>
      </c>
      <c r="D250" s="331">
        <f>D$29*(EIA_electricity_aeo2014!F$60) * Inputs!$C$60</f>
        <v>0</v>
      </c>
      <c r="E250" s="331">
        <f>E$29*(EIA_electricity_aeo2014!G$60) * Inputs!$C$60</f>
        <v>0</v>
      </c>
      <c r="F250" s="331">
        <f>F$29*(EIA_electricity_aeo2014!H$60) * Inputs!$C$60</f>
        <v>0</v>
      </c>
      <c r="G250" s="331">
        <f>G$29*(EIA_electricity_aeo2014!I$60) * Inputs!$C$60</f>
        <v>0</v>
      </c>
      <c r="H250" s="402">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7">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0">
        <f>X$29*(EIA_electricity_aeo2014!Z$60) * Inputs!$M$60</f>
        <v>0</v>
      </c>
      <c r="Y250" s="130">
        <f>Y$29*(EIA_electricity_aeo2014!AA$60) * Inputs!$M$60</f>
        <v>0</v>
      </c>
      <c r="Z250" s="130">
        <f>Z$29*(EIA_electricity_aeo2014!AB$60) * Inputs!$M$60</f>
        <v>0</v>
      </c>
      <c r="AA250" s="130">
        <f>AA$29*(EIA_electricity_aeo2014!AC$60) * Inputs!$M$60</f>
        <v>0</v>
      </c>
      <c r="AB250" s="130">
        <f>AB$29*(EIA_electricity_aeo2014!AD$60) * Inputs!$M$60</f>
        <v>0</v>
      </c>
      <c r="AC250" s="130">
        <f>AC$29*(EIA_electricity_aeo2014!AE$60) * Inputs!$M$60</f>
        <v>0</v>
      </c>
      <c r="AD250" s="130">
        <f>AD$29*(EIA_electricity_aeo2014!AF$60) * Inputs!$M$60</f>
        <v>0</v>
      </c>
      <c r="AE250" s="130">
        <f>AE$29*(EIA_electricity_aeo2014!AG$60) * Inputs!$M$60</f>
        <v>0</v>
      </c>
      <c r="AF250" s="130">
        <f>AF$29*(EIA_electricity_aeo2014!AH$60) * Inputs!$M$60</f>
        <v>0</v>
      </c>
      <c r="AG250" s="130">
        <f>AG$29*(EIA_electricity_aeo2014!AI$60) * Inputs!$M$60</f>
        <v>0</v>
      </c>
      <c r="AH250" s="190">
        <f>AH$29*(EIA_electricity_aeo2014!AJ$60) * Inputs!$M$60</f>
        <v>0</v>
      </c>
    </row>
    <row r="251" spans="1:34">
      <c r="A251" t="s">
        <v>443</v>
      </c>
      <c r="D251" s="331">
        <f>D250*Inputs!$H$60</f>
        <v>0</v>
      </c>
      <c r="E251" s="331">
        <f>E250*Inputs!$H$60</f>
        <v>0</v>
      </c>
      <c r="F251" s="331">
        <f>F250*Inputs!$H$60</f>
        <v>0</v>
      </c>
      <c r="G251" s="331">
        <f>G250*Inputs!$H$60</f>
        <v>0</v>
      </c>
      <c r="H251" s="402">
        <f>H250*Inputs!$H$60</f>
        <v>0</v>
      </c>
      <c r="I251" s="14">
        <f>I250*Inputs!$H$60</f>
        <v>0</v>
      </c>
      <c r="J251" s="14">
        <f>J250*Inputs!$H$60</f>
        <v>0</v>
      </c>
      <c r="K251" s="14">
        <f>K250*Inputs!$H$60</f>
        <v>0</v>
      </c>
      <c r="L251" s="14">
        <f>L250*Inputs!$H$60</f>
        <v>0</v>
      </c>
      <c r="M251" s="14">
        <f>M250*Inputs!$H$60</f>
        <v>0</v>
      </c>
      <c r="N251" s="187">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0">
        <f>X$29*(EIA_electricity_aeo2014!Z$60) * Inputs!$M$60</f>
        <v>0</v>
      </c>
      <c r="Y251" s="130">
        <f>Y$29*(EIA_electricity_aeo2014!AA$60) * Inputs!$M$60</f>
        <v>0</v>
      </c>
      <c r="Z251" s="130">
        <f>Z$29*(EIA_electricity_aeo2014!AB$60) * Inputs!$M$60</f>
        <v>0</v>
      </c>
      <c r="AA251" s="130">
        <f>AA$29*(EIA_electricity_aeo2014!AC$60) * Inputs!$M$60</f>
        <v>0</v>
      </c>
      <c r="AB251" s="130">
        <f>AB$29*(EIA_electricity_aeo2014!AD$60) * Inputs!$M$60</f>
        <v>0</v>
      </c>
      <c r="AC251" s="130">
        <f>AC$29*(EIA_electricity_aeo2014!AE$60) * Inputs!$M$60</f>
        <v>0</v>
      </c>
      <c r="AD251" s="130">
        <f>AD$29*(EIA_electricity_aeo2014!AF$60) * Inputs!$M$60</f>
        <v>0</v>
      </c>
      <c r="AE251" s="130">
        <f>AE$29*(EIA_electricity_aeo2014!AG$60) * Inputs!$M$60</f>
        <v>0</v>
      </c>
      <c r="AF251" s="130">
        <f>AF$29*(EIA_electricity_aeo2014!AH$60) * Inputs!$M$60</f>
        <v>0</v>
      </c>
      <c r="AG251" s="130">
        <f>AG$29*(EIA_electricity_aeo2014!AI$60) * Inputs!$M$60</f>
        <v>0</v>
      </c>
      <c r="AH251" s="190">
        <f>AH$29*(EIA_electricity_aeo2014!AJ$60) * Inputs!$M$60</f>
        <v>0</v>
      </c>
    </row>
    <row r="252" spans="1:34" s="1" customFormat="1">
      <c r="A252" s="1" t="s">
        <v>441</v>
      </c>
      <c r="B252" s="13"/>
      <c r="C252" s="328"/>
      <c r="D252" s="341">
        <f>D$29*(1-EIA_electricity_aeo2014!F$60) * Inputs!$M$61</f>
        <v>0</v>
      </c>
      <c r="E252" s="341">
        <f>E$29*(1-EIA_electricity_aeo2014!G$60) * Inputs!$M$61</f>
        <v>0</v>
      </c>
      <c r="F252" s="341">
        <f>F$29*(1-EIA_electricity_aeo2014!H$60) * Inputs!$M$61</f>
        <v>0</v>
      </c>
      <c r="G252" s="341">
        <f>G$29*(1-EIA_electricity_aeo2014!I$60) * Inputs!$M$61</f>
        <v>0</v>
      </c>
      <c r="H252" s="405">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0">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0">
        <f>X$29*(EIA_electricity_aeo2014!Z$60) * Inputs!$M$60</f>
        <v>0</v>
      </c>
      <c r="Y252" s="130">
        <f>Y$29*(EIA_electricity_aeo2014!AA$60) * Inputs!$M$60</f>
        <v>0</v>
      </c>
      <c r="Z252" s="130">
        <f>Z$29*(EIA_electricity_aeo2014!AB$60) * Inputs!$M$60</f>
        <v>0</v>
      </c>
      <c r="AA252" s="130">
        <f>AA$29*(EIA_electricity_aeo2014!AC$60) * Inputs!$M$60</f>
        <v>0</v>
      </c>
      <c r="AB252" s="130">
        <f>AB$29*(EIA_electricity_aeo2014!AD$60) * Inputs!$M$60</f>
        <v>0</v>
      </c>
      <c r="AC252" s="130">
        <f>AC$29*(EIA_electricity_aeo2014!AE$60) * Inputs!$M$60</f>
        <v>0</v>
      </c>
      <c r="AD252" s="130">
        <f>AD$29*(EIA_electricity_aeo2014!AF$60) * Inputs!$M$60</f>
        <v>0</v>
      </c>
      <c r="AE252" s="130">
        <f>AE$29*(EIA_electricity_aeo2014!AG$60) * Inputs!$M$60</f>
        <v>0</v>
      </c>
      <c r="AF252" s="130">
        <f>AF$29*(EIA_electricity_aeo2014!AH$60) * Inputs!$M$60</f>
        <v>0</v>
      </c>
      <c r="AG252" s="130">
        <f>AG$29*(EIA_electricity_aeo2014!AI$60) * Inputs!$M$60</f>
        <v>0</v>
      </c>
      <c r="AH252" s="190">
        <f>AH$29*(EIA_electricity_aeo2014!AJ$60) * Inputs!$M$60</f>
        <v>0</v>
      </c>
    </row>
    <row r="253" spans="1:34">
      <c r="A253" t="s">
        <v>442</v>
      </c>
      <c r="D253" s="331">
        <f>D$29*(1-EIA_electricity_aeo2014!F$60) * Inputs!$C$61</f>
        <v>0</v>
      </c>
      <c r="E253" s="331">
        <f>E$29*(1-EIA_electricity_aeo2014!G$60) * Inputs!$C$61</f>
        <v>0</v>
      </c>
      <c r="F253" s="331">
        <f>F$29*(1-EIA_electricity_aeo2014!H$60) * Inputs!$C$61</f>
        <v>0</v>
      </c>
      <c r="G253" s="331">
        <f>G$29*(1-EIA_electricity_aeo2014!I$60) * Inputs!$C$61</f>
        <v>0</v>
      </c>
      <c r="H253" s="402">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7">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0">
        <f>X$29*(EIA_electricity_aeo2014!Z$60) * Inputs!$M$60</f>
        <v>0</v>
      </c>
      <c r="Y253" s="130">
        <f>Y$29*(EIA_electricity_aeo2014!AA$60) * Inputs!$M$60</f>
        <v>0</v>
      </c>
      <c r="Z253" s="130">
        <f>Z$29*(EIA_electricity_aeo2014!AB$60) * Inputs!$M$60</f>
        <v>0</v>
      </c>
      <c r="AA253" s="130">
        <f>AA$29*(EIA_electricity_aeo2014!AC$60) * Inputs!$M$60</f>
        <v>0</v>
      </c>
      <c r="AB253" s="130">
        <f>AB$29*(EIA_electricity_aeo2014!AD$60) * Inputs!$M$60</f>
        <v>0</v>
      </c>
      <c r="AC253" s="130">
        <f>AC$29*(EIA_electricity_aeo2014!AE$60) * Inputs!$M$60</f>
        <v>0</v>
      </c>
      <c r="AD253" s="130">
        <f>AD$29*(EIA_electricity_aeo2014!AF$60) * Inputs!$M$60</f>
        <v>0</v>
      </c>
      <c r="AE253" s="130">
        <f>AE$29*(EIA_electricity_aeo2014!AG$60) * Inputs!$M$60</f>
        <v>0</v>
      </c>
      <c r="AF253" s="130">
        <f>AF$29*(EIA_electricity_aeo2014!AH$60) * Inputs!$M$60</f>
        <v>0</v>
      </c>
      <c r="AG253" s="130">
        <f>AG$29*(EIA_electricity_aeo2014!AI$60) * Inputs!$M$60</f>
        <v>0</v>
      </c>
      <c r="AH253" s="190">
        <f>AH$29*(EIA_electricity_aeo2014!AJ$60) * Inputs!$M$60</f>
        <v>0</v>
      </c>
    </row>
    <row r="254" spans="1:34">
      <c r="A254" t="s">
        <v>443</v>
      </c>
      <c r="D254" s="331">
        <f>D253*Inputs!$H$61</f>
        <v>0</v>
      </c>
      <c r="E254" s="331">
        <f>E253*Inputs!$H$61</f>
        <v>0</v>
      </c>
      <c r="F254" s="331">
        <f>F253*Inputs!$H$61</f>
        <v>0</v>
      </c>
      <c r="G254" s="331">
        <f>G253*Inputs!$H$61</f>
        <v>0</v>
      </c>
      <c r="H254" s="402">
        <f>H253*Inputs!$H$61</f>
        <v>0</v>
      </c>
      <c r="I254" s="14">
        <f>I253*Inputs!$H$61</f>
        <v>0</v>
      </c>
      <c r="J254" s="14">
        <f>J253*Inputs!$H$61</f>
        <v>0</v>
      </c>
      <c r="K254" s="14">
        <f>K253*Inputs!$H$61</f>
        <v>0</v>
      </c>
      <c r="L254" s="14">
        <f>L253*Inputs!$H$61</f>
        <v>0</v>
      </c>
      <c r="M254" s="14">
        <f>M253*Inputs!$H$61</f>
        <v>0</v>
      </c>
      <c r="N254" s="187">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0">
        <f>X$29*(EIA_electricity_aeo2014!Z$60) * Inputs!$M$60</f>
        <v>0</v>
      </c>
      <c r="Y254" s="130">
        <f>Y$29*(EIA_electricity_aeo2014!AA$60) * Inputs!$M$60</f>
        <v>0</v>
      </c>
      <c r="Z254" s="130">
        <f>Z$29*(EIA_electricity_aeo2014!AB$60) * Inputs!$M$60</f>
        <v>0</v>
      </c>
      <c r="AA254" s="130">
        <f>AA$29*(EIA_electricity_aeo2014!AC$60) * Inputs!$M$60</f>
        <v>0</v>
      </c>
      <c r="AB254" s="130">
        <f>AB$29*(EIA_electricity_aeo2014!AD$60) * Inputs!$M$60</f>
        <v>0</v>
      </c>
      <c r="AC254" s="130">
        <f>AC$29*(EIA_electricity_aeo2014!AE$60) * Inputs!$M$60</f>
        <v>0</v>
      </c>
      <c r="AD254" s="130">
        <f>AD$29*(EIA_electricity_aeo2014!AF$60) * Inputs!$M$60</f>
        <v>0</v>
      </c>
      <c r="AE254" s="130">
        <f>AE$29*(EIA_electricity_aeo2014!AG$60) * Inputs!$M$60</f>
        <v>0</v>
      </c>
      <c r="AF254" s="130">
        <f>AF$29*(EIA_electricity_aeo2014!AH$60) * Inputs!$M$60</f>
        <v>0</v>
      </c>
      <c r="AG254" s="130">
        <f>AG$29*(EIA_electricity_aeo2014!AI$60) * Inputs!$M$60</f>
        <v>0</v>
      </c>
      <c r="AH254" s="190">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U3" activePane="bottomRight" state="frozen"/>
      <selection pane="topRight" activeCell="C1" sqref="C1"/>
      <selection pane="bottomLeft" activeCell="A3" sqref="A3"/>
      <selection pane="bottomRight" activeCell="AG13" sqref="AG13:AH13"/>
    </sheetView>
  </sheetViews>
  <sheetFormatPr baseColWidth="10" defaultColWidth="8.83203125" defaultRowHeight="14" x14ac:dyDescent="0"/>
  <cols>
    <col min="1" max="1" width="25.6640625" bestFit="1" customWidth="1"/>
    <col min="2" max="2" width="5.6640625" style="2" bestFit="1" customWidth="1"/>
    <col min="3" max="3" width="13.33203125" style="327" bestFit="1" customWidth="1"/>
    <col min="4" max="4" width="12.33203125" style="327" customWidth="1"/>
    <col min="5" max="5" width="14.1640625" style="327" customWidth="1"/>
    <col min="6" max="6" width="11.33203125" style="327" bestFit="1" customWidth="1"/>
    <col min="7" max="7" width="14.33203125" style="327"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6" bestFit="1" customWidth="1"/>
    <col min="15" max="22" width="11.5" style="2" bestFit="1" customWidth="1"/>
    <col min="23" max="23" width="11.33203125" style="2" bestFit="1" customWidth="1"/>
    <col min="24" max="24" width="11.33203125" style="192"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327" t="s">
        <v>0</v>
      </c>
      <c r="D1" s="327" t="s">
        <v>0</v>
      </c>
      <c r="E1" s="393" t="s">
        <v>0</v>
      </c>
    </row>
    <row r="2" spans="1:34" s="1" customFormat="1">
      <c r="B2" s="2" t="s">
        <v>127</v>
      </c>
      <c r="C2" s="328">
        <v>2009</v>
      </c>
      <c r="D2" s="328">
        <v>2010</v>
      </c>
      <c r="E2" s="328">
        <v>2011</v>
      </c>
      <c r="F2" s="328">
        <v>2012</v>
      </c>
      <c r="G2" s="328">
        <v>2013</v>
      </c>
      <c r="H2" s="13">
        <v>2014</v>
      </c>
      <c r="I2" s="13">
        <v>2015</v>
      </c>
      <c r="J2" s="13">
        <v>2016</v>
      </c>
      <c r="K2" s="13">
        <v>2017</v>
      </c>
      <c r="L2" s="13">
        <v>2018</v>
      </c>
      <c r="M2" s="13">
        <v>2019</v>
      </c>
      <c r="N2" s="176">
        <v>2020</v>
      </c>
      <c r="O2" s="13">
        <v>2021</v>
      </c>
      <c r="P2" s="13">
        <v>2022</v>
      </c>
      <c r="Q2" s="13">
        <v>2023</v>
      </c>
      <c r="R2" s="13">
        <v>2024</v>
      </c>
      <c r="S2" s="13">
        <v>2025</v>
      </c>
      <c r="T2" s="13">
        <v>2026</v>
      </c>
      <c r="U2" s="13">
        <v>2027</v>
      </c>
      <c r="V2" s="13">
        <v>2028</v>
      </c>
      <c r="W2" s="13">
        <v>2029</v>
      </c>
      <c r="X2" s="176">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328"/>
      <c r="D3" s="328"/>
      <c r="E3" s="328"/>
      <c r="F3" s="328"/>
      <c r="G3" s="328"/>
      <c r="H3" s="13"/>
      <c r="I3" s="13"/>
      <c r="J3" s="13"/>
      <c r="K3" s="13"/>
      <c r="L3" s="13"/>
      <c r="M3" s="13"/>
      <c r="N3" s="176"/>
      <c r="O3" s="13"/>
      <c r="P3" s="13"/>
      <c r="Q3" s="13"/>
      <c r="R3" s="13"/>
      <c r="S3" s="13"/>
      <c r="T3" s="13"/>
      <c r="U3" s="13"/>
      <c r="V3" s="13"/>
      <c r="W3" s="13"/>
      <c r="X3" s="176"/>
      <c r="Y3" s="13"/>
      <c r="Z3" s="13"/>
      <c r="AA3" s="13"/>
      <c r="AB3" s="13"/>
      <c r="AC3" s="13"/>
      <c r="AD3" s="13"/>
      <c r="AE3" s="13"/>
      <c r="AF3" s="13"/>
      <c r="AG3" s="13"/>
      <c r="AH3" s="13"/>
    </row>
    <row r="4" spans="1:34" s="1" customFormat="1">
      <c r="A4" s="1" t="s">
        <v>111</v>
      </c>
      <c r="B4" s="13"/>
      <c r="C4" s="329">
        <f>EIA_electricity_aeo2014!E58 * 1000</f>
        <v>43515.000000000007</v>
      </c>
      <c r="D4" s="329">
        <f>EIA_electricity_aeo2014!F58 * 1000</f>
        <v>42211.999999999993</v>
      </c>
      <c r="E4" s="329">
        <f>EIA_electricity_aeo2014!G58 * 1000</f>
        <v>43478.526499121494</v>
      </c>
      <c r="F4" s="329">
        <f>EIA_electricity_aeo2014!H58 * 1000</f>
        <v>44955.646307727089</v>
      </c>
      <c r="G4" s="329">
        <f>EIA_electricity_aeo2014!I58 * 1000</f>
        <v>44263.572856236467</v>
      </c>
      <c r="H4" s="21">
        <f>EIA_electricity_aeo2014!J58 * 1000</f>
        <v>45354.139764398707</v>
      </c>
      <c r="I4" s="21">
        <f>EIA_electricity_aeo2014!K58 * 1000</f>
        <v>44841.913083308064</v>
      </c>
      <c r="J4" s="21">
        <f>EIA_electricity_aeo2014!L58 * 1000</f>
        <v>45272.386252021148</v>
      </c>
      <c r="K4" s="21">
        <f>EIA_electricity_aeo2014!M58 * 1000</f>
        <v>46486.390751616978</v>
      </c>
      <c r="L4" s="21">
        <f>EIA_electricity_aeo2014!N58 * 1000</f>
        <v>47498.684263735238</v>
      </c>
      <c r="M4" s="21">
        <f>EIA_electricity_aeo2014!O58 * 1000</f>
        <v>47762.89614335759</v>
      </c>
      <c r="N4" s="388">
        <f>EIA_electricity_aeo2014!P58 * 1000</f>
        <v>48130.366417613513</v>
      </c>
      <c r="O4" s="21">
        <f>EIA_electricity_aeo2014!Q58 * 1000</f>
        <v>48262.37318055526</v>
      </c>
      <c r="P4" s="21">
        <f>EIA_electricity_aeo2014!R58 * 1000</f>
        <v>48981.768843099046</v>
      </c>
      <c r="Q4" s="21">
        <f>EIA_electricity_aeo2014!S58 * 1000</f>
        <v>49847.639037238376</v>
      </c>
      <c r="R4" s="21">
        <f>EIA_electricity_aeo2014!T58 * 1000</f>
        <v>50257.218029906719</v>
      </c>
      <c r="S4" s="21">
        <f>EIA_electricity_aeo2014!U58 * 1000</f>
        <v>50929.786186963349</v>
      </c>
      <c r="T4" s="21">
        <f>EIA_electricity_aeo2014!V58 * 1000</f>
        <v>51736.442507826134</v>
      </c>
      <c r="U4" s="21">
        <f>EIA_electricity_aeo2014!W58 * 1000</f>
        <v>52254.032121547571</v>
      </c>
      <c r="V4" s="21">
        <f>EIA_electricity_aeo2014!X58 * 1000</f>
        <v>52586.658865465281</v>
      </c>
      <c r="W4" s="21">
        <f>EIA_electricity_aeo2014!Y58 * 1000</f>
        <v>53266.742267002141</v>
      </c>
      <c r="X4" s="388">
        <f>EIA_electricity_aeo2014!Z58 * 1000</f>
        <v>53909.076563730283</v>
      </c>
      <c r="Y4" s="21">
        <f>EIA_electricity_aeo2014!AA58 * 1000</f>
        <v>54005.787057807378</v>
      </c>
      <c r="Z4" s="21">
        <f>EIA_electricity_aeo2014!AB58 * 1000</f>
        <v>54688.88383395534</v>
      </c>
      <c r="AA4" s="21">
        <f>EIA_electricity_aeo2014!AC58 * 1000</f>
        <v>55131.22350183448</v>
      </c>
      <c r="AB4" s="21">
        <f>EIA_electricity_aeo2014!AD58 * 1000</f>
        <v>55432.980482098166</v>
      </c>
      <c r="AC4" s="21">
        <f>EIA_electricity_aeo2014!AE58 * 1000</f>
        <v>55638.10494574139</v>
      </c>
      <c r="AD4" s="21">
        <f>EIA_electricity_aeo2014!AF58 * 1000</f>
        <v>55645.168051949571</v>
      </c>
      <c r="AE4" s="21">
        <f>EIA_electricity_aeo2014!AG58 * 1000</f>
        <v>55757.79470284206</v>
      </c>
      <c r="AF4" s="21">
        <f>EIA_electricity_aeo2014!AH58 * 1000</f>
        <v>56051.82152548086</v>
      </c>
      <c r="AG4" s="21">
        <f>EIA_electricity_aeo2014!AI58 * 1000</f>
        <v>56695.317299609727</v>
      </c>
      <c r="AH4" s="21">
        <f>EIA_electricity_aeo2014!AJ58 * 1000</f>
        <v>57217.234542855367</v>
      </c>
    </row>
    <row r="5" spans="1:34">
      <c r="A5" s="9" t="s">
        <v>61</v>
      </c>
      <c r="B5" s="34">
        <v>0</v>
      </c>
      <c r="C5" s="330">
        <v>0</v>
      </c>
      <c r="D5" s="330"/>
      <c r="E5" s="330"/>
      <c r="F5" s="330"/>
      <c r="G5" s="330"/>
      <c r="H5" s="3"/>
      <c r="I5" s="3"/>
      <c r="J5" s="3"/>
      <c r="K5" s="3"/>
      <c r="L5" s="3"/>
      <c r="M5" s="3"/>
      <c r="N5" s="388"/>
      <c r="O5" s="3"/>
      <c r="P5" s="3"/>
      <c r="Q5" s="3"/>
      <c r="R5" s="3"/>
      <c r="S5" s="3"/>
      <c r="T5" s="3"/>
      <c r="U5" s="3"/>
      <c r="V5" s="3"/>
      <c r="W5" s="3"/>
      <c r="X5" s="184"/>
    </row>
    <row r="6" spans="1:34">
      <c r="A6" s="9" t="s">
        <v>60</v>
      </c>
      <c r="B6" s="34">
        <v>0</v>
      </c>
      <c r="C6" s="330">
        <v>0</v>
      </c>
      <c r="D6" s="330"/>
      <c r="E6" s="394" t="s">
        <v>0</v>
      </c>
      <c r="F6" s="330"/>
      <c r="G6" s="330"/>
      <c r="H6" s="3"/>
      <c r="I6" s="3"/>
      <c r="J6" s="3"/>
      <c r="K6" s="3"/>
      <c r="L6" s="3"/>
      <c r="M6" s="3"/>
      <c r="N6" s="388"/>
      <c r="O6" s="3"/>
      <c r="P6" s="3"/>
      <c r="Q6" s="3"/>
      <c r="R6" s="3"/>
      <c r="S6" s="3"/>
      <c r="T6" s="3"/>
      <c r="U6" s="3"/>
      <c r="V6" s="3"/>
      <c r="W6" s="3"/>
      <c r="X6" s="184"/>
    </row>
    <row r="7" spans="1:34">
      <c r="A7" s="9" t="s">
        <v>49</v>
      </c>
      <c r="B7" s="34">
        <v>0</v>
      </c>
      <c r="C7" s="330">
        <f>EIA_RE_aeo2014!E73*1000-C15</f>
        <v>834.99</v>
      </c>
      <c r="D7" s="330">
        <f>EIA_RE_aeo2014!F73*1000-D15</f>
        <v>695.99</v>
      </c>
      <c r="E7" s="330">
        <f>EIA_RE_aeo2014!G73*1000-E15</f>
        <v>842.20388040028342</v>
      </c>
      <c r="F7" s="330">
        <f>EIA_RE_aeo2014!H73*1000-F15</f>
        <v>791.65343940901664</v>
      </c>
      <c r="G7" s="330">
        <f>EIA_RE_aeo2014!I73*1000-G15</f>
        <v>651.06007537245603</v>
      </c>
      <c r="H7" s="174">
        <f>EIA_RE_aeo2014!J73*1000-H15</f>
        <v>664.9081945524315</v>
      </c>
      <c r="I7" s="174">
        <f>EIA_RE_aeo2014!K73*1000-I15</f>
        <v>675.86240715134136</v>
      </c>
      <c r="J7" s="174">
        <f>EIA_RE_aeo2014!L73*1000-J15</f>
        <v>687.7979657252024</v>
      </c>
      <c r="K7" s="174">
        <f>EIA_RE_aeo2014!M73*1000-K15</f>
        <v>696.18987272265281</v>
      </c>
      <c r="L7" s="174">
        <f>EIA_RE_aeo2014!N73*1000-L15</f>
        <v>693.20496030839979</v>
      </c>
      <c r="M7" s="174">
        <f>EIA_RE_aeo2014!O73*1000-M15</f>
        <v>693.20518874451489</v>
      </c>
      <c r="N7" s="184">
        <f>EIA_RE_aeo2014!P73*1000-N15</f>
        <v>693.20496030839979</v>
      </c>
      <c r="O7" s="174">
        <f>EIA_RE_aeo2014!Q73*1000-O15</f>
        <v>696.78995362989986</v>
      </c>
      <c r="P7" s="174">
        <f>EIA_RE_aeo2014!R73*1000-P15</f>
        <v>696.78972519378488</v>
      </c>
      <c r="Q7" s="174">
        <f>EIA_RE_aeo2014!S73*1000-Q15</f>
        <v>696.78964731783663</v>
      </c>
      <c r="R7" s="174">
        <f>EIA_RE_aeo2014!T73*1000-R15</f>
        <v>696.78964731783663</v>
      </c>
      <c r="S7" s="83">
        <f>EIA_RE_aeo2014!U73*1000-S15</f>
        <v>696.78964731783663</v>
      </c>
      <c r="T7" s="83">
        <f>EIA_RE_aeo2014!V73*1000-T15</f>
        <v>696.78956425015838</v>
      </c>
      <c r="U7" s="83">
        <f>EIA_RE_aeo2014!W73*1000-U15</f>
        <v>696.78956425015838</v>
      </c>
      <c r="V7" s="83">
        <f>EIA_RE_aeo2014!X73*1000-V15</f>
        <v>696.78956425015838</v>
      </c>
      <c r="W7" s="83">
        <f>EIA_RE_aeo2014!Y73*1000-W15</f>
        <v>700.99841660178754</v>
      </c>
      <c r="X7" s="184">
        <f>EIA_RE_aeo2014!Z73*1000-X15</f>
        <v>700.99841660178754</v>
      </c>
      <c r="Y7" s="174">
        <f>EIA_RE_aeo2014!AA73*1000-Y15</f>
        <v>701.91157958813403</v>
      </c>
      <c r="Z7" s="174">
        <f>EIA_RE_aeo2014!AB73*1000-Z15</f>
        <v>701.91158477986392</v>
      </c>
      <c r="AA7" s="174">
        <f>EIA_RE_aeo2014!AC73*1000-AA15</f>
        <v>701.91158477986392</v>
      </c>
      <c r="AB7" s="174">
        <f>EIA_RE_aeo2014!AD73*1000-AB15</f>
        <v>701.91158477986392</v>
      </c>
      <c r="AC7" s="174">
        <f>EIA_RE_aeo2014!AE73*1000-AC15</f>
        <v>703.25522524151233</v>
      </c>
      <c r="AD7" s="174">
        <f>EIA_RE_aeo2014!AF73*1000-AD15</f>
        <v>703.25545886935731</v>
      </c>
      <c r="AE7" s="174">
        <f>EIA_RE_aeo2014!AG73*1000-AE15</f>
        <v>703.25529792573093</v>
      </c>
      <c r="AF7" s="174">
        <f>EIA_RE_aeo2014!AH73*1000-AF15</f>
        <v>703.25505910615607</v>
      </c>
      <c r="AG7" s="174">
        <f>EIA_RE_aeo2014!AI73*1000-AG15</f>
        <v>706.50051848478302</v>
      </c>
      <c r="AH7" s="174">
        <f>EIA_RE_aeo2014!AJ73*1000-AH15</f>
        <v>706.50044580056453</v>
      </c>
    </row>
    <row r="8" spans="1:34">
      <c r="A8" s="9" t="s">
        <v>59</v>
      </c>
      <c r="B8" s="34">
        <v>0</v>
      </c>
      <c r="C8" s="330">
        <f>EIA_electricity_aeo2014!E52*1000</f>
        <v>0</v>
      </c>
      <c r="D8" s="330">
        <f>EIA_electricity_aeo2014!F52*1000</f>
        <v>0</v>
      </c>
      <c r="E8" s="330">
        <f>EIA_electricity_aeo2014!G52*1000</f>
        <v>0</v>
      </c>
      <c r="F8" s="330">
        <f>EIA_electricity_aeo2014!H52*1000</f>
        <v>0</v>
      </c>
      <c r="G8" s="330">
        <f>EIA_electricity_aeo2014!I52*1000</f>
        <v>0</v>
      </c>
      <c r="H8" s="3">
        <f>EIA_electricity_aeo2014!J52*1000</f>
        <v>0</v>
      </c>
      <c r="I8" s="3">
        <f>EIA_electricity_aeo2014!K52*1000</f>
        <v>0</v>
      </c>
      <c r="J8" s="3">
        <f>EIA_electricity_aeo2014!L52*1000</f>
        <v>0</v>
      </c>
      <c r="K8" s="3">
        <f>EIA_electricity_aeo2014!M52*1000</f>
        <v>0</v>
      </c>
      <c r="L8" s="3">
        <f>EIA_electricity_aeo2014!N52*1000</f>
        <v>0</v>
      </c>
      <c r="M8" s="3">
        <f>EIA_electricity_aeo2014!O52*1000</f>
        <v>0</v>
      </c>
      <c r="N8" s="388">
        <f>EIA_electricity_aeo2014!P52*1000</f>
        <v>0</v>
      </c>
      <c r="O8" s="3">
        <f>EIA_electricity_aeo2014!Q52*1000</f>
        <v>0</v>
      </c>
      <c r="P8" s="3">
        <f>EIA_electricity_aeo2014!R52*1000</f>
        <v>0</v>
      </c>
      <c r="Q8" s="3">
        <f>EIA_electricity_aeo2014!S52*1000</f>
        <v>0</v>
      </c>
      <c r="R8" s="3">
        <f>EIA_electricity_aeo2014!T52*1000</f>
        <v>0</v>
      </c>
      <c r="S8" s="3">
        <f>EIA_electricity_aeo2014!U52*1000</f>
        <v>0</v>
      </c>
      <c r="T8" s="3">
        <f>EIA_electricity_aeo2014!V52*1000</f>
        <v>0</v>
      </c>
      <c r="U8" s="3">
        <f>EIA_electricity_aeo2014!W52*1000</f>
        <v>0</v>
      </c>
      <c r="V8" s="3">
        <f>EIA_electricity_aeo2014!X52*1000</f>
        <v>0</v>
      </c>
      <c r="W8" s="3">
        <f>EIA_electricity_aeo2014!Y52*1000</f>
        <v>0</v>
      </c>
      <c r="X8" s="184">
        <f>EIA_electricity_aeo2014!Z52*1000</f>
        <v>0</v>
      </c>
      <c r="Y8" s="174">
        <f>EIA_electricity_aeo2014!AA52*1000</f>
        <v>0</v>
      </c>
      <c r="Z8" s="174">
        <f>EIA_electricity_aeo2014!AB52*1000</f>
        <v>0</v>
      </c>
      <c r="AA8" s="174">
        <f>EIA_electricity_aeo2014!AC52*1000</f>
        <v>0</v>
      </c>
      <c r="AB8" s="174">
        <f>EIA_electricity_aeo2014!AD52*1000</f>
        <v>0</v>
      </c>
      <c r="AC8" s="174">
        <f>EIA_electricity_aeo2014!AE52*1000</f>
        <v>0</v>
      </c>
      <c r="AD8" s="174">
        <f>EIA_electricity_aeo2014!AF52*1000</f>
        <v>0</v>
      </c>
      <c r="AE8" s="174">
        <f>EIA_electricity_aeo2014!AG52*1000</f>
        <v>0</v>
      </c>
      <c r="AF8" s="174">
        <f>EIA_electricity_aeo2014!AH52*1000</f>
        <v>0</v>
      </c>
      <c r="AG8" s="174">
        <f>EIA_electricity_aeo2014!AI52*1000</f>
        <v>0</v>
      </c>
      <c r="AH8" s="174">
        <f>EIA_electricity_aeo2014!AJ52*1000</f>
        <v>0</v>
      </c>
    </row>
    <row r="9" spans="1:34">
      <c r="A9" s="9"/>
      <c r="B9" s="34"/>
      <c r="C9" s="330"/>
      <c r="D9" s="330"/>
      <c r="E9" s="330"/>
      <c r="F9" s="330"/>
      <c r="G9" s="330"/>
      <c r="H9" s="118"/>
      <c r="I9" s="118"/>
      <c r="J9" s="118"/>
      <c r="K9" s="118"/>
      <c r="L9" s="118"/>
      <c r="M9" s="118"/>
      <c r="N9" s="388"/>
      <c r="O9" s="118"/>
      <c r="P9" s="118"/>
      <c r="Q9" s="118"/>
      <c r="R9" s="118"/>
      <c r="S9" s="118"/>
      <c r="T9" s="118"/>
      <c r="U9" s="118"/>
      <c r="V9" s="118"/>
      <c r="W9" s="118"/>
      <c r="X9" s="184"/>
    </row>
    <row r="10" spans="1:34" s="20" customFormat="1">
      <c r="A10" s="9" t="s">
        <v>125</v>
      </c>
      <c r="B10" s="35">
        <v>1</v>
      </c>
      <c r="C10" s="330">
        <f>EIA_RE_aeo2014!E76*1000</f>
        <v>0</v>
      </c>
      <c r="D10" s="330">
        <f>EIA_RE_aeo2014!F76*1000</f>
        <v>0</v>
      </c>
      <c r="E10" s="330">
        <f>EIA_RE_aeo2014!G76*1000</f>
        <v>2.6048960000000001</v>
      </c>
      <c r="F10" s="330">
        <f>EIA_RE_aeo2014!H76*1000</f>
        <v>2.52163</v>
      </c>
      <c r="G10" s="330">
        <f>EIA_RE_aeo2014!I76*1000</f>
        <v>2.4783379999999999</v>
      </c>
      <c r="H10" s="83">
        <f>EIA_RE_aeo2014!J76*1000</f>
        <v>2.6484580000000002</v>
      </c>
      <c r="I10" s="174">
        <f>EIA_RE_aeo2014!K76*1000</f>
        <v>2.6254789999999999</v>
      </c>
      <c r="J10" s="174">
        <f>EIA_RE_aeo2014!L76*1000</f>
        <v>2.8440859999999999</v>
      </c>
      <c r="K10" s="174">
        <f>EIA_RE_aeo2014!M76*1000</f>
        <v>3.1130680000000002</v>
      </c>
      <c r="L10" s="174">
        <f>EIA_RE_aeo2014!N76*1000</f>
        <v>3.8038400000000001</v>
      </c>
      <c r="M10" s="174">
        <f>EIA_RE_aeo2014!O76*1000</f>
        <v>4.2440170000000004</v>
      </c>
      <c r="N10" s="184">
        <f>EIA_RE_aeo2014!P76*1000</f>
        <v>4.3191179999999996</v>
      </c>
      <c r="O10" s="174">
        <f>EIA_RE_aeo2014!Q76*1000</f>
        <v>4.5315149999999997</v>
      </c>
      <c r="P10" s="174">
        <f>EIA_RE_aeo2014!R76*1000</f>
        <v>4.6377730000000001</v>
      </c>
      <c r="Q10" s="174">
        <f>EIA_RE_aeo2014!S76*1000</f>
        <v>4.7140420000000001</v>
      </c>
      <c r="R10" s="174">
        <f>EIA_RE_aeo2014!T76*1000</f>
        <v>4.871772</v>
      </c>
      <c r="S10" s="83">
        <f>EIA_RE_aeo2014!U76*1000</f>
        <v>4.9320510000000004</v>
      </c>
      <c r="T10" s="83">
        <f>EIA_RE_aeo2014!V76*1000</f>
        <v>5.2148560000000002</v>
      </c>
      <c r="U10" s="83">
        <f>EIA_RE_aeo2014!W76*1000</f>
        <v>5.3218880000000004</v>
      </c>
      <c r="V10" s="83">
        <f>EIA_RE_aeo2014!X76*1000</f>
        <v>5.3656499999999996</v>
      </c>
      <c r="W10" s="83">
        <f>EIA_RE_aeo2014!Y76*1000</f>
        <v>5.4569850000000004</v>
      </c>
      <c r="X10" s="184">
        <f>EIA_RE_aeo2014!Z76*1000</f>
        <v>5.5342460000000004</v>
      </c>
      <c r="Y10" s="174">
        <f>EIA_RE_aeo2014!AA76*1000</f>
        <v>5.6304230000000004</v>
      </c>
      <c r="Z10" s="174">
        <f>EIA_RE_aeo2014!AB76*1000</f>
        <v>5.9599130000000011</v>
      </c>
      <c r="AA10" s="174">
        <f>EIA_RE_aeo2014!AC76*1000</f>
        <v>6.0681560000000001</v>
      </c>
      <c r="AB10" s="174">
        <f>EIA_RE_aeo2014!AD76*1000</f>
        <v>6.2059850000000001</v>
      </c>
      <c r="AC10" s="174">
        <f>EIA_RE_aeo2014!AE76*1000</f>
        <v>6.3535630000000003</v>
      </c>
      <c r="AD10" s="174">
        <f>EIA_RE_aeo2014!AF76*1000</f>
        <v>6.488855</v>
      </c>
      <c r="AE10" s="174">
        <f>EIA_RE_aeo2014!AG76*1000</f>
        <v>6.7667320000000002</v>
      </c>
      <c r="AF10" s="174">
        <f>EIA_RE_aeo2014!AH76*1000</f>
        <v>6.910914</v>
      </c>
      <c r="AG10" s="174">
        <f>EIA_RE_aeo2014!AI76*1000</f>
        <v>7.0930580000000001</v>
      </c>
      <c r="AH10" s="174">
        <f>EIA_RE_aeo2014!AJ76*1000</f>
        <v>7.2849589999999997</v>
      </c>
    </row>
    <row r="11" spans="1:34" s="20" customFormat="1">
      <c r="A11" s="9" t="s">
        <v>50</v>
      </c>
      <c r="B11" s="35">
        <v>1</v>
      </c>
      <c r="C11" s="330">
        <f>EIA_RE_aeo2014!E74*1000</f>
        <v>279</v>
      </c>
      <c r="D11" s="330">
        <f>EIA_RE_aeo2014!F74*1000</f>
        <v>277</v>
      </c>
      <c r="E11" s="330">
        <f>EIA_RE_aeo2014!G74*1000</f>
        <v>251.06434710237531</v>
      </c>
      <c r="F11" s="330">
        <f>EIA_RE_aeo2014!H74*1000</f>
        <v>261.08636300513132</v>
      </c>
      <c r="G11" s="330">
        <f>EIA_RE_aeo2014!I74*1000</f>
        <v>310.12678505236727</v>
      </c>
      <c r="H11" s="83">
        <f>EIA_RE_aeo2014!J74*1000</f>
        <v>338.29725839379751</v>
      </c>
      <c r="I11" s="83">
        <f>EIA_RE_aeo2014!K74*1000</f>
        <v>338.29725839379751</v>
      </c>
      <c r="J11" s="83">
        <f>EIA_RE_aeo2014!L74*1000</f>
        <v>441.03911080735122</v>
      </c>
      <c r="K11" s="83">
        <f>EIA_RE_aeo2014!M74*1000</f>
        <v>590.46235690949209</v>
      </c>
      <c r="L11" s="83">
        <f>EIA_RE_aeo2014!N74*1000</f>
        <v>688.25538926521824</v>
      </c>
      <c r="M11" s="83">
        <f>EIA_RE_aeo2014!O74*1000</f>
        <v>712.9113472093652</v>
      </c>
      <c r="N11" s="388">
        <f>EIA_RE_aeo2014!P74*1000</f>
        <v>714.46617303550954</v>
      </c>
      <c r="O11" s="83">
        <f>EIA_RE_aeo2014!Q74*1000</f>
        <v>765.78955891043984</v>
      </c>
      <c r="P11" s="83">
        <f>EIA_RE_aeo2014!R74*1000</f>
        <v>852.73992644583427</v>
      </c>
      <c r="Q11" s="83">
        <f>EIA_RE_aeo2014!S74*1000</f>
        <v>958.04060509917508</v>
      </c>
      <c r="R11" s="83">
        <f>EIA_RE_aeo2014!T74*1000</f>
        <v>1068.9784107230494</v>
      </c>
      <c r="S11" s="83">
        <f>EIA_RE_aeo2014!U74*1000</f>
        <v>1163.0851400499284</v>
      </c>
      <c r="T11" s="83">
        <f>EIA_RE_aeo2014!V74*1000</f>
        <v>1279.9801347163072</v>
      </c>
      <c r="U11" s="83">
        <f>EIA_RE_aeo2014!W74*1000</f>
        <v>1385.5566757817408</v>
      </c>
      <c r="V11" s="83">
        <f>EIA_RE_aeo2014!X74*1000</f>
        <v>1442.795363812198</v>
      </c>
      <c r="W11" s="83">
        <f>EIA_RE_aeo2014!Y74*1000</f>
        <v>1456.3813627548341</v>
      </c>
      <c r="X11" s="184">
        <f>EIA_RE_aeo2014!Z74*1000</f>
        <v>1510.7829208731275</v>
      </c>
      <c r="Y11" s="174">
        <f>EIA_RE_aeo2014!AA74*1000</f>
        <v>1647.9530961476989</v>
      </c>
      <c r="Z11" s="174">
        <f>EIA_RE_aeo2014!AB74*1000</f>
        <v>1870.0863245991018</v>
      </c>
      <c r="AA11" s="174">
        <f>EIA_RE_aeo2014!AC74*1000</f>
        <v>2062.0135825817474</v>
      </c>
      <c r="AB11" s="174">
        <f>EIA_RE_aeo2014!AD74*1000</f>
        <v>2254.2792763321868</v>
      </c>
      <c r="AC11" s="174">
        <f>EIA_RE_aeo2014!AE74*1000</f>
        <v>2306.9950799806834</v>
      </c>
      <c r="AD11" s="174">
        <f>EIA_RE_aeo2014!AF74*1000</f>
        <v>2352.1772828801254</v>
      </c>
      <c r="AE11" s="174">
        <f>EIA_RE_aeo2014!AG74*1000</f>
        <v>2386.7284396796435</v>
      </c>
      <c r="AF11" s="174">
        <f>EIA_RE_aeo2014!AH74*1000</f>
        <v>2441.2051629172079</v>
      </c>
      <c r="AG11" s="174">
        <f>EIA_RE_aeo2014!AI74*1000</f>
        <v>2502.6231600664973</v>
      </c>
      <c r="AH11" s="174">
        <f>EIA_RE_aeo2014!AJ74*1000</f>
        <v>2510.099969392104</v>
      </c>
    </row>
    <row r="12" spans="1:34" s="20" customFormat="1">
      <c r="A12" s="9" t="s">
        <v>51</v>
      </c>
      <c r="B12" s="35">
        <v>1</v>
      </c>
      <c r="C12" s="330">
        <f>EIA_RE_aeo2014!E75*1000</f>
        <v>48</v>
      </c>
      <c r="D12" s="330">
        <f>EIA_RE_aeo2014!F75*1000</f>
        <v>56</v>
      </c>
      <c r="E12" s="330">
        <f>EIA_RE_aeo2014!G75*1000</f>
        <v>62.518684324975396</v>
      </c>
      <c r="F12" s="330">
        <f>EIA_RE_aeo2014!H75*1000</f>
        <v>73.37318022231274</v>
      </c>
      <c r="G12" s="330">
        <f>EIA_RE_aeo2014!I75*1000</f>
        <v>87.546422623392232</v>
      </c>
      <c r="H12" s="83">
        <f>EIA_RE_aeo2014!J75*1000</f>
        <v>78.248233625726343</v>
      </c>
      <c r="I12" s="174">
        <f>EIA_RE_aeo2014!K75*1000</f>
        <v>87.44609607272524</v>
      </c>
      <c r="J12" s="174">
        <f>EIA_RE_aeo2014!L75*1000</f>
        <v>78.242355506074574</v>
      </c>
      <c r="K12" s="174">
        <f>EIA_RE_aeo2014!M75*1000</f>
        <v>86.91417605881152</v>
      </c>
      <c r="L12" s="174">
        <f>EIA_RE_aeo2014!N75*1000</f>
        <v>68.328259123877032</v>
      </c>
      <c r="M12" s="174">
        <f>EIA_RE_aeo2014!O75*1000</f>
        <v>88.250900319287297</v>
      </c>
      <c r="N12" s="184">
        <f>EIA_RE_aeo2014!P75*1000</f>
        <v>97.27819766723762</v>
      </c>
      <c r="O12" s="174">
        <f>EIA_RE_aeo2014!Q75*1000</f>
        <v>88.258671392725262</v>
      </c>
      <c r="P12" s="174">
        <f>EIA_RE_aeo2014!R75*1000</f>
        <v>78.352047196525774</v>
      </c>
      <c r="Q12" s="174">
        <f>EIA_RE_aeo2014!S75*1000</f>
        <v>87.382731935461862</v>
      </c>
      <c r="R12" s="174">
        <f>EIA_RE_aeo2014!T75*1000</f>
        <v>97.583859889130707</v>
      </c>
      <c r="S12" s="83">
        <f>EIA_RE_aeo2014!U75*1000</f>
        <v>78.161157751562541</v>
      </c>
      <c r="T12" s="83">
        <f>EIA_RE_aeo2014!V75*1000</f>
        <v>87.055948334480973</v>
      </c>
      <c r="U12" s="83">
        <f>EIA_RE_aeo2014!W75*1000</f>
        <v>87.011015589346115</v>
      </c>
      <c r="V12" s="83">
        <f>EIA_RE_aeo2014!X75*1000</f>
        <v>88.219317879802247</v>
      </c>
      <c r="W12" s="83">
        <f>EIA_RE_aeo2014!Y75*1000</f>
        <v>76.968098720542386</v>
      </c>
      <c r="X12" s="184">
        <f>EIA_RE_aeo2014!Z75*1000</f>
        <v>77.363526803558585</v>
      </c>
      <c r="Y12" s="174">
        <f>EIA_RE_aeo2014!AA75*1000</f>
        <v>87.469807809625664</v>
      </c>
      <c r="Z12" s="174">
        <f>EIA_RE_aeo2014!AB75*1000</f>
        <v>76.819750921194668</v>
      </c>
      <c r="AA12" s="174">
        <f>EIA_RE_aeo2014!AC75*1000</f>
        <v>86.875021804181799</v>
      </c>
      <c r="AB12" s="174">
        <f>EIA_RE_aeo2014!AD75*1000</f>
        <v>86.994776038443703</v>
      </c>
      <c r="AC12" s="174">
        <f>EIA_RE_aeo2014!AE75*1000</f>
        <v>76.64898656385283</v>
      </c>
      <c r="AD12" s="174">
        <f>EIA_RE_aeo2014!AF75*1000</f>
        <v>86.76772121324997</v>
      </c>
      <c r="AE12" s="174">
        <f>EIA_RE_aeo2014!AG75*1000</f>
        <v>76.566593259581126</v>
      </c>
      <c r="AF12" s="174">
        <f>EIA_RE_aeo2014!AH75*1000</f>
        <v>76.680668632484512</v>
      </c>
      <c r="AG12" s="174">
        <f>EIA_RE_aeo2014!AI75*1000</f>
        <v>76.644104735667455</v>
      </c>
      <c r="AH12" s="174">
        <f>EIA_RE_aeo2014!AJ75*1000</f>
        <v>78.21854414002749</v>
      </c>
    </row>
    <row r="13" spans="1:34">
      <c r="A13" s="9" t="s">
        <v>347</v>
      </c>
      <c r="B13" s="34">
        <v>1</v>
      </c>
      <c r="C13" s="330">
        <f>(EIA_RE_aeo2014!E34+EIA_RE_aeo2014!E54)*1000</f>
        <v>0</v>
      </c>
      <c r="D13" s="330">
        <f>(EIA_RE_aeo2014!F34+EIA_RE_aeo2014!F54)*1000</f>
        <v>0</v>
      </c>
      <c r="E13" s="330">
        <f>(EIA_RE_aeo2014!G34+EIA_RE_aeo2014!G54)*1000</f>
        <v>0.02</v>
      </c>
      <c r="F13" s="330">
        <f>(EIA_RE_aeo2014!H34+EIA_RE_aeo2014!H54)*1000</f>
        <v>0.02</v>
      </c>
      <c r="G13" s="330">
        <f>(EIA_RE_aeo2014!I34+EIA_RE_aeo2014!I54)*1000</f>
        <v>0.02</v>
      </c>
      <c r="H13" s="83">
        <f>(EIA_RE_aeo2014!J34+EIA_RE_aeo2014!J54)*1000</f>
        <v>0.02</v>
      </c>
      <c r="I13" s="83">
        <f>(EIA_RE_aeo2014!K34+EIA_RE_aeo2014!K54)*1000</f>
        <v>0.02</v>
      </c>
      <c r="J13" s="83">
        <f>(EIA_RE_aeo2014!L34+EIA_RE_aeo2014!L54)*1000</f>
        <v>0.02</v>
      </c>
      <c r="K13" s="83">
        <f>(EIA_RE_aeo2014!M34+EIA_RE_aeo2014!M54)*1000</f>
        <v>0.02</v>
      </c>
      <c r="L13" s="83">
        <f>(EIA_RE_aeo2014!N34+EIA_RE_aeo2014!N54)*1000</f>
        <v>0.02</v>
      </c>
      <c r="M13" s="83">
        <f>(EIA_RE_aeo2014!O34+EIA_RE_aeo2014!O54)*1000</f>
        <v>0.02</v>
      </c>
      <c r="N13" s="388">
        <f>(EIA_RE_aeo2014!P34+EIA_RE_aeo2014!P54)*1000</f>
        <v>0.02</v>
      </c>
      <c r="O13" s="83">
        <f>(EIA_RE_aeo2014!Q34+EIA_RE_aeo2014!Q54)*1000</f>
        <v>0.02</v>
      </c>
      <c r="P13" s="83">
        <f>(EIA_RE_aeo2014!R34+EIA_RE_aeo2014!R54)*1000</f>
        <v>0.02</v>
      </c>
      <c r="Q13" s="83">
        <f>(EIA_RE_aeo2014!S34+EIA_RE_aeo2014!S54)*1000</f>
        <v>0.02</v>
      </c>
      <c r="R13" s="83">
        <f>(EIA_RE_aeo2014!T34+EIA_RE_aeo2014!T54)*1000</f>
        <v>0.02</v>
      </c>
      <c r="S13" s="83">
        <f>(EIA_RE_aeo2014!U34+EIA_RE_aeo2014!U54)*1000</f>
        <v>0.02</v>
      </c>
      <c r="T13" s="83">
        <f>(EIA_RE_aeo2014!V34+EIA_RE_aeo2014!V54)*1000</f>
        <v>0.02</v>
      </c>
      <c r="U13" s="83">
        <f>(EIA_RE_aeo2014!W34+EIA_RE_aeo2014!W54)*1000</f>
        <v>0.02</v>
      </c>
      <c r="V13" s="83">
        <f>(EIA_RE_aeo2014!X34+EIA_RE_aeo2014!X54)*1000</f>
        <v>0.02</v>
      </c>
      <c r="W13" s="83">
        <f>(EIA_RE_aeo2014!Y34+EIA_RE_aeo2014!Y54)*1000</f>
        <v>0.02</v>
      </c>
      <c r="X13" s="184">
        <f>(EIA_RE_aeo2014!Z34+EIA_RE_aeo2014!Z54)*1000</f>
        <v>0.02</v>
      </c>
      <c r="Y13" s="174">
        <f>(EIA_RE_aeo2014!AA34+EIA_RE_aeo2014!AA54)*1000</f>
        <v>0.02</v>
      </c>
      <c r="Z13" s="174">
        <f>(EIA_RE_aeo2014!AB34+EIA_RE_aeo2014!AB54)*1000</f>
        <v>0.02</v>
      </c>
      <c r="AA13" s="174">
        <f>(EIA_RE_aeo2014!AC34+EIA_RE_aeo2014!AC54)*1000</f>
        <v>0.02</v>
      </c>
      <c r="AB13" s="174">
        <f>(EIA_RE_aeo2014!AD34+EIA_RE_aeo2014!AD54)*1000</f>
        <v>0.02</v>
      </c>
      <c r="AC13" s="174">
        <f>(EIA_RE_aeo2014!AE34+EIA_RE_aeo2014!AE54)*1000</f>
        <v>0.02</v>
      </c>
      <c r="AD13" s="174">
        <f>(EIA_RE_aeo2014!AF34+EIA_RE_aeo2014!AF54)*1000</f>
        <v>0.02</v>
      </c>
      <c r="AE13" s="174">
        <f>(EIA_RE_aeo2014!AG34+EIA_RE_aeo2014!AG54)*1000</f>
        <v>0.02</v>
      </c>
      <c r="AF13" s="174">
        <f>(EIA_RE_aeo2014!AH34+EIA_RE_aeo2014!AH54)*1000</f>
        <v>0.02</v>
      </c>
      <c r="AG13" s="174">
        <f>(EIA_RE_aeo2014!AI34+EIA_RE_aeo2014!AI54)*1000</f>
        <v>0.02</v>
      </c>
      <c r="AH13" s="174">
        <f>(EIA_RE_aeo2014!AJ34+EIA_RE_aeo2014!AJ54)*1000</f>
        <v>0.02</v>
      </c>
    </row>
    <row r="14" spans="1:34">
      <c r="A14" s="9" t="s">
        <v>348</v>
      </c>
      <c r="B14" s="34">
        <v>1</v>
      </c>
      <c r="C14" s="330">
        <f>EIA_RE_aeo2014!E33*1000</f>
        <v>0</v>
      </c>
      <c r="D14" s="330">
        <f>EIA_RE_aeo2014!F33*1000</f>
        <v>0</v>
      </c>
      <c r="E14" s="330">
        <f>EIA_RE_aeo2014!G33*1000</f>
        <v>0.01</v>
      </c>
      <c r="F14" s="330">
        <f>EIA_RE_aeo2014!H33*1000</f>
        <v>0.01</v>
      </c>
      <c r="G14" s="330">
        <f>EIA_RE_aeo2014!I33*1000</f>
        <v>0.01</v>
      </c>
      <c r="H14" s="83">
        <f>EIA_RE_aeo2014!J33*1000</f>
        <v>0.01</v>
      </c>
      <c r="I14" s="83">
        <f>EIA_RE_aeo2014!K33*1000</f>
        <v>0.01</v>
      </c>
      <c r="J14" s="83">
        <f>EIA_RE_aeo2014!L33*1000</f>
        <v>0.01</v>
      </c>
      <c r="K14" s="83">
        <f>EIA_RE_aeo2014!M33*1000</f>
        <v>0.01</v>
      </c>
      <c r="L14" s="83">
        <f>EIA_RE_aeo2014!N33*1000</f>
        <v>0.01</v>
      </c>
      <c r="M14" s="83">
        <f>EIA_RE_aeo2014!O33*1000</f>
        <v>0.01</v>
      </c>
      <c r="N14" s="388">
        <f>EIA_RE_aeo2014!P33*1000</f>
        <v>0.01</v>
      </c>
      <c r="O14" s="83">
        <f>EIA_RE_aeo2014!Q33*1000</f>
        <v>0.01</v>
      </c>
      <c r="P14" s="83">
        <f>EIA_RE_aeo2014!R33*1000</f>
        <v>0.01</v>
      </c>
      <c r="Q14" s="83">
        <f>EIA_RE_aeo2014!S33*1000</f>
        <v>0.01</v>
      </c>
      <c r="R14" s="83">
        <f>EIA_RE_aeo2014!T33*1000</f>
        <v>0.01</v>
      </c>
      <c r="S14" s="83">
        <f>EIA_RE_aeo2014!U33*1000</f>
        <v>0.01</v>
      </c>
      <c r="T14" s="83">
        <f>EIA_RE_aeo2014!V33*1000</f>
        <v>0.01</v>
      </c>
      <c r="U14" s="83">
        <f>EIA_RE_aeo2014!W33*1000</f>
        <v>0.01</v>
      </c>
      <c r="V14" s="83">
        <f>EIA_RE_aeo2014!X33*1000</f>
        <v>0.01</v>
      </c>
      <c r="W14" s="83">
        <f>EIA_RE_aeo2014!Y33*1000</f>
        <v>0.01</v>
      </c>
      <c r="X14" s="184">
        <f>EIA_RE_aeo2014!Z33*1000</f>
        <v>0.01</v>
      </c>
      <c r="Y14" s="174">
        <f>EIA_RE_aeo2014!AA33*1000</f>
        <v>0.01</v>
      </c>
      <c r="Z14" s="174">
        <f>EIA_RE_aeo2014!AB33*1000</f>
        <v>0.01</v>
      </c>
      <c r="AA14" s="174">
        <f>EIA_RE_aeo2014!AC33*1000</f>
        <v>0.01</v>
      </c>
      <c r="AB14" s="174">
        <f>EIA_RE_aeo2014!AD33*1000</f>
        <v>0.01</v>
      </c>
      <c r="AC14" s="174">
        <f>EIA_RE_aeo2014!AE33*1000</f>
        <v>0.01</v>
      </c>
      <c r="AD14" s="174">
        <f>EIA_RE_aeo2014!AF33*1000</f>
        <v>0.01</v>
      </c>
      <c r="AE14" s="174">
        <f>EIA_RE_aeo2014!AG33*1000</f>
        <v>0.01</v>
      </c>
      <c r="AF14" s="174">
        <f>EIA_RE_aeo2014!AH33*1000</f>
        <v>0.01</v>
      </c>
      <c r="AG14" s="174">
        <f>EIA_RE_aeo2014!AI33*1000</f>
        <v>0.01</v>
      </c>
      <c r="AH14" s="174">
        <f>EIA_RE_aeo2014!AJ33*1000</f>
        <v>0.01</v>
      </c>
    </row>
    <row r="15" spans="1:34" s="514" customFormat="1">
      <c r="A15" s="511" t="s">
        <v>717</v>
      </c>
      <c r="B15" s="512">
        <v>1</v>
      </c>
      <c r="C15" s="513">
        <v>0.01</v>
      </c>
      <c r="D15" s="513">
        <v>0.01</v>
      </c>
      <c r="E15" s="513">
        <v>0.01</v>
      </c>
      <c r="F15" s="513">
        <v>0.01</v>
      </c>
      <c r="G15" s="513">
        <v>0.01</v>
      </c>
      <c r="H15" s="513">
        <v>0.01</v>
      </c>
      <c r="I15" s="513">
        <v>0.01</v>
      </c>
      <c r="J15" s="513">
        <v>0.01</v>
      </c>
      <c r="K15" s="513">
        <v>0.01</v>
      </c>
      <c r="L15" s="513">
        <v>0.01</v>
      </c>
      <c r="M15" s="513">
        <v>0.01</v>
      </c>
      <c r="N15" s="513">
        <v>0.01</v>
      </c>
      <c r="O15" s="513">
        <v>0.01</v>
      </c>
      <c r="P15" s="513">
        <v>0.01</v>
      </c>
      <c r="Q15" s="513">
        <v>0.01</v>
      </c>
      <c r="R15" s="513">
        <v>0.01</v>
      </c>
      <c r="S15" s="513">
        <v>0.01</v>
      </c>
      <c r="T15" s="513">
        <v>0.01</v>
      </c>
      <c r="U15" s="513">
        <v>0.01</v>
      </c>
      <c r="V15" s="513">
        <v>0.01</v>
      </c>
      <c r="W15" s="513">
        <v>0.01</v>
      </c>
      <c r="X15" s="513">
        <v>0.01</v>
      </c>
      <c r="Y15" s="513">
        <v>0.01</v>
      </c>
      <c r="Z15" s="513">
        <v>0.01</v>
      </c>
      <c r="AA15" s="513">
        <v>0.01</v>
      </c>
      <c r="AB15" s="513">
        <v>0.01</v>
      </c>
      <c r="AC15" s="513">
        <v>0.01</v>
      </c>
      <c r="AD15" s="513">
        <v>0.01</v>
      </c>
      <c r="AE15" s="513">
        <v>0.01</v>
      </c>
      <c r="AF15" s="513">
        <v>0.01</v>
      </c>
      <c r="AG15" s="513">
        <v>0.01</v>
      </c>
      <c r="AH15" s="513">
        <v>0.01</v>
      </c>
    </row>
    <row r="16" spans="1:34">
      <c r="A16" s="9" t="s">
        <v>53</v>
      </c>
      <c r="B16" s="34">
        <v>1</v>
      </c>
      <c r="C16" s="330">
        <f>EIA_RE_aeo2014!E78*1000</f>
        <v>160</v>
      </c>
      <c r="D16" s="330">
        <f>EIA_RE_aeo2014!F78*1000</f>
        <v>448</v>
      </c>
      <c r="E16" s="330">
        <f>EIA_RE_aeo2014!G78*1000</f>
        <v>600.05782500000009</v>
      </c>
      <c r="F16" s="330">
        <f>EIA_RE_aeo2014!H78*1000</f>
        <v>684.90775000000008</v>
      </c>
      <c r="G16" s="330">
        <f>EIA_RE_aeo2014!I78*1000</f>
        <v>805.93487500000003</v>
      </c>
      <c r="H16" s="3">
        <f>EIA_RE_aeo2014!J78*1000</f>
        <v>808.43412499999999</v>
      </c>
      <c r="I16" s="3">
        <f>EIA_RE_aeo2014!K78*1000</f>
        <v>864.97925000000009</v>
      </c>
      <c r="J16" s="3">
        <f>EIA_RE_aeo2014!L78*1000</f>
        <v>897.36090000000002</v>
      </c>
      <c r="K16" s="3">
        <f>EIA_RE_aeo2014!M78*1000</f>
        <v>897.41274999999996</v>
      </c>
      <c r="L16" s="3">
        <f>EIA_RE_aeo2014!N78*1000</f>
        <v>897.39075000000003</v>
      </c>
      <c r="M16" s="3">
        <f>EIA_RE_aeo2014!O78*1000</f>
        <v>897.33872499999995</v>
      </c>
      <c r="N16" s="388">
        <f>EIA_RE_aeo2014!P78*1000</f>
        <v>897.32479999999998</v>
      </c>
      <c r="O16" s="3">
        <f>EIA_RE_aeo2014!Q78*1000</f>
        <v>897.31889999999999</v>
      </c>
      <c r="P16" s="3">
        <f>EIA_RE_aeo2014!R78*1000</f>
        <v>897.61127500000009</v>
      </c>
      <c r="Q16" s="3">
        <f>EIA_RE_aeo2014!S78*1000</f>
        <v>897.41442500000005</v>
      </c>
      <c r="R16" s="3">
        <f>EIA_RE_aeo2014!T78*1000</f>
        <v>897.39902500000005</v>
      </c>
      <c r="S16" s="3">
        <f>EIA_RE_aeo2014!U78*1000</f>
        <v>898.26602500000013</v>
      </c>
      <c r="T16" s="3">
        <f>EIA_RE_aeo2014!V78*1000</f>
        <v>899.62075000000004</v>
      </c>
      <c r="U16" s="3">
        <f>EIA_RE_aeo2014!W78*1000</f>
        <v>900.91120000000001</v>
      </c>
      <c r="V16" s="3">
        <f>EIA_RE_aeo2014!X78*1000</f>
        <v>901.50895000000014</v>
      </c>
      <c r="W16" s="3">
        <f>EIA_RE_aeo2014!Y78*1000</f>
        <v>901.74455</v>
      </c>
      <c r="X16" s="184">
        <f>EIA_RE_aeo2014!Z78*1000</f>
        <v>902.82260000000008</v>
      </c>
      <c r="Y16" s="174">
        <f>EIA_RE_aeo2014!AA78*1000</f>
        <v>904.13110000000006</v>
      </c>
      <c r="Z16" s="174">
        <f>EIA_RE_aeo2014!AB78*1000</f>
        <v>905.42399999999998</v>
      </c>
      <c r="AA16" s="174">
        <f>EIA_RE_aeo2014!AC78*1000</f>
        <v>906.7969250000001</v>
      </c>
      <c r="AB16" s="174">
        <f>EIA_RE_aeo2014!AD78*1000</f>
        <v>912.544625</v>
      </c>
      <c r="AC16" s="174">
        <f>EIA_RE_aeo2014!AE78*1000</f>
        <v>916.52880000000005</v>
      </c>
      <c r="AD16" s="174">
        <f>EIA_RE_aeo2014!AF78*1000</f>
        <v>992.02130000000011</v>
      </c>
      <c r="AE16" s="174">
        <f>EIA_RE_aeo2014!AG78*1000</f>
        <v>1078.9673499999999</v>
      </c>
      <c r="AF16" s="174">
        <f>EIA_RE_aeo2014!AH78*1000</f>
        <v>1102.7920500000002</v>
      </c>
      <c r="AG16" s="174">
        <f>EIA_RE_aeo2014!AI78*1000</f>
        <v>1111.2726250000001</v>
      </c>
      <c r="AH16" s="174">
        <f>EIA_RE_aeo2014!AJ78*1000</f>
        <v>1126.139275</v>
      </c>
    </row>
    <row r="17" spans="1:34">
      <c r="A17" s="11" t="s">
        <v>327</v>
      </c>
      <c r="B17" s="36"/>
      <c r="C17" s="330">
        <f t="shared" ref="C17:AH17" si="0">SUM(C7:C16)</f>
        <v>1322</v>
      </c>
      <c r="D17" s="330">
        <f t="shared" si="0"/>
        <v>1477</v>
      </c>
      <c r="E17" s="330">
        <f t="shared" si="0"/>
        <v>1758.4896328276341</v>
      </c>
      <c r="F17" s="330">
        <f t="shared" si="0"/>
        <v>1813.5823626364609</v>
      </c>
      <c r="G17" s="330">
        <f t="shared" si="0"/>
        <v>1857.1864960482153</v>
      </c>
      <c r="H17" s="3">
        <f t="shared" si="0"/>
        <v>1892.5762695719552</v>
      </c>
      <c r="I17" s="3">
        <f t="shared" si="0"/>
        <v>1969.2504906178642</v>
      </c>
      <c r="J17" s="3">
        <f t="shared" si="0"/>
        <v>2107.3244180386282</v>
      </c>
      <c r="K17" s="3">
        <f t="shared" si="0"/>
        <v>2274.1322236909564</v>
      </c>
      <c r="L17" s="3">
        <f t="shared" si="0"/>
        <v>2351.023198697495</v>
      </c>
      <c r="M17" s="3">
        <f t="shared" si="0"/>
        <v>2395.9901782731672</v>
      </c>
      <c r="N17" s="388">
        <f t="shared" si="0"/>
        <v>2406.6332490111467</v>
      </c>
      <c r="O17" s="3">
        <f t="shared" si="0"/>
        <v>2452.7285989330649</v>
      </c>
      <c r="P17" s="3">
        <f t="shared" si="0"/>
        <v>2530.1707468361451</v>
      </c>
      <c r="Q17" s="3">
        <f t="shared" si="0"/>
        <v>2644.3814513524735</v>
      </c>
      <c r="R17" s="3">
        <f t="shared" si="0"/>
        <v>2765.6627149300166</v>
      </c>
      <c r="S17" s="3">
        <f t="shared" si="0"/>
        <v>2841.2740211193277</v>
      </c>
      <c r="T17" s="3">
        <f t="shared" si="0"/>
        <v>2968.701253300947</v>
      </c>
      <c r="U17" s="3">
        <f t="shared" si="0"/>
        <v>3075.6303436212456</v>
      </c>
      <c r="V17" s="3">
        <f t="shared" si="0"/>
        <v>3134.7188459421586</v>
      </c>
      <c r="W17" s="3">
        <f t="shared" si="0"/>
        <v>3141.5894130771644</v>
      </c>
      <c r="X17" s="184">
        <f t="shared" si="0"/>
        <v>3197.5417102784741</v>
      </c>
      <c r="Y17" s="174">
        <f t="shared" si="0"/>
        <v>3347.1360065454592</v>
      </c>
      <c r="Z17" s="174">
        <f t="shared" si="0"/>
        <v>3560.2415733001608</v>
      </c>
      <c r="AA17" s="174">
        <f t="shared" si="0"/>
        <v>3763.7052701657935</v>
      </c>
      <c r="AB17" s="174">
        <f t="shared" si="0"/>
        <v>3961.9762471504951</v>
      </c>
      <c r="AC17" s="174">
        <f t="shared" si="0"/>
        <v>4009.8216547860488</v>
      </c>
      <c r="AD17" s="174">
        <f t="shared" si="0"/>
        <v>4140.7506179627335</v>
      </c>
      <c r="AE17" s="174">
        <f t="shared" si="0"/>
        <v>4252.3244128649567</v>
      </c>
      <c r="AF17" s="174">
        <f t="shared" si="0"/>
        <v>4330.8838546558491</v>
      </c>
      <c r="AG17" s="174">
        <f t="shared" si="0"/>
        <v>4404.1734662869485</v>
      </c>
      <c r="AH17" s="174">
        <f t="shared" si="0"/>
        <v>4428.2831933326961</v>
      </c>
    </row>
    <row r="18" spans="1:34">
      <c r="A18" s="10" t="s">
        <v>126</v>
      </c>
      <c r="B18" s="37"/>
      <c r="C18" s="331">
        <f t="shared" ref="C18:AH18" si="1">SUMPRODUCT($B7:$B16,C7:C16)</f>
        <v>487.01</v>
      </c>
      <c r="D18" s="331">
        <f t="shared" si="1"/>
        <v>781.01</v>
      </c>
      <c r="E18" s="331">
        <f t="shared" si="1"/>
        <v>916.28575242735076</v>
      </c>
      <c r="F18" s="331">
        <f t="shared" si="1"/>
        <v>1021.9289232274441</v>
      </c>
      <c r="G18" s="331">
        <f t="shared" si="1"/>
        <v>1206.1264206757596</v>
      </c>
      <c r="H18" s="14">
        <f t="shared" si="1"/>
        <v>1227.6680750195237</v>
      </c>
      <c r="I18" s="14">
        <f t="shared" si="1"/>
        <v>1293.3880834665229</v>
      </c>
      <c r="J18" s="14">
        <f t="shared" si="1"/>
        <v>1419.5264523134258</v>
      </c>
      <c r="K18" s="14">
        <f t="shared" si="1"/>
        <v>1577.9423509683036</v>
      </c>
      <c r="L18" s="14">
        <f t="shared" si="1"/>
        <v>1657.8182383890953</v>
      </c>
      <c r="M18" s="14">
        <f t="shared" si="1"/>
        <v>1702.7849895286524</v>
      </c>
      <c r="N18" s="190">
        <f t="shared" si="1"/>
        <v>1713.4282887027471</v>
      </c>
      <c r="O18" s="14">
        <f t="shared" si="1"/>
        <v>1755.938645303165</v>
      </c>
      <c r="P18" s="14">
        <f t="shared" si="1"/>
        <v>1833.3810216423601</v>
      </c>
      <c r="Q18" s="14">
        <f t="shared" si="1"/>
        <v>1947.5918040346369</v>
      </c>
      <c r="R18" s="14">
        <f t="shared" si="1"/>
        <v>2068.87306761218</v>
      </c>
      <c r="S18" s="14">
        <f t="shared" si="1"/>
        <v>2144.4843738014911</v>
      </c>
      <c r="T18" s="14">
        <f t="shared" si="1"/>
        <v>2271.9116890507885</v>
      </c>
      <c r="U18" s="14">
        <f t="shared" si="1"/>
        <v>2378.8407793710867</v>
      </c>
      <c r="V18" s="14">
        <f t="shared" si="1"/>
        <v>2437.9292816920006</v>
      </c>
      <c r="W18" s="14">
        <f t="shared" si="1"/>
        <v>2440.5909964753764</v>
      </c>
      <c r="X18" s="187">
        <f t="shared" si="1"/>
        <v>2496.5432936766861</v>
      </c>
      <c r="Y18" s="14">
        <f t="shared" si="1"/>
        <v>2645.2244269573248</v>
      </c>
      <c r="Z18" s="14">
        <f t="shared" si="1"/>
        <v>2858.3299885202964</v>
      </c>
      <c r="AA18" s="14">
        <f t="shared" si="1"/>
        <v>3061.7936853859296</v>
      </c>
      <c r="AB18" s="14">
        <f t="shared" si="1"/>
        <v>3260.0646623706311</v>
      </c>
      <c r="AC18" s="14">
        <f t="shared" si="1"/>
        <v>3306.5664295445367</v>
      </c>
      <c r="AD18" s="14">
        <f t="shared" si="1"/>
        <v>3437.4951590933761</v>
      </c>
      <c r="AE18" s="14">
        <f t="shared" si="1"/>
        <v>3549.0691149392251</v>
      </c>
      <c r="AF18" s="14">
        <f t="shared" si="1"/>
        <v>3627.6287955496928</v>
      </c>
      <c r="AG18" s="14">
        <f t="shared" si="1"/>
        <v>3697.6729478021653</v>
      </c>
      <c r="AH18" s="14">
        <f t="shared" si="1"/>
        <v>3721.7827475321319</v>
      </c>
    </row>
    <row r="19" spans="1:34">
      <c r="A19" s="10" t="s">
        <v>112</v>
      </c>
      <c r="B19" s="37"/>
      <c r="C19" s="332">
        <f t="shared" ref="C19:AH19" si="2">C18/C4</f>
        <v>1.119177295185568E-2</v>
      </c>
      <c r="D19" s="332">
        <f t="shared" si="2"/>
        <v>1.8502084715246853E-2</v>
      </c>
      <c r="E19" s="332">
        <f t="shared" si="2"/>
        <v>2.1074443551942011E-2</v>
      </c>
      <c r="F19" s="332">
        <f t="shared" si="2"/>
        <v>2.273193707932061E-2</v>
      </c>
      <c r="G19" s="332">
        <f t="shared" si="2"/>
        <v>2.7248736214610016E-2</v>
      </c>
      <c r="H19" s="23">
        <f t="shared" si="2"/>
        <v>2.7068489919484635E-2</v>
      </c>
      <c r="I19" s="23">
        <f t="shared" si="2"/>
        <v>2.8843285099448022E-2</v>
      </c>
      <c r="J19" s="23">
        <f t="shared" si="2"/>
        <v>3.1355238144754348E-2</v>
      </c>
      <c r="K19" s="23">
        <f t="shared" si="2"/>
        <v>3.3944178617769258E-2</v>
      </c>
      <c r="L19" s="23">
        <f t="shared" si="2"/>
        <v>3.4902403384146422E-2</v>
      </c>
      <c r="M19" s="23">
        <f t="shared" si="2"/>
        <v>3.5650790195339933E-2</v>
      </c>
      <c r="N19" s="183">
        <f t="shared" si="2"/>
        <v>3.5599734974710494E-2</v>
      </c>
      <c r="O19" s="23">
        <f t="shared" si="2"/>
        <v>3.6383180717906069E-2</v>
      </c>
      <c r="P19" s="23">
        <f t="shared" si="2"/>
        <v>3.7429865538648507E-2</v>
      </c>
      <c r="Q19" s="23">
        <f t="shared" si="2"/>
        <v>3.9070893660173155E-2</v>
      </c>
      <c r="R19" s="23">
        <f t="shared" si="2"/>
        <v>4.1165690197596083E-2</v>
      </c>
      <c r="S19" s="23">
        <f t="shared" si="2"/>
        <v>4.2106683227160713E-2</v>
      </c>
      <c r="T19" s="23">
        <f t="shared" si="2"/>
        <v>4.3913179548576771E-2</v>
      </c>
      <c r="U19" s="23">
        <f t="shared" si="2"/>
        <v>4.5524540074490125E-2</v>
      </c>
      <c r="V19" s="23">
        <f t="shared" si="2"/>
        <v>4.6360223948227253E-2</v>
      </c>
      <c r="W19" s="23">
        <f t="shared" si="2"/>
        <v>4.5818289097572275E-2</v>
      </c>
      <c r="X19" s="185">
        <f t="shared" si="2"/>
        <v>4.6310258917629951E-2</v>
      </c>
      <c r="Y19" s="172">
        <f t="shared" si="2"/>
        <v>4.8980388418854021E-2</v>
      </c>
      <c r="Z19" s="172">
        <f t="shared" si="2"/>
        <v>5.2265282963145997E-2</v>
      </c>
      <c r="AA19" s="172">
        <f t="shared" si="2"/>
        <v>5.5536472635765992E-2</v>
      </c>
      <c r="AB19" s="172">
        <f t="shared" si="2"/>
        <v>5.8810921477033956E-2</v>
      </c>
      <c r="AC19" s="172">
        <f t="shared" si="2"/>
        <v>5.9429889511318189E-2</v>
      </c>
      <c r="AD19" s="172">
        <f t="shared" si="2"/>
        <v>6.177526781632104E-2</v>
      </c>
      <c r="AE19" s="172">
        <f t="shared" si="2"/>
        <v>6.3651533096920052E-2</v>
      </c>
      <c r="AF19" s="172">
        <f t="shared" si="2"/>
        <v>6.4719195501980104E-2</v>
      </c>
      <c r="AG19" s="172">
        <f t="shared" si="2"/>
        <v>6.5220076788028117E-2</v>
      </c>
      <c r="AH19" s="172">
        <f t="shared" si="2"/>
        <v>6.5046533221463879E-2</v>
      </c>
    </row>
    <row r="20" spans="1:34">
      <c r="A20" s="10" t="s">
        <v>142</v>
      </c>
      <c r="B20" s="37"/>
      <c r="C20" s="331">
        <f>EIA_electricity_aeo2014!E49*1000</f>
        <v>35526</v>
      </c>
      <c r="D20" s="331">
        <f>EIA_electricity_aeo2014!F49*1000</f>
        <v>34057</v>
      </c>
      <c r="E20" s="331">
        <f>EIA_electricity_aeo2014!G49*1000</f>
        <v>35010.535939999994</v>
      </c>
      <c r="F20" s="331">
        <f>EIA_electricity_aeo2014!H49*1000</f>
        <v>35107.859360000002</v>
      </c>
      <c r="G20" s="331">
        <f>EIA_electricity_aeo2014!I49*1000</f>
        <v>32521.259170000001</v>
      </c>
      <c r="H20" s="14">
        <f>EIA_electricity_aeo2014!J49*1000</f>
        <v>33772.016699999993</v>
      </c>
      <c r="I20" s="14">
        <f>EIA_electricity_aeo2014!K49*1000</f>
        <v>36578.994850000003</v>
      </c>
      <c r="J20" s="14">
        <f>EIA_electricity_aeo2014!L49*1000</f>
        <v>36367.007169999997</v>
      </c>
      <c r="K20" s="14">
        <f>EIA_electricity_aeo2014!M49*1000</f>
        <v>37456.017199999995</v>
      </c>
      <c r="L20" s="14">
        <f>EIA_electricity_aeo2014!N49*1000</f>
        <v>37696.241019999994</v>
      </c>
      <c r="M20" s="14">
        <f>EIA_electricity_aeo2014!O49*1000</f>
        <v>37623.448989999997</v>
      </c>
      <c r="N20" s="190">
        <f>EIA_electricity_aeo2014!P49*1000</f>
        <v>37649.743580000002</v>
      </c>
      <c r="O20" s="14">
        <f>EIA_electricity_aeo2014!Q49*1000</f>
        <v>36540.319579999996</v>
      </c>
      <c r="P20" s="14">
        <f>EIA_electricity_aeo2014!R49*1000</f>
        <v>36068.528729999998</v>
      </c>
      <c r="Q20" s="14">
        <f>EIA_electricity_aeo2014!S49*1000</f>
        <v>36081.969649999999</v>
      </c>
      <c r="R20" s="14">
        <f>EIA_electricity_aeo2014!T49*1000</f>
        <v>36079.3292</v>
      </c>
      <c r="S20" s="14">
        <f>EIA_electricity_aeo2014!U49*1000</f>
        <v>36093.580089999996</v>
      </c>
      <c r="T20" s="14">
        <f>EIA_electricity_aeo2014!V49*1000</f>
        <v>35973.73526999999</v>
      </c>
      <c r="U20" s="14">
        <f>EIA_electricity_aeo2014!W49*1000</f>
        <v>35919.038370000002</v>
      </c>
      <c r="V20" s="14">
        <f>EIA_electricity_aeo2014!X49*1000</f>
        <v>35866.495299999995</v>
      </c>
      <c r="W20" s="14">
        <f>EIA_electricity_aeo2014!Y49*1000</f>
        <v>35831.007709999998</v>
      </c>
      <c r="X20" s="187">
        <f>EIA_electricity_aeo2014!Z49*1000</f>
        <v>35789.240749999997</v>
      </c>
      <c r="Y20" s="14">
        <f>EIA_electricity_aeo2014!AA49*1000</f>
        <v>35745.17699</v>
      </c>
      <c r="Z20" s="14">
        <f>EIA_electricity_aeo2014!AB49*1000</f>
        <v>35613.217709999997</v>
      </c>
      <c r="AA20" s="14">
        <f>EIA_electricity_aeo2014!AC49*1000</f>
        <v>35570.227529999996</v>
      </c>
      <c r="AB20" s="14">
        <f>EIA_electricity_aeo2014!AD49*1000</f>
        <v>35529.996989999992</v>
      </c>
      <c r="AC20" s="14">
        <f>EIA_electricity_aeo2014!AE49*1000</f>
        <v>35499.232049999999</v>
      </c>
      <c r="AD20" s="14">
        <f>EIA_electricity_aeo2014!AF49*1000</f>
        <v>35478.17196</v>
      </c>
      <c r="AE20" s="14">
        <f>EIA_electricity_aeo2014!AG49*1000</f>
        <v>35431.120329999998</v>
      </c>
      <c r="AF20" s="14">
        <f>EIA_electricity_aeo2014!AH49*1000</f>
        <v>35389.501559999997</v>
      </c>
      <c r="AG20" s="14">
        <f>EIA_electricity_aeo2014!AI49*1000</f>
        <v>35352.612109999995</v>
      </c>
      <c r="AH20" s="14">
        <f>EIA_electricity_aeo2014!AJ49*1000</f>
        <v>35310.775549999998</v>
      </c>
    </row>
    <row r="21" spans="1:34">
      <c r="A21" s="10" t="s">
        <v>222</v>
      </c>
      <c r="B21" s="37"/>
      <c r="C21" s="331">
        <f>EIA_electricity_aeo2014!E51*1000</f>
        <v>6444</v>
      </c>
      <c r="D21" s="331">
        <f>EIA_electricity_aeo2014!F51*1000</f>
        <v>6455</v>
      </c>
      <c r="E21" s="331">
        <f>EIA_electricity_aeo2014!G51*1000</f>
        <v>6623.4297999999999</v>
      </c>
      <c r="F21" s="331">
        <f>EIA_electricity_aeo2014!H51*1000</f>
        <v>7933.0590000000002</v>
      </c>
      <c r="G21" s="331">
        <f>EIA_electricity_aeo2014!I51*1000</f>
        <v>9815.2924000000003</v>
      </c>
      <c r="H21" s="14">
        <f>EIA_electricity_aeo2014!J51*1000</f>
        <v>9618.4242000000013</v>
      </c>
      <c r="I21" s="14">
        <f>EIA_electricity_aeo2014!K51*1000</f>
        <v>6219.8653999999997</v>
      </c>
      <c r="J21" s="14">
        <f>EIA_electricity_aeo2014!L51*1000</f>
        <v>6724.2328000000007</v>
      </c>
      <c r="K21" s="14">
        <f>EIA_electricity_aeo2014!M51*1000</f>
        <v>6681.2274000000007</v>
      </c>
      <c r="L21" s="14">
        <f>EIA_electricity_aeo2014!N51*1000</f>
        <v>7375.8985999999995</v>
      </c>
      <c r="M21" s="14">
        <f>EIA_electricity_aeo2014!O51*1000</f>
        <v>7668.0304000000015</v>
      </c>
      <c r="N21" s="190">
        <f>EIA_electricity_aeo2014!P51*1000</f>
        <v>7998.5046000000002</v>
      </c>
      <c r="O21" s="14">
        <f>EIA_electricity_aeo2014!Q51*1000</f>
        <v>9194.618199999999</v>
      </c>
      <c r="P21" s="14">
        <f>EIA_electricity_aeo2014!R51*1000</f>
        <v>10308.744000000001</v>
      </c>
      <c r="Q21" s="14">
        <f>EIA_electricity_aeo2014!S51*1000</f>
        <v>11046.9444</v>
      </c>
      <c r="R21" s="14">
        <f>EIA_electricity_aeo2014!T51*1000</f>
        <v>11337.833600000002</v>
      </c>
      <c r="S21" s="14">
        <f>EIA_electricity_aeo2014!U51*1000</f>
        <v>11920.4722</v>
      </c>
      <c r="T21" s="14">
        <f>EIA_electricity_aeo2014!V51*1000</f>
        <v>12719.588600000001</v>
      </c>
      <c r="U21" s="14">
        <f>EIA_electricity_aeo2014!W51*1000</f>
        <v>13185.017400000001</v>
      </c>
      <c r="V21" s="14">
        <f>EIA_electricity_aeo2014!X51*1000</f>
        <v>13511.146000000001</v>
      </c>
      <c r="W21" s="14">
        <f>EIA_electricity_aeo2014!Y51*1000</f>
        <v>14219.8714</v>
      </c>
      <c r="X21" s="187">
        <f>EIA_electricity_aeo2014!Z51*1000</f>
        <v>14848.0484</v>
      </c>
      <c r="Y21" s="14">
        <f>EIA_electricity_aeo2014!AA51*1000</f>
        <v>14839.2338</v>
      </c>
      <c r="Z21" s="14">
        <f>EIA_electricity_aeo2014!AB51*1000</f>
        <v>15441.207600000002</v>
      </c>
      <c r="AA21" s="14">
        <f>EIA_electricity_aeo2014!AC51*1000</f>
        <v>15723.105600000001</v>
      </c>
      <c r="AB21" s="14">
        <f>EIA_electricity_aeo2014!AD51*1000</f>
        <v>15866.850600000002</v>
      </c>
      <c r="AC21" s="14">
        <f>EIA_electricity_aeo2014!AE51*1000</f>
        <v>16054.912200000001</v>
      </c>
      <c r="AD21" s="14">
        <f>EIA_electricity_aeo2014!AF51*1000</f>
        <v>15952.078</v>
      </c>
      <c r="AE21" s="14">
        <f>EIA_electricity_aeo2014!AG51*1000</f>
        <v>16000.219400000002</v>
      </c>
      <c r="AF21" s="14">
        <f>EIA_electricity_aeo2014!AH51*1000</f>
        <v>16257.326800000001</v>
      </c>
      <c r="AG21" s="14">
        <f>EIA_electricity_aeo2014!AI51*1000</f>
        <v>16864.441600000002</v>
      </c>
      <c r="AH21" s="14">
        <f>EIA_electricity_aeo2014!AJ51*1000</f>
        <v>17404.113000000001</v>
      </c>
    </row>
    <row r="22" spans="1:34">
      <c r="A22" s="10" t="s">
        <v>351</v>
      </c>
      <c r="B22" s="37"/>
      <c r="C22" s="330">
        <f>SUM(C17,C20:C21)</f>
        <v>43292</v>
      </c>
      <c r="D22" s="330">
        <f t="shared" ref="D22:AH22" si="3">SUM(D17,D20:D21)</f>
        <v>41989</v>
      </c>
      <c r="E22" s="330">
        <f t="shared" si="3"/>
        <v>43392.45537282763</v>
      </c>
      <c r="F22" s="330">
        <f t="shared" si="3"/>
        <v>44854.500722636461</v>
      </c>
      <c r="G22" s="330">
        <f t="shared" si="3"/>
        <v>44193.738066048216</v>
      </c>
      <c r="H22" s="79">
        <f t="shared" si="3"/>
        <v>45283.017169571947</v>
      </c>
      <c r="I22" s="79">
        <f t="shared" si="3"/>
        <v>44768.110740617871</v>
      </c>
      <c r="J22" s="79">
        <f t="shared" si="3"/>
        <v>45198.56438803862</v>
      </c>
      <c r="K22" s="79">
        <f t="shared" si="3"/>
        <v>46411.376823690953</v>
      </c>
      <c r="L22" s="79">
        <f t="shared" si="3"/>
        <v>47423.162818697492</v>
      </c>
      <c r="M22" s="79">
        <f t="shared" si="3"/>
        <v>47687.469568273169</v>
      </c>
      <c r="N22" s="388">
        <f t="shared" si="3"/>
        <v>48054.881429011148</v>
      </c>
      <c r="O22" s="79">
        <f t="shared" si="3"/>
        <v>48187.666378933056</v>
      </c>
      <c r="P22" s="79">
        <f t="shared" si="3"/>
        <v>48907.443476836139</v>
      </c>
      <c r="Q22" s="79">
        <f t="shared" si="3"/>
        <v>49773.29550135247</v>
      </c>
      <c r="R22" s="79">
        <f t="shared" si="3"/>
        <v>50182.825514930024</v>
      </c>
      <c r="S22" s="79">
        <f t="shared" si="3"/>
        <v>50855.326311119323</v>
      </c>
      <c r="T22" s="79">
        <f t="shared" si="3"/>
        <v>51662.02512330094</v>
      </c>
      <c r="U22" s="79">
        <f t="shared" si="3"/>
        <v>52179.686113621254</v>
      </c>
      <c r="V22" s="79">
        <f t="shared" si="3"/>
        <v>52512.360145942155</v>
      </c>
      <c r="W22" s="79">
        <f t="shared" si="3"/>
        <v>53192.468523077157</v>
      </c>
      <c r="X22" s="184">
        <f t="shared" si="3"/>
        <v>53834.830860278467</v>
      </c>
      <c r="Y22" s="174">
        <f t="shared" si="3"/>
        <v>53931.546796545459</v>
      </c>
      <c r="Z22" s="174">
        <f t="shared" si="3"/>
        <v>54614.66688330016</v>
      </c>
      <c r="AA22" s="174">
        <f t="shared" si="3"/>
        <v>55057.038400165795</v>
      </c>
      <c r="AB22" s="174">
        <f t="shared" si="3"/>
        <v>55358.823837150485</v>
      </c>
      <c r="AC22" s="174">
        <f t="shared" si="3"/>
        <v>55563.965904786048</v>
      </c>
      <c r="AD22" s="174">
        <f t="shared" si="3"/>
        <v>55571.000577962732</v>
      </c>
      <c r="AE22" s="174">
        <f t="shared" si="3"/>
        <v>55683.66414286496</v>
      </c>
      <c r="AF22" s="174">
        <f t="shared" si="3"/>
        <v>55977.712214655847</v>
      </c>
      <c r="AG22" s="174">
        <f t="shared" si="3"/>
        <v>56621.22717628695</v>
      </c>
      <c r="AH22" s="174">
        <f t="shared" si="3"/>
        <v>57143.171743332699</v>
      </c>
    </row>
    <row r="23" spans="1:34">
      <c r="A23" s="10" t="s">
        <v>328</v>
      </c>
      <c r="B23" s="37"/>
      <c r="C23" s="330">
        <f>EIA_electricity_aeo2014!E50*1000+EIA_electricity_aeo2014!E55*1000</f>
        <v>223</v>
      </c>
      <c r="D23" s="330">
        <f>EIA_electricity_aeo2014!F50*1000+EIA_electricity_aeo2014!F55*1000</f>
        <v>224</v>
      </c>
      <c r="E23" s="330">
        <f>EIA_electricity_aeo2014!G50*1000+EIA_electricity_aeo2014!G55*1000</f>
        <v>86.101126293861455</v>
      </c>
      <c r="F23" s="330">
        <f>EIA_electricity_aeo2014!H50*1000+EIA_electricity_aeo2014!H55*1000</f>
        <v>101.17558509063173</v>
      </c>
      <c r="G23" s="330">
        <f>EIA_electricity_aeo2014!I50*1000+EIA_electricity_aeo2014!I55*1000</f>
        <v>69.864790188240818</v>
      </c>
      <c r="H23" s="330">
        <f>EIA_electricity_aeo2014!J50*1000+EIA_electricity_aeo2014!J55*1000</f>
        <v>71.152594826767228</v>
      </c>
      <c r="I23" s="330">
        <f>EIA_electricity_aeo2014!K50*1000+EIA_electricity_aeo2014!K55*1000</f>
        <v>73.832342690202779</v>
      </c>
      <c r="J23" s="330">
        <f>EIA_electricity_aeo2014!L50*1000+EIA_electricity_aeo2014!L55*1000</f>
        <v>73.851863982531185</v>
      </c>
      <c r="K23" s="330">
        <f>EIA_electricity_aeo2014!M50*1000+EIA_electricity_aeo2014!M55*1000</f>
        <v>75.04392792601503</v>
      </c>
      <c r="L23" s="330">
        <f>EIA_electricity_aeo2014!N50*1000+EIA_electricity_aeo2014!N55*1000</f>
        <v>75.551445037742766</v>
      </c>
      <c r="M23" s="330">
        <f>EIA_electricity_aeo2014!O50*1000+EIA_electricity_aeo2014!O55*1000</f>
        <v>75.456575084420152</v>
      </c>
      <c r="N23" s="330">
        <f>EIA_electricity_aeo2014!P50*1000+EIA_electricity_aeo2014!P55*1000</f>
        <v>75.514988602374245</v>
      </c>
      <c r="O23" s="330">
        <f>EIA_electricity_aeo2014!Q50*1000+EIA_electricity_aeo2014!Q55*1000</f>
        <v>74.73680162219695</v>
      </c>
      <c r="P23" s="330">
        <f>EIA_electricity_aeo2014!R50*1000+EIA_electricity_aeo2014!R55*1000</f>
        <v>74.355366262903658</v>
      </c>
      <c r="Q23" s="330">
        <f>EIA_electricity_aeo2014!S50*1000+EIA_electricity_aeo2014!S55*1000</f>
        <v>74.373535885903806</v>
      </c>
      <c r="R23" s="330">
        <f>EIA_electricity_aeo2014!T50*1000+EIA_electricity_aeo2014!T55*1000</f>
        <v>74.422514976693051</v>
      </c>
      <c r="S23" s="330">
        <f>EIA_electricity_aeo2014!U50*1000+EIA_electricity_aeo2014!U55*1000</f>
        <v>74.489875844017618</v>
      </c>
      <c r="T23" s="330">
        <f>EIA_electricity_aeo2014!V50*1000+EIA_electricity_aeo2014!V55*1000</f>
        <v>74.447384525188312</v>
      </c>
      <c r="U23" s="330">
        <f>EIA_electricity_aeo2014!W50*1000+EIA_electricity_aeo2014!W55*1000</f>
        <v>74.376007926315594</v>
      </c>
      <c r="V23" s="330">
        <f>EIA_electricity_aeo2014!X50*1000+EIA_electricity_aeo2014!X55*1000</f>
        <v>74.328719523133529</v>
      </c>
      <c r="W23" s="330">
        <f>EIA_electricity_aeo2014!Y50*1000+EIA_electricity_aeo2014!Y55*1000</f>
        <v>74.303743924975564</v>
      </c>
      <c r="X23" s="330">
        <f>EIA_electricity_aeo2014!Z50*1000+EIA_electricity_aeo2014!Z55*1000</f>
        <v>74.275703451814749</v>
      </c>
      <c r="Y23" s="330">
        <f>EIA_electricity_aeo2014!AA50*1000+EIA_electricity_aeo2014!AA55*1000</f>
        <v>74.270261261910733</v>
      </c>
      <c r="Z23" s="330">
        <f>EIA_electricity_aeo2014!AB50*1000+EIA_electricity_aeo2014!AB55*1000</f>
        <v>74.246950655178892</v>
      </c>
      <c r="AA23" s="330">
        <f>EIA_electricity_aeo2014!AC50*1000+EIA_electricity_aeo2014!AC55*1000</f>
        <v>74.215101668695311</v>
      </c>
      <c r="AB23" s="330">
        <f>EIA_electricity_aeo2014!AD50*1000+EIA_electricity_aeo2014!AD55*1000</f>
        <v>74.186644947677976</v>
      </c>
      <c r="AC23" s="330">
        <f>EIA_electricity_aeo2014!AE50*1000+EIA_electricity_aeo2014!AE55*1000</f>
        <v>74.169040955345494</v>
      </c>
      <c r="AD23" s="330">
        <f>EIA_electricity_aeo2014!AF50*1000+EIA_electricity_aeo2014!AF55*1000</f>
        <v>74.197473986831483</v>
      </c>
      <c r="AE23" s="330">
        <f>EIA_electricity_aeo2014!AG50*1000+EIA_electricity_aeo2014!AG55*1000</f>
        <v>74.160559977107752</v>
      </c>
      <c r="AF23" s="330">
        <f>EIA_electricity_aeo2014!AH50*1000+EIA_electricity_aeo2014!AH55*1000</f>
        <v>74.1393108250072</v>
      </c>
      <c r="AG23" s="330">
        <f>EIA_electricity_aeo2014!AI50*1000+EIA_electricity_aeo2014!AI55*1000</f>
        <v>74.120123322781964</v>
      </c>
      <c r="AH23" s="330">
        <f>EIA_electricity_aeo2014!AJ50*1000+EIA_electricity_aeo2014!AJ55*1000</f>
        <v>74.092799522673971</v>
      </c>
    </row>
    <row r="24" spans="1:34">
      <c r="A24" s="10" t="s">
        <v>345</v>
      </c>
      <c r="B24" s="37"/>
      <c r="C24" s="330">
        <f>SUM(C22:C23)</f>
        <v>43515</v>
      </c>
      <c r="D24" s="330">
        <f t="shared" ref="D24:AH24" si="4">SUM(D22:D23)</f>
        <v>42213</v>
      </c>
      <c r="E24" s="330">
        <f t="shared" si="4"/>
        <v>43478.556499121492</v>
      </c>
      <c r="F24" s="330">
        <f t="shared" si="4"/>
        <v>44955.676307727095</v>
      </c>
      <c r="G24" s="330">
        <f t="shared" si="4"/>
        <v>44263.602856236459</v>
      </c>
      <c r="H24" s="83">
        <f t="shared" si="4"/>
        <v>45354.169764398714</v>
      </c>
      <c r="I24" s="83">
        <f t="shared" si="4"/>
        <v>44841.943083308077</v>
      </c>
      <c r="J24" s="83">
        <f t="shared" si="4"/>
        <v>45272.416252021154</v>
      </c>
      <c r="K24" s="83">
        <f t="shared" si="4"/>
        <v>46486.42075161697</v>
      </c>
      <c r="L24" s="83">
        <f t="shared" si="4"/>
        <v>47498.714263735237</v>
      </c>
      <c r="M24" s="83">
        <f t="shared" si="4"/>
        <v>47762.926143357588</v>
      </c>
      <c r="N24" s="388">
        <f t="shared" si="4"/>
        <v>48130.39641761352</v>
      </c>
      <c r="O24" s="83">
        <f t="shared" si="4"/>
        <v>48262.403180555251</v>
      </c>
      <c r="P24" s="83">
        <f t="shared" si="4"/>
        <v>48981.798843099044</v>
      </c>
      <c r="Q24" s="83">
        <f t="shared" si="4"/>
        <v>49847.669037238375</v>
      </c>
      <c r="R24" s="83">
        <f t="shared" si="4"/>
        <v>50257.248029906717</v>
      </c>
      <c r="S24" s="83">
        <f t="shared" si="4"/>
        <v>50929.81618696334</v>
      </c>
      <c r="T24" s="83">
        <f t="shared" si="4"/>
        <v>51736.472507826125</v>
      </c>
      <c r="U24" s="83">
        <f t="shared" si="4"/>
        <v>52254.062121547569</v>
      </c>
      <c r="V24" s="83">
        <f t="shared" si="4"/>
        <v>52586.688865465287</v>
      </c>
      <c r="W24" s="83">
        <f t="shared" si="4"/>
        <v>53266.772267002132</v>
      </c>
      <c r="X24" s="184">
        <f t="shared" si="4"/>
        <v>53909.106563730282</v>
      </c>
      <c r="Y24" s="174">
        <f t="shared" si="4"/>
        <v>54005.81705780737</v>
      </c>
      <c r="Z24" s="174">
        <f t="shared" si="4"/>
        <v>54688.913833955339</v>
      </c>
      <c r="AA24" s="174">
        <f t="shared" si="4"/>
        <v>55131.253501834493</v>
      </c>
      <c r="AB24" s="174">
        <f t="shared" si="4"/>
        <v>55433.010482098165</v>
      </c>
      <c r="AC24" s="174">
        <f t="shared" si="4"/>
        <v>55638.134945741396</v>
      </c>
      <c r="AD24" s="174">
        <f t="shared" si="4"/>
        <v>55645.198051949563</v>
      </c>
      <c r="AE24" s="174">
        <f t="shared" si="4"/>
        <v>55757.824702842066</v>
      </c>
      <c r="AF24" s="174">
        <f t="shared" si="4"/>
        <v>56051.851525480852</v>
      </c>
      <c r="AG24" s="174">
        <f t="shared" si="4"/>
        <v>56695.347299609733</v>
      </c>
      <c r="AH24" s="174">
        <f t="shared" si="4"/>
        <v>57217.264542855373</v>
      </c>
    </row>
    <row r="25" spans="1:34">
      <c r="A25" s="10" t="s">
        <v>346</v>
      </c>
      <c r="B25" s="37"/>
      <c r="C25" s="332">
        <f t="shared" ref="C25:AH25" si="5">C24/C4-1</f>
        <v>0</v>
      </c>
      <c r="D25" s="332">
        <f t="shared" si="5"/>
        <v>2.3689945987115379E-5</v>
      </c>
      <c r="E25" s="332">
        <f t="shared" si="5"/>
        <v>6.8999578450856802E-7</v>
      </c>
      <c r="F25" s="332">
        <f t="shared" si="5"/>
        <v>6.673244068444717E-7</v>
      </c>
      <c r="G25" s="332">
        <f t="shared" si="5"/>
        <v>6.7775821199766995E-7</v>
      </c>
      <c r="H25" s="82">
        <f t="shared" si="5"/>
        <v>6.6146111832310339E-7</v>
      </c>
      <c r="I25" s="82">
        <f t="shared" si="5"/>
        <v>6.6901695205956457E-7</v>
      </c>
      <c r="J25" s="82">
        <f t="shared" si="5"/>
        <v>6.626555939526213E-7</v>
      </c>
      <c r="K25" s="82">
        <f t="shared" si="5"/>
        <v>6.4535016597311312E-7</v>
      </c>
      <c r="L25" s="82">
        <f t="shared" si="5"/>
        <v>6.3159644247967606E-7</v>
      </c>
      <c r="M25" s="82">
        <f t="shared" si="5"/>
        <v>6.2810261569623549E-7</v>
      </c>
      <c r="N25" s="199">
        <f t="shared" si="5"/>
        <v>6.2330711858571419E-7</v>
      </c>
      <c r="O25" s="82">
        <f t="shared" si="5"/>
        <v>6.2160225478002928E-7</v>
      </c>
      <c r="P25" s="82">
        <f t="shared" si="5"/>
        <v>6.124727771616989E-7</v>
      </c>
      <c r="Q25" s="82">
        <f t="shared" si="5"/>
        <v>6.0183391981105672E-7</v>
      </c>
      <c r="R25" s="82">
        <f t="shared" si="5"/>
        <v>5.969291809737598E-7</v>
      </c>
      <c r="S25" s="82">
        <f t="shared" si="5"/>
        <v>5.8904625843680947E-7</v>
      </c>
      <c r="T25" s="82">
        <f t="shared" si="5"/>
        <v>5.7986205725946149E-7</v>
      </c>
      <c r="U25" s="82">
        <f t="shared" si="5"/>
        <v>5.741183748408929E-7</v>
      </c>
      <c r="V25" s="82">
        <f t="shared" si="5"/>
        <v>5.7048690016436865E-7</v>
      </c>
      <c r="W25" s="82">
        <f t="shared" si="5"/>
        <v>5.6320320540592661E-7</v>
      </c>
      <c r="X25" s="185">
        <f t="shared" si="5"/>
        <v>5.5649255958911681E-7</v>
      </c>
      <c r="Y25" s="172">
        <f t="shared" si="5"/>
        <v>5.5549602406834708E-7</v>
      </c>
      <c r="Z25" s="172">
        <f t="shared" si="5"/>
        <v>5.4855754760829711E-7</v>
      </c>
      <c r="AA25" s="172">
        <f t="shared" si="5"/>
        <v>5.4415625316828198E-7</v>
      </c>
      <c r="AB25" s="172">
        <f t="shared" si="5"/>
        <v>5.4119406422969973E-7</v>
      </c>
      <c r="AC25" s="172">
        <f t="shared" si="5"/>
        <v>5.3919881048969387E-7</v>
      </c>
      <c r="AD25" s="172">
        <f t="shared" si="5"/>
        <v>5.3913036901498401E-7</v>
      </c>
      <c r="AE25" s="172">
        <f t="shared" si="5"/>
        <v>5.3804136568302852E-7</v>
      </c>
      <c r="AF25" s="172">
        <f t="shared" si="5"/>
        <v>5.3521900222897045E-7</v>
      </c>
      <c r="AG25" s="172">
        <f t="shared" si="5"/>
        <v>5.2914422976613196E-7</v>
      </c>
      <c r="AH25" s="172">
        <f t="shared" si="5"/>
        <v>5.2431754604675973E-7</v>
      </c>
    </row>
    <row r="26" spans="1:34">
      <c r="A26" s="10"/>
      <c r="B26" s="37"/>
      <c r="C26" s="332"/>
      <c r="D26" s="332"/>
      <c r="E26" s="332"/>
      <c r="F26" s="332"/>
      <c r="G26" s="332"/>
      <c r="H26" s="82"/>
      <c r="I26" s="82"/>
      <c r="J26" s="82"/>
      <c r="K26" s="82"/>
      <c r="L26" s="82"/>
      <c r="M26" s="82"/>
      <c r="N26" s="183" t="s">
        <v>0</v>
      </c>
      <c r="O26" s="91" t="s">
        <v>0</v>
      </c>
      <c r="P26" s="82"/>
      <c r="Q26" s="82"/>
      <c r="R26" s="82"/>
      <c r="S26" s="82"/>
      <c r="T26" s="82"/>
      <c r="U26" s="82"/>
      <c r="V26" s="82"/>
      <c r="W26" s="82"/>
      <c r="X26" s="185" t="s">
        <v>0</v>
      </c>
    </row>
    <row r="27" spans="1:34">
      <c r="A27" s="10"/>
      <c r="B27" s="37"/>
      <c r="C27" s="332"/>
      <c r="D27" s="332"/>
      <c r="E27" s="332"/>
      <c r="F27" s="332"/>
      <c r="G27" s="332"/>
      <c r="H27" s="164"/>
      <c r="I27" s="164"/>
      <c r="J27" s="164"/>
      <c r="K27" s="164"/>
      <c r="L27" s="164"/>
      <c r="M27" s="164"/>
      <c r="N27" s="183"/>
      <c r="O27" s="164"/>
      <c r="P27" s="164"/>
      <c r="Q27" s="164"/>
      <c r="R27" s="164"/>
      <c r="S27" s="164"/>
      <c r="T27" s="164"/>
      <c r="U27" s="164"/>
      <c r="V27" s="164"/>
      <c r="W27" s="164"/>
      <c r="X27" s="185"/>
    </row>
    <row r="28" spans="1:34">
      <c r="A28" s="9" t="s">
        <v>125</v>
      </c>
      <c r="B28" s="37"/>
      <c r="C28" s="332">
        <f t="shared" ref="C28:K28" si="6">C10/C$18</f>
        <v>0</v>
      </c>
      <c r="D28" s="332">
        <f t="shared" si="6"/>
        <v>0</v>
      </c>
      <c r="E28" s="332">
        <f t="shared" si="6"/>
        <v>2.8428860681281123E-3</v>
      </c>
      <c r="F28" s="332">
        <f t="shared" si="6"/>
        <v>2.4675199445732656E-3</v>
      </c>
      <c r="G28" s="332">
        <f t="shared" si="6"/>
        <v>2.0547912370673838E-3</v>
      </c>
      <c r="H28" s="164">
        <f t="shared" si="6"/>
        <v>2.1573078700102889E-3</v>
      </c>
      <c r="I28" s="164">
        <f t="shared" si="6"/>
        <v>2.0299236041847728E-3</v>
      </c>
      <c r="J28" s="164">
        <f t="shared" si="6"/>
        <v>2.0035456157685163E-3</v>
      </c>
      <c r="K28" s="164">
        <f t="shared" si="6"/>
        <v>1.9728654840207994E-3</v>
      </c>
      <c r="L28" s="164">
        <f t="shared" ref="L28:L34" si="7">L10/L$18</f>
        <v>2.294485554517845E-3</v>
      </c>
      <c r="M28" s="164">
        <f t="shared" ref="M28:AH28" si="8">M10/M$18</f>
        <v>2.4923974700850433E-3</v>
      </c>
      <c r="N28" s="185">
        <f t="shared" si="8"/>
        <v>2.5207462888744794E-3</v>
      </c>
      <c r="O28" s="164">
        <f t="shared" si="8"/>
        <v>2.5806795767728138E-3</v>
      </c>
      <c r="P28" s="164">
        <f t="shared" si="8"/>
        <v>2.5296285634316424E-3</v>
      </c>
      <c r="Q28" s="164">
        <f t="shared" si="8"/>
        <v>2.4204466204028876E-3</v>
      </c>
      <c r="R28" s="164">
        <f t="shared" si="8"/>
        <v>2.3547950216311854E-3</v>
      </c>
      <c r="S28" s="164">
        <f t="shared" si="8"/>
        <v>2.2998773319373913E-3</v>
      </c>
      <c r="T28" s="164">
        <f t="shared" si="8"/>
        <v>2.2953603457090284E-3</v>
      </c>
      <c r="U28" s="164">
        <f t="shared" si="8"/>
        <v>2.2371770511715335E-3</v>
      </c>
      <c r="V28" s="164">
        <f t="shared" si="8"/>
        <v>2.2009046941165035E-3</v>
      </c>
      <c r="W28" s="164">
        <f t="shared" si="8"/>
        <v>2.2359276945136666E-3</v>
      </c>
      <c r="X28" s="185">
        <f t="shared" si="8"/>
        <v>2.2167634801356305E-3</v>
      </c>
      <c r="Y28" s="172">
        <f t="shared" si="8"/>
        <v>2.1285237436267012E-3</v>
      </c>
      <c r="Z28" s="172">
        <f t="shared" si="8"/>
        <v>2.0851031979989602E-3</v>
      </c>
      <c r="AA28" s="172">
        <f t="shared" si="8"/>
        <v>1.981895785128686E-3</v>
      </c>
      <c r="AB28" s="172">
        <f t="shared" si="8"/>
        <v>1.9036386215380082E-3</v>
      </c>
      <c r="AC28" s="172">
        <f t="shared" si="8"/>
        <v>1.9214986710172257E-3</v>
      </c>
      <c r="AD28" s="172">
        <f t="shared" si="8"/>
        <v>1.8876695674275238E-3</v>
      </c>
      <c r="AE28" s="172">
        <f t="shared" si="8"/>
        <v>1.9066216466499765E-3</v>
      </c>
      <c r="AF28" s="172">
        <f t="shared" si="8"/>
        <v>1.9050775008948491E-3</v>
      </c>
      <c r="AG28" s="172">
        <f t="shared" si="8"/>
        <v>1.9182491529479357E-3</v>
      </c>
      <c r="AH28" s="172">
        <f t="shared" si="8"/>
        <v>1.9573842682866337E-3</v>
      </c>
    </row>
    <row r="29" spans="1:34">
      <c r="A29" s="9" t="s">
        <v>50</v>
      </c>
      <c r="B29" s="37"/>
      <c r="C29" s="332">
        <f t="shared" ref="C29:K29" si="9">C11/C$18</f>
        <v>0.57288351368555057</v>
      </c>
      <c r="D29" s="332">
        <f t="shared" si="9"/>
        <v>0.3546689543027618</v>
      </c>
      <c r="E29" s="332">
        <f t="shared" si="9"/>
        <v>0.27400223831624115</v>
      </c>
      <c r="F29" s="332">
        <f t="shared" si="9"/>
        <v>0.25548387668740347</v>
      </c>
      <c r="G29" s="332">
        <f t="shared" si="9"/>
        <v>0.25712626780749209</v>
      </c>
      <c r="H29" s="164">
        <f t="shared" si="9"/>
        <v>0.27556085010064102</v>
      </c>
      <c r="I29" s="164">
        <f t="shared" si="9"/>
        <v>0.26155897268443773</v>
      </c>
      <c r="J29" s="164">
        <f t="shared" si="9"/>
        <v>0.31069453484898607</v>
      </c>
      <c r="K29" s="164">
        <f t="shared" si="9"/>
        <v>0.37419767366479206</v>
      </c>
      <c r="L29" s="164">
        <f t="shared" si="7"/>
        <v>0.41515732746069745</v>
      </c>
      <c r="M29" s="164">
        <f t="shared" ref="M29:AH29" si="10">M11/M$18</f>
        <v>0.41867373249907852</v>
      </c>
      <c r="N29" s="185">
        <f t="shared" si="10"/>
        <v>0.41698049328719716</v>
      </c>
      <c r="O29" s="164">
        <f t="shared" si="10"/>
        <v>0.43611407548822717</v>
      </c>
      <c r="P29" s="164">
        <f t="shared" si="10"/>
        <v>0.46511877039173327</v>
      </c>
      <c r="Q29" s="164">
        <f t="shared" si="10"/>
        <v>0.49191037008601873</v>
      </c>
      <c r="R29" s="164">
        <f t="shared" si="10"/>
        <v>0.51669598655311721</v>
      </c>
      <c r="S29" s="164">
        <f t="shared" si="10"/>
        <v>0.54236121011604632</v>
      </c>
      <c r="T29" s="164">
        <f t="shared" si="10"/>
        <v>0.56339343685101018</v>
      </c>
      <c r="U29" s="164">
        <f t="shared" si="10"/>
        <v>0.58245036313361487</v>
      </c>
      <c r="V29" s="164">
        <f t="shared" si="10"/>
        <v>0.59181181941867156</v>
      </c>
      <c r="W29" s="164">
        <f t="shared" si="10"/>
        <v>0.59673307197235981</v>
      </c>
      <c r="X29" s="185">
        <f t="shared" si="10"/>
        <v>0.60514989854158763</v>
      </c>
      <c r="Y29" s="172">
        <f t="shared" si="10"/>
        <v>0.62299178827834301</v>
      </c>
      <c r="Z29" s="172">
        <f t="shared" si="10"/>
        <v>0.65425837188490965</v>
      </c>
      <c r="AA29" s="172">
        <f t="shared" si="10"/>
        <v>0.67346588126555529</v>
      </c>
      <c r="AB29" s="172">
        <f t="shared" si="10"/>
        <v>0.69148299490873766</v>
      </c>
      <c r="AC29" s="172">
        <f t="shared" si="10"/>
        <v>0.69770111356827047</v>
      </c>
      <c r="AD29" s="172">
        <f t="shared" si="10"/>
        <v>0.68427071865331779</v>
      </c>
      <c r="AE29" s="172">
        <f t="shared" si="10"/>
        <v>0.67249421253395747</v>
      </c>
      <c r="AF29" s="172">
        <f t="shared" si="10"/>
        <v>0.67294789530616606</v>
      </c>
      <c r="AG29" s="172">
        <f t="shared" si="10"/>
        <v>0.67681030621002181</v>
      </c>
      <c r="AH29" s="172">
        <f t="shared" si="10"/>
        <v>0.67443484471427573</v>
      </c>
    </row>
    <row r="30" spans="1:34">
      <c r="A30" s="9" t="s">
        <v>51</v>
      </c>
      <c r="B30" s="37"/>
      <c r="C30" s="332">
        <f t="shared" ref="C30:K30" si="11">C12/C$18</f>
        <v>9.8560604505040963E-2</v>
      </c>
      <c r="D30" s="332">
        <f t="shared" si="11"/>
        <v>7.1702026862652202E-2</v>
      </c>
      <c r="E30" s="332">
        <f t="shared" si="11"/>
        <v>6.8230553797607257E-2</v>
      </c>
      <c r="F30" s="332">
        <f t="shared" si="11"/>
        <v>7.1798711783776906E-2</v>
      </c>
      <c r="G30" s="332">
        <f t="shared" si="11"/>
        <v>7.2584781431404483E-2</v>
      </c>
      <c r="H30" s="164">
        <f t="shared" si="11"/>
        <v>6.3737287967256098E-2</v>
      </c>
      <c r="I30" s="164">
        <f t="shared" si="11"/>
        <v>6.7610098771246824E-2</v>
      </c>
      <c r="J30" s="164">
        <f t="shared" si="11"/>
        <v>5.5118631553897221E-2</v>
      </c>
      <c r="K30" s="164">
        <f t="shared" si="11"/>
        <v>5.5080704314372876E-2</v>
      </c>
      <c r="L30" s="164">
        <f t="shared" si="7"/>
        <v>4.1215772357693276E-2</v>
      </c>
      <c r="M30" s="164">
        <f t="shared" ref="M30:AH30" si="12">M12/M$18</f>
        <v>5.1827389166565305E-2</v>
      </c>
      <c r="N30" s="185">
        <f t="shared" si="12"/>
        <v>5.6774011675089053E-2</v>
      </c>
      <c r="O30" s="164">
        <f t="shared" si="12"/>
        <v>5.0262958577056253E-2</v>
      </c>
      <c r="P30" s="164">
        <f t="shared" si="12"/>
        <v>4.2736368638929878E-2</v>
      </c>
      <c r="Q30" s="164">
        <f t="shared" si="12"/>
        <v>4.4867066987260645E-2</v>
      </c>
      <c r="R30" s="164">
        <f t="shared" si="12"/>
        <v>4.7167639917976477E-2</v>
      </c>
      <c r="S30" s="164">
        <f t="shared" si="12"/>
        <v>3.6447529628302951E-2</v>
      </c>
      <c r="T30" s="164">
        <f t="shared" si="12"/>
        <v>3.8318368074796612E-2</v>
      </c>
      <c r="U30" s="164">
        <f t="shared" si="12"/>
        <v>3.6577065747271209E-2</v>
      </c>
      <c r="V30" s="164">
        <f t="shared" si="12"/>
        <v>3.6186167721229068E-2</v>
      </c>
      <c r="W30" s="164">
        <f t="shared" si="12"/>
        <v>3.1536664206209583E-2</v>
      </c>
      <c r="X30" s="185">
        <f t="shared" si="12"/>
        <v>3.098825764388187E-2</v>
      </c>
      <c r="Y30" s="172">
        <f t="shared" si="12"/>
        <v>3.3067064903161358E-2</v>
      </c>
      <c r="Z30" s="172">
        <f t="shared" si="12"/>
        <v>2.6875746057915029E-2</v>
      </c>
      <c r="AA30" s="172">
        <f t="shared" si="12"/>
        <v>2.8373898025474395E-2</v>
      </c>
      <c r="AB30" s="172">
        <f t="shared" si="12"/>
        <v>2.6684984823332751E-2</v>
      </c>
      <c r="AC30" s="172">
        <f t="shared" si="12"/>
        <v>2.3180839761447299E-2</v>
      </c>
      <c r="AD30" s="172">
        <f t="shared" si="12"/>
        <v>2.5241554445165987E-2</v>
      </c>
      <c r="AE30" s="172">
        <f t="shared" si="12"/>
        <v>2.1573711522631833E-2</v>
      </c>
      <c r="AF30" s="172">
        <f t="shared" si="12"/>
        <v>2.1137958968281134E-2</v>
      </c>
      <c r="AG30" s="172">
        <f t="shared" si="12"/>
        <v>2.0727659210970355E-2</v>
      </c>
      <c r="AH30" s="172">
        <f t="shared" si="12"/>
        <v>2.1016418594527915E-2</v>
      </c>
    </row>
    <row r="31" spans="1:34">
      <c r="A31" s="9" t="s">
        <v>347</v>
      </c>
      <c r="B31" s="37"/>
      <c r="C31" s="332">
        <f t="shared" ref="C31:K31" si="13">C13/C$18</f>
        <v>0</v>
      </c>
      <c r="D31" s="332">
        <f t="shared" si="13"/>
        <v>0</v>
      </c>
      <c r="E31" s="332">
        <f t="shared" si="13"/>
        <v>2.1827251975726572E-5</v>
      </c>
      <c r="F31" s="332">
        <f t="shared" si="13"/>
        <v>1.9570832711962227E-5</v>
      </c>
      <c r="G31" s="332">
        <f t="shared" si="13"/>
        <v>1.6582009694136828E-5</v>
      </c>
      <c r="H31" s="164">
        <f t="shared" si="13"/>
        <v>1.6291048376151623E-5</v>
      </c>
      <c r="I31" s="164">
        <f t="shared" si="13"/>
        <v>1.5463262926001488E-5</v>
      </c>
      <c r="J31" s="164">
        <f t="shared" si="13"/>
        <v>1.4089205570918153E-5</v>
      </c>
      <c r="K31" s="164">
        <f t="shared" si="13"/>
        <v>1.2674734275131794E-5</v>
      </c>
      <c r="L31" s="164">
        <f t="shared" si="7"/>
        <v>1.2064048721911778E-5</v>
      </c>
      <c r="M31" s="164">
        <f t="shared" ref="M31:AH31" si="14">M13/M$18</f>
        <v>1.1745464120831953E-5</v>
      </c>
      <c r="N31" s="185">
        <f t="shared" si="14"/>
        <v>1.1672504844157902E-5</v>
      </c>
      <c r="O31" s="164">
        <f t="shared" si="14"/>
        <v>1.1389919604250737E-5</v>
      </c>
      <c r="P31" s="164">
        <f t="shared" si="14"/>
        <v>1.0908807151327339E-5</v>
      </c>
      <c r="Q31" s="164">
        <f t="shared" si="14"/>
        <v>1.0269092300844532E-5</v>
      </c>
      <c r="R31" s="164">
        <f t="shared" si="14"/>
        <v>9.667098631180545E-6</v>
      </c>
      <c r="S31" s="164">
        <f t="shared" si="14"/>
        <v>9.3262512165319909E-6</v>
      </c>
      <c r="T31" s="164">
        <f t="shared" si="14"/>
        <v>8.8031590736504636E-6</v>
      </c>
      <c r="U31" s="164">
        <f t="shared" si="14"/>
        <v>8.4074563432057698E-6</v>
      </c>
      <c r="V31" s="164">
        <f t="shared" si="14"/>
        <v>8.2036834087818011E-6</v>
      </c>
      <c r="W31" s="164">
        <f t="shared" si="14"/>
        <v>8.1947364506725462E-6</v>
      </c>
      <c r="X31" s="185">
        <f t="shared" si="14"/>
        <v>8.0110767758991216E-6</v>
      </c>
      <c r="Y31" s="172">
        <f t="shared" si="14"/>
        <v>7.5607951431951068E-6</v>
      </c>
      <c r="Z31" s="172">
        <f t="shared" si="14"/>
        <v>6.9970927360817508E-6</v>
      </c>
      <c r="AA31" s="172">
        <f t="shared" si="14"/>
        <v>6.5321187692890097E-6</v>
      </c>
      <c r="AB31" s="172">
        <f t="shared" si="14"/>
        <v>6.1348476399411474E-6</v>
      </c>
      <c r="AC31" s="172">
        <f t="shared" si="14"/>
        <v>6.0485704509964743E-6</v>
      </c>
      <c r="AD31" s="172">
        <f t="shared" si="14"/>
        <v>5.818190011727874E-6</v>
      </c>
      <c r="AE31" s="172">
        <f t="shared" si="14"/>
        <v>5.6352805066019358E-6</v>
      </c>
      <c r="AF31" s="172">
        <f t="shared" si="14"/>
        <v>5.5132432581127452E-6</v>
      </c>
      <c r="AG31" s="172">
        <f t="shared" si="14"/>
        <v>5.4088071828763723E-6</v>
      </c>
      <c r="AH31" s="172">
        <f t="shared" si="14"/>
        <v>5.3737687975639506E-6</v>
      </c>
    </row>
    <row r="32" spans="1:34">
      <c r="A32" s="9" t="s">
        <v>348</v>
      </c>
      <c r="B32" s="37"/>
      <c r="C32" s="332">
        <f t="shared" ref="C32:K32" si="15">C14/C$18</f>
        <v>0</v>
      </c>
      <c r="D32" s="332">
        <f t="shared" si="15"/>
        <v>0</v>
      </c>
      <c r="E32" s="332">
        <f t="shared" si="15"/>
        <v>1.0913625987863286E-5</v>
      </c>
      <c r="F32" s="332">
        <f t="shared" si="15"/>
        <v>9.7854163559811137E-6</v>
      </c>
      <c r="G32" s="332">
        <f t="shared" si="15"/>
        <v>8.2910048470684142E-6</v>
      </c>
      <c r="H32" s="164">
        <f t="shared" si="15"/>
        <v>8.1455241880758114E-6</v>
      </c>
      <c r="I32" s="164">
        <f t="shared" si="15"/>
        <v>7.7316314630007438E-6</v>
      </c>
      <c r="J32" s="164">
        <f t="shared" si="15"/>
        <v>7.0446027854590763E-6</v>
      </c>
      <c r="K32" s="164">
        <f t="shared" si="15"/>
        <v>6.337367137565897E-6</v>
      </c>
      <c r="L32" s="164">
        <f t="shared" si="7"/>
        <v>6.0320243609558888E-6</v>
      </c>
      <c r="M32" s="164">
        <f t="shared" ref="M32:AH32" si="16">M14/M$18</f>
        <v>5.8727320604159766E-6</v>
      </c>
      <c r="N32" s="185">
        <f t="shared" si="16"/>
        <v>5.836252422078951E-6</v>
      </c>
      <c r="O32" s="164">
        <f t="shared" si="16"/>
        <v>5.6949598021253687E-6</v>
      </c>
      <c r="P32" s="164">
        <f t="shared" si="16"/>
        <v>5.4544035756636696E-6</v>
      </c>
      <c r="Q32" s="164">
        <f t="shared" si="16"/>
        <v>5.1345461504222659E-6</v>
      </c>
      <c r="R32" s="164">
        <f t="shared" si="16"/>
        <v>4.8335493155902725E-6</v>
      </c>
      <c r="S32" s="164">
        <f t="shared" si="16"/>
        <v>4.6631256082659955E-6</v>
      </c>
      <c r="T32" s="164">
        <f t="shared" si="16"/>
        <v>4.4015795368252318E-6</v>
      </c>
      <c r="U32" s="164">
        <f t="shared" si="16"/>
        <v>4.2037281716028849E-6</v>
      </c>
      <c r="V32" s="164">
        <f t="shared" si="16"/>
        <v>4.1018417043909006E-6</v>
      </c>
      <c r="W32" s="164">
        <f t="shared" si="16"/>
        <v>4.0973682253362731E-6</v>
      </c>
      <c r="X32" s="185">
        <f t="shared" si="16"/>
        <v>4.0055383879495608E-6</v>
      </c>
      <c r="Y32" s="172">
        <f t="shared" si="16"/>
        <v>3.7803975715975534E-6</v>
      </c>
      <c r="Z32" s="172">
        <f t="shared" si="16"/>
        <v>3.4985463680408754E-6</v>
      </c>
      <c r="AA32" s="172">
        <f t="shared" si="16"/>
        <v>3.2660593846445048E-6</v>
      </c>
      <c r="AB32" s="172">
        <f t="shared" si="16"/>
        <v>3.0674238199705737E-6</v>
      </c>
      <c r="AC32" s="172">
        <f t="shared" si="16"/>
        <v>3.0242852254982371E-6</v>
      </c>
      <c r="AD32" s="172">
        <f t="shared" si="16"/>
        <v>2.909095005863937E-6</v>
      </c>
      <c r="AE32" s="172">
        <f t="shared" si="16"/>
        <v>2.8176402533009679E-6</v>
      </c>
      <c r="AF32" s="172">
        <f t="shared" si="16"/>
        <v>2.7566216290563726E-6</v>
      </c>
      <c r="AG32" s="172">
        <f t="shared" si="16"/>
        <v>2.7044035914381861E-6</v>
      </c>
      <c r="AH32" s="172">
        <f t="shared" si="16"/>
        <v>2.6868843987819753E-6</v>
      </c>
    </row>
    <row r="33" spans="1:36">
      <c r="A33" s="9" t="s">
        <v>344</v>
      </c>
      <c r="B33" s="37"/>
      <c r="C33" s="332">
        <f t="shared" ref="C33:K33" si="17">C15/C$18</f>
        <v>2.0533459271883536E-5</v>
      </c>
      <c r="D33" s="332">
        <f t="shared" si="17"/>
        <v>1.2803933368330752E-5</v>
      </c>
      <c r="E33" s="332">
        <f t="shared" si="17"/>
        <v>1.0913625987863286E-5</v>
      </c>
      <c r="F33" s="332">
        <f t="shared" si="17"/>
        <v>9.7854163559811137E-6</v>
      </c>
      <c r="G33" s="332">
        <f t="shared" si="17"/>
        <v>8.2910048470684142E-6</v>
      </c>
      <c r="H33" s="164">
        <f t="shared" si="17"/>
        <v>8.1455241880758114E-6</v>
      </c>
      <c r="I33" s="164">
        <f t="shared" si="17"/>
        <v>7.7316314630007438E-6</v>
      </c>
      <c r="J33" s="164">
        <f t="shared" si="17"/>
        <v>7.0446027854590763E-6</v>
      </c>
      <c r="K33" s="164">
        <f t="shared" si="17"/>
        <v>6.337367137565897E-6</v>
      </c>
      <c r="L33" s="164">
        <f t="shared" si="7"/>
        <v>6.0320243609558888E-6</v>
      </c>
      <c r="M33" s="164">
        <f t="shared" ref="M33:AH33" si="18">M15/M$18</f>
        <v>5.8727320604159766E-6</v>
      </c>
      <c r="N33" s="185">
        <f t="shared" si="18"/>
        <v>5.836252422078951E-6</v>
      </c>
      <c r="O33" s="164">
        <f t="shared" si="18"/>
        <v>5.6949598021253687E-6</v>
      </c>
      <c r="P33" s="164">
        <f t="shared" si="18"/>
        <v>5.4544035756636696E-6</v>
      </c>
      <c r="Q33" s="164">
        <f t="shared" si="18"/>
        <v>5.1345461504222659E-6</v>
      </c>
      <c r="R33" s="164">
        <f t="shared" si="18"/>
        <v>4.8335493155902725E-6</v>
      </c>
      <c r="S33" s="164">
        <f t="shared" si="18"/>
        <v>4.6631256082659955E-6</v>
      </c>
      <c r="T33" s="164">
        <f t="shared" si="18"/>
        <v>4.4015795368252318E-6</v>
      </c>
      <c r="U33" s="164">
        <f t="shared" si="18"/>
        <v>4.2037281716028849E-6</v>
      </c>
      <c r="V33" s="164">
        <f t="shared" si="18"/>
        <v>4.1018417043909006E-6</v>
      </c>
      <c r="W33" s="164">
        <f t="shared" si="18"/>
        <v>4.0973682253362731E-6</v>
      </c>
      <c r="X33" s="185">
        <f t="shared" si="18"/>
        <v>4.0055383879495608E-6</v>
      </c>
      <c r="Y33" s="172">
        <f t="shared" si="18"/>
        <v>3.7803975715975534E-6</v>
      </c>
      <c r="Z33" s="172">
        <f t="shared" si="18"/>
        <v>3.4985463680408754E-6</v>
      </c>
      <c r="AA33" s="172">
        <f t="shared" si="18"/>
        <v>3.2660593846445048E-6</v>
      </c>
      <c r="AB33" s="172">
        <f t="shared" si="18"/>
        <v>3.0674238199705737E-6</v>
      </c>
      <c r="AC33" s="172">
        <f t="shared" si="18"/>
        <v>3.0242852254982371E-6</v>
      </c>
      <c r="AD33" s="172">
        <f t="shared" si="18"/>
        <v>2.909095005863937E-6</v>
      </c>
      <c r="AE33" s="172">
        <f t="shared" si="18"/>
        <v>2.8176402533009679E-6</v>
      </c>
      <c r="AF33" s="172">
        <f t="shared" si="18"/>
        <v>2.7566216290563726E-6</v>
      </c>
      <c r="AG33" s="172">
        <f t="shared" si="18"/>
        <v>2.7044035914381861E-6</v>
      </c>
      <c r="AH33" s="172">
        <f t="shared" si="18"/>
        <v>2.6868843987819753E-6</v>
      </c>
    </row>
    <row r="34" spans="1:36">
      <c r="A34" s="9" t="s">
        <v>53</v>
      </c>
      <c r="B34" s="37"/>
      <c r="C34" s="332">
        <f t="shared" ref="C34:K34" si="19">C16/C$18</f>
        <v>0.32853534835013654</v>
      </c>
      <c r="D34" s="332">
        <f t="shared" si="19"/>
        <v>0.57361621490121761</v>
      </c>
      <c r="E34" s="332">
        <f t="shared" si="19"/>
        <v>0.65488066731407202</v>
      </c>
      <c r="F34" s="332">
        <f t="shared" si="19"/>
        <v>0.67021074991882246</v>
      </c>
      <c r="G34" s="332">
        <f t="shared" si="19"/>
        <v>0.66820099550464762</v>
      </c>
      <c r="H34" s="164">
        <f t="shared" si="19"/>
        <v>0.65851197196534039</v>
      </c>
      <c r="I34" s="164">
        <f t="shared" si="19"/>
        <v>0.66877007841427871</v>
      </c>
      <c r="J34" s="164">
        <f t="shared" si="19"/>
        <v>0.63215510957020637</v>
      </c>
      <c r="K34" s="164">
        <f t="shared" si="19"/>
        <v>0.56872340706826396</v>
      </c>
      <c r="L34" s="164">
        <f t="shared" si="7"/>
        <v>0.54130828652964758</v>
      </c>
      <c r="M34" s="164">
        <f t="shared" ref="M34:AH34" si="20">M16/M$18</f>
        <v>0.52698298993602954</v>
      </c>
      <c r="N34" s="185">
        <f t="shared" si="20"/>
        <v>0.52370140373915108</v>
      </c>
      <c r="O34" s="164">
        <f t="shared" si="20"/>
        <v>0.51101950651873529</v>
      </c>
      <c r="P34" s="164">
        <f t="shared" si="20"/>
        <v>0.48959341479160257</v>
      </c>
      <c r="Q34" s="164">
        <f t="shared" si="20"/>
        <v>0.46078157812171611</v>
      </c>
      <c r="R34" s="164">
        <f t="shared" si="20"/>
        <v>0.43376224431001281</v>
      </c>
      <c r="S34" s="164">
        <f t="shared" si="20"/>
        <v>0.41887273042128031</v>
      </c>
      <c r="T34" s="164">
        <f t="shared" si="20"/>
        <v>0.39597522841033678</v>
      </c>
      <c r="U34" s="164">
        <f t="shared" si="20"/>
        <v>0.37871857915525609</v>
      </c>
      <c r="V34" s="164">
        <f t="shared" si="20"/>
        <v>0.3697847007991652</v>
      </c>
      <c r="W34" s="164">
        <f t="shared" si="20"/>
        <v>0.36947794665401562</v>
      </c>
      <c r="X34" s="185">
        <f t="shared" si="20"/>
        <v>0.36162905818084312</v>
      </c>
      <c r="Y34" s="172">
        <f t="shared" si="20"/>
        <v>0.34179750148458249</v>
      </c>
      <c r="Z34" s="172">
        <f t="shared" si="20"/>
        <v>0.31676678467370417</v>
      </c>
      <c r="AA34" s="172">
        <f t="shared" si="20"/>
        <v>0.29616526068630294</v>
      </c>
      <c r="AB34" s="172">
        <f t="shared" si="20"/>
        <v>0.27991611195111149</v>
      </c>
      <c r="AC34" s="172">
        <f t="shared" si="20"/>
        <v>0.27718445085836285</v>
      </c>
      <c r="AD34" s="172">
        <f t="shared" si="20"/>
        <v>0.28858842095406506</v>
      </c>
      <c r="AE34" s="172">
        <f t="shared" si="20"/>
        <v>0.3040141837357474</v>
      </c>
      <c r="AF34" s="172">
        <f t="shared" si="20"/>
        <v>0.30399804173814171</v>
      </c>
      <c r="AG34" s="172">
        <f t="shared" si="20"/>
        <v>0.30053296781169409</v>
      </c>
      <c r="AH34" s="172">
        <f t="shared" si="20"/>
        <v>0.30258060488531446</v>
      </c>
    </row>
    <row r="35" spans="1:36">
      <c r="A35" s="10"/>
      <c r="B35" s="37"/>
      <c r="C35" s="332"/>
      <c r="D35" s="332"/>
      <c r="E35" s="332"/>
      <c r="F35" s="332"/>
      <c r="G35" s="332"/>
      <c r="H35" s="164"/>
      <c r="I35" s="164"/>
      <c r="J35" s="164"/>
      <c r="K35" s="164"/>
      <c r="L35" s="164"/>
      <c r="M35" s="164"/>
      <c r="N35" s="183"/>
      <c r="O35" s="164"/>
      <c r="P35" s="164"/>
      <c r="Q35" s="164"/>
      <c r="R35" s="164"/>
      <c r="S35" s="164"/>
      <c r="T35" s="164"/>
      <c r="U35" s="164"/>
      <c r="V35" s="164"/>
      <c r="W35" s="164"/>
      <c r="X35" s="185"/>
    </row>
    <row r="36" spans="1:36">
      <c r="A36" s="10"/>
      <c r="B36" s="37"/>
      <c r="C36" s="332"/>
      <c r="D36" s="332"/>
      <c r="E36" s="332"/>
      <c r="F36" s="332"/>
      <c r="G36" s="332"/>
      <c r="H36" s="164"/>
      <c r="I36" s="164"/>
      <c r="J36" s="164"/>
      <c r="K36" s="164"/>
      <c r="L36" s="164"/>
      <c r="M36" s="164"/>
      <c r="N36" s="183"/>
      <c r="O36" s="164"/>
      <c r="P36" s="164"/>
      <c r="Q36" s="164"/>
      <c r="R36" s="164"/>
      <c r="S36" s="164"/>
      <c r="T36" s="164"/>
      <c r="U36" s="164"/>
      <c r="V36" s="164"/>
      <c r="W36" s="164"/>
      <c r="X36" s="185"/>
    </row>
    <row r="37" spans="1:36">
      <c r="A37" s="10"/>
      <c r="B37" s="37"/>
      <c r="C37" s="332"/>
      <c r="D37" s="332"/>
      <c r="E37" s="332"/>
      <c r="F37" s="332"/>
      <c r="G37" s="332"/>
      <c r="H37" s="164"/>
      <c r="I37" s="164"/>
      <c r="J37" s="164"/>
      <c r="K37" s="164"/>
      <c r="L37" s="164"/>
      <c r="M37" s="164"/>
      <c r="N37" s="183"/>
      <c r="O37" s="164"/>
      <c r="P37" s="164"/>
      <c r="Q37" s="164"/>
      <c r="R37" s="164"/>
      <c r="S37" s="164"/>
      <c r="T37" s="164"/>
      <c r="U37" s="164"/>
      <c r="V37" s="164"/>
      <c r="W37" s="164"/>
      <c r="X37" s="185"/>
    </row>
    <row r="38" spans="1:36">
      <c r="A38" s="10"/>
      <c r="B38" s="37"/>
      <c r="C38" s="332"/>
      <c r="D38" s="332"/>
      <c r="E38" s="332"/>
      <c r="F38" s="332"/>
      <c r="G38" s="332"/>
      <c r="H38" s="164"/>
      <c r="I38" s="164"/>
      <c r="J38" s="164"/>
      <c r="K38" s="164"/>
      <c r="L38" s="164"/>
      <c r="M38" s="164"/>
      <c r="N38" s="183"/>
      <c r="O38" s="164"/>
      <c r="P38" s="164"/>
      <c r="Q38" s="164"/>
      <c r="R38" s="164"/>
      <c r="S38" s="164"/>
      <c r="T38" s="164"/>
      <c r="U38" s="164"/>
      <c r="V38" s="164"/>
      <c r="W38" s="164"/>
      <c r="X38" s="185"/>
    </row>
    <row r="39" spans="1:36">
      <c r="A39" s="1" t="s">
        <v>139</v>
      </c>
      <c r="B39" s="13"/>
      <c r="D39" s="333"/>
      <c r="E39" s="333"/>
      <c r="F39" s="333"/>
      <c r="G39" s="333"/>
      <c r="H39" s="16"/>
      <c r="I39" s="16"/>
      <c r="J39" s="16"/>
      <c r="K39" s="16"/>
      <c r="L39" s="16"/>
      <c r="M39" s="16"/>
      <c r="N39" s="389" t="s">
        <v>0</v>
      </c>
    </row>
    <row r="40" spans="1:36" ht="15">
      <c r="A40" s="8" t="s">
        <v>61</v>
      </c>
      <c r="B40" s="34">
        <v>0</v>
      </c>
      <c r="C40" s="331">
        <f>C5*Inputs!$C$44</f>
        <v>0</v>
      </c>
      <c r="D40" s="331">
        <f>D5*Inputs!$C$44</f>
        <v>0</v>
      </c>
      <c r="E40" s="331">
        <f>E5*Inputs!$C$44</f>
        <v>0</v>
      </c>
      <c r="F40" s="331">
        <f>F5*Inputs!$C$44</f>
        <v>0</v>
      </c>
      <c r="G40" s="331">
        <f>G5*Inputs!$C$44</f>
        <v>0</v>
      </c>
      <c r="H40" s="14">
        <f>H5*Inputs!$C$44</f>
        <v>0</v>
      </c>
      <c r="I40" s="14">
        <f>I5*Inputs!$C$44</f>
        <v>0</v>
      </c>
      <c r="J40" s="14">
        <f>J5*Inputs!$C$44</f>
        <v>0</v>
      </c>
      <c r="K40" s="14">
        <f>K5*Inputs!$C$44</f>
        <v>0</v>
      </c>
      <c r="L40" s="14">
        <f>L5*Inputs!$C$44</f>
        <v>0</v>
      </c>
      <c r="M40" s="14">
        <f>M5*Inputs!$C$44</f>
        <v>0</v>
      </c>
      <c r="N40" s="190">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7">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331">
        <f>C6*Inputs!$C$47</f>
        <v>0</v>
      </c>
      <c r="D41" s="331">
        <f>D6*Inputs!$C$47</f>
        <v>0</v>
      </c>
      <c r="E41" s="331" t="s">
        <v>377</v>
      </c>
      <c r="F41" s="331">
        <f>F6*Inputs!$C$47</f>
        <v>0</v>
      </c>
      <c r="G41" s="331">
        <f>G6*Inputs!$C$47</f>
        <v>0</v>
      </c>
      <c r="H41" s="14">
        <f>H6*Inputs!$C$47</f>
        <v>0</v>
      </c>
      <c r="I41" s="14">
        <f>I6*Inputs!$C$47</f>
        <v>0</v>
      </c>
      <c r="J41" s="14">
        <f>J6*Inputs!$C$47</f>
        <v>0</v>
      </c>
      <c r="K41" s="14">
        <f>K6*Inputs!$C$47</f>
        <v>0</v>
      </c>
      <c r="L41" s="14">
        <f>L6*Inputs!$C$47</f>
        <v>0</v>
      </c>
      <c r="M41" s="14">
        <f>M6*Inputs!$C$47</f>
        <v>0</v>
      </c>
      <c r="N41" s="190">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7">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331">
        <f>C7*Inputs!$C$48</f>
        <v>125.24849999999999</v>
      </c>
      <c r="D42" s="331">
        <f>D7*Inputs!$C$48</f>
        <v>104.3985</v>
      </c>
      <c r="E42" s="331">
        <f>E7*Inputs!$C$48</f>
        <v>126.3305820600425</v>
      </c>
      <c r="F42" s="331">
        <f>F7*Inputs!$C$48</f>
        <v>118.7480159113525</v>
      </c>
      <c r="G42" s="331">
        <f>G7*Inputs!$C$48</f>
        <v>97.659011305868404</v>
      </c>
      <c r="H42" s="14">
        <f>H7*Inputs!$C$48</f>
        <v>99.736229182864719</v>
      </c>
      <c r="I42" s="14">
        <f>I7*Inputs!$C$48</f>
        <v>101.3793610727012</v>
      </c>
      <c r="J42" s="14">
        <f>J7*Inputs!$C$48</f>
        <v>103.16969485878036</v>
      </c>
      <c r="K42" s="14">
        <f>K7*Inputs!$C$48</f>
        <v>104.42848090839792</v>
      </c>
      <c r="L42" s="14">
        <f>L7*Inputs!$C$48</f>
        <v>103.98074404625997</v>
      </c>
      <c r="M42" s="14">
        <f>M7*Inputs!$C$48</f>
        <v>103.98077831167723</v>
      </c>
      <c r="N42" s="190">
        <f>N7*Inputs!$C$48</f>
        <v>103.98074404625997</v>
      </c>
      <c r="O42" s="14">
        <f>O7*Inputs!$C$48</f>
        <v>104.51849304448497</v>
      </c>
      <c r="P42" s="14">
        <f>P7*Inputs!$C$48</f>
        <v>104.51845877906773</v>
      </c>
      <c r="Q42" s="14">
        <f>Q7*Inputs!$C$48</f>
        <v>104.51844709767549</v>
      </c>
      <c r="R42" s="14">
        <f>R7*Inputs!$C$48</f>
        <v>104.51844709767549</v>
      </c>
      <c r="S42" s="14">
        <f>S7*Inputs!$C$48</f>
        <v>104.51844709767549</v>
      </c>
      <c r="T42" s="14">
        <f>T7*Inputs!$C$48</f>
        <v>104.51843463752375</v>
      </c>
      <c r="U42" s="14">
        <f>U7*Inputs!$C$48</f>
        <v>104.51843463752375</v>
      </c>
      <c r="V42" s="14">
        <f>V7*Inputs!$C$48</f>
        <v>104.51843463752375</v>
      </c>
      <c r="W42" s="14">
        <f>W7*Inputs!$C$48</f>
        <v>105.14976249026813</v>
      </c>
      <c r="X42" s="187">
        <f>X7*Inputs!$C$48</f>
        <v>105.14976249026813</v>
      </c>
      <c r="Y42" s="14">
        <f>Y7*Inputs!$C$48</f>
        <v>105.2867369382201</v>
      </c>
      <c r="Z42" s="14">
        <f>Z7*Inputs!$C$48</f>
        <v>105.28673771697959</v>
      </c>
      <c r="AA42" s="14">
        <f>AA7*Inputs!$C$48</f>
        <v>105.28673771697959</v>
      </c>
      <c r="AB42" s="14">
        <f>AB7*Inputs!$C$48</f>
        <v>105.28673771697959</v>
      </c>
      <c r="AC42" s="14">
        <f>AC7*Inputs!$C$48</f>
        <v>105.48828378622684</v>
      </c>
      <c r="AD42" s="14">
        <f>AD7*Inputs!$C$48</f>
        <v>105.4883188304036</v>
      </c>
      <c r="AE42" s="14">
        <f>AE7*Inputs!$C$48</f>
        <v>105.48829468885964</v>
      </c>
      <c r="AF42" s="14">
        <f>AF7*Inputs!$C$48</f>
        <v>105.48825886592341</v>
      </c>
      <c r="AG42" s="14">
        <f>AG7*Inputs!$C$48</f>
        <v>105.97507777271746</v>
      </c>
      <c r="AH42" s="14">
        <f>AH7*Inputs!$C$48</f>
        <v>105.97506687008467</v>
      </c>
    </row>
    <row r="43" spans="1:36" ht="15">
      <c r="A43" s="8" t="s">
        <v>59</v>
      </c>
      <c r="B43" s="34">
        <v>0</v>
      </c>
      <c r="C43" s="331">
        <f>C8*Inputs!$C$53</f>
        <v>0</v>
      </c>
      <c r="D43" s="331">
        <f>D8*Inputs!$C$53</f>
        <v>0</v>
      </c>
      <c r="E43" s="331">
        <f>E8*Inputs!$C$53</f>
        <v>0</v>
      </c>
      <c r="F43" s="331">
        <f>F8*Inputs!$C$53</f>
        <v>0</v>
      </c>
      <c r="G43" s="331">
        <f>G8*Inputs!$C$53</f>
        <v>0</v>
      </c>
      <c r="H43" s="14">
        <f>H8*Inputs!$C$53</f>
        <v>0</v>
      </c>
      <c r="I43" s="14">
        <f>I8*Inputs!$C$53</f>
        <v>0</v>
      </c>
      <c r="J43" s="14">
        <f>J8*Inputs!$C$53</f>
        <v>0</v>
      </c>
      <c r="K43" s="14">
        <f>K8*Inputs!$C$53</f>
        <v>0</v>
      </c>
      <c r="L43" s="14">
        <f>L8*Inputs!$C$53</f>
        <v>0</v>
      </c>
      <c r="M43" s="14">
        <f>M8*Inputs!$C$53</f>
        <v>0</v>
      </c>
      <c r="N43" s="190">
        <f>N8*Inputs!$C$53</f>
        <v>0</v>
      </c>
      <c r="O43" s="14">
        <f>O8*Inputs!$C$53</f>
        <v>0</v>
      </c>
      <c r="P43" s="14">
        <f>P8*Inputs!$C$53</f>
        <v>0</v>
      </c>
      <c r="Q43" s="14">
        <f>Q8*Inputs!$C$53</f>
        <v>0</v>
      </c>
      <c r="R43" s="14">
        <f>R8*Inputs!$C$53</f>
        <v>0</v>
      </c>
      <c r="S43" s="14">
        <f>S8*Inputs!$C$53</f>
        <v>0</v>
      </c>
      <c r="T43" s="14">
        <f>T8*Inputs!$C$53</f>
        <v>0</v>
      </c>
      <c r="U43" s="14">
        <f>U8*Inputs!$C$53</f>
        <v>0</v>
      </c>
      <c r="V43" s="14">
        <f>V8*Inputs!$C$53</f>
        <v>0</v>
      </c>
      <c r="W43" s="14">
        <f>W8*Inputs!$C$53</f>
        <v>0</v>
      </c>
      <c r="X43" s="187">
        <f>X8*Inputs!$C$53</f>
        <v>0</v>
      </c>
      <c r="Y43" s="14">
        <f>Y8*Inputs!$C$53</f>
        <v>0</v>
      </c>
      <c r="Z43" s="14">
        <f>Z8*Inputs!$C$53</f>
        <v>0</v>
      </c>
      <c r="AA43" s="14">
        <f>AA8*Inputs!$C$53</f>
        <v>0</v>
      </c>
      <c r="AB43" s="14">
        <f>AB8*Inputs!$C$53</f>
        <v>0</v>
      </c>
      <c r="AC43" s="14">
        <f>AC8*Inputs!$C$53</f>
        <v>0</v>
      </c>
      <c r="AD43" s="14">
        <f>AD8*Inputs!$C$53</f>
        <v>0</v>
      </c>
      <c r="AE43" s="14">
        <f>AE8*Inputs!$C$53</f>
        <v>0</v>
      </c>
      <c r="AF43" s="14">
        <f>AF8*Inputs!$C$53</f>
        <v>0</v>
      </c>
      <c r="AG43" s="14">
        <f>AG8*Inputs!$C$53</f>
        <v>0</v>
      </c>
      <c r="AH43" s="14">
        <f>AH8*Inputs!$C$53</f>
        <v>0</v>
      </c>
    </row>
    <row r="44" spans="1:36" ht="15">
      <c r="A44" s="8" t="s">
        <v>121</v>
      </c>
      <c r="B44" s="34">
        <v>1</v>
      </c>
      <c r="C44" s="331">
        <f>C10*Inputs!$C$46</f>
        <v>0</v>
      </c>
      <c r="D44" s="331">
        <f>D10*Inputs!$C$46</f>
        <v>0</v>
      </c>
      <c r="E44" s="331">
        <f>E10*Inputs!$C$46</f>
        <v>0.54702815999999999</v>
      </c>
      <c r="F44" s="331">
        <f>F10*Inputs!$C$46</f>
        <v>0.52954230000000002</v>
      </c>
      <c r="G44" s="331">
        <f>G10*Inputs!$C$46</f>
        <v>0.52045098000000001</v>
      </c>
      <c r="H44" s="14">
        <f>H10*Inputs!$C$46</f>
        <v>0.55617618000000002</v>
      </c>
      <c r="I44" s="14">
        <f>I10*Inputs!$C$46</f>
        <v>0.55135058999999997</v>
      </c>
      <c r="J44" s="14">
        <f>J10*Inputs!$C$46</f>
        <v>0.59725805999999992</v>
      </c>
      <c r="K44" s="14">
        <f>K10*Inputs!$C$46</f>
        <v>0.65374428000000007</v>
      </c>
      <c r="L44" s="14">
        <f>L10*Inputs!$C$46</f>
        <v>0.79880640000000003</v>
      </c>
      <c r="M44" s="14">
        <f>M10*Inputs!$C$46</f>
        <v>0.8912435700000001</v>
      </c>
      <c r="N44" s="190">
        <f>N10*Inputs!$C$46</f>
        <v>0.90701477999999991</v>
      </c>
      <c r="O44" s="14">
        <f>O10*Inputs!$C$46</f>
        <v>0.95161814999999994</v>
      </c>
      <c r="P44" s="14">
        <f>P10*Inputs!$C$46</f>
        <v>0.97393233000000001</v>
      </c>
      <c r="Q44" s="14">
        <f>Q10*Inputs!$C$46</f>
        <v>0.98994881999999995</v>
      </c>
      <c r="R44" s="14">
        <f>R10*Inputs!$C$46</f>
        <v>1.0230721199999999</v>
      </c>
      <c r="S44" s="14">
        <f>S10*Inputs!$C$46</f>
        <v>1.0357307099999999</v>
      </c>
      <c r="T44" s="14">
        <f>T10*Inputs!$C$46</f>
        <v>1.09511976</v>
      </c>
      <c r="U44" s="14">
        <f>U10*Inputs!$C$46</f>
        <v>1.11759648</v>
      </c>
      <c r="V44" s="14">
        <f>V10*Inputs!$C$46</f>
        <v>1.1267864999999999</v>
      </c>
      <c r="W44" s="14">
        <f>W10*Inputs!$C$46</f>
        <v>1.14596685</v>
      </c>
      <c r="X44" s="187">
        <f>X10*Inputs!$C$46</f>
        <v>1.16219166</v>
      </c>
      <c r="Y44" s="14">
        <f>Y10*Inputs!$C$46</f>
        <v>1.1823888300000001</v>
      </c>
      <c r="Z44" s="14">
        <f>Z10*Inputs!$C$46</f>
        <v>1.2515817300000003</v>
      </c>
      <c r="AA44" s="14">
        <f>AA10*Inputs!$C$46</f>
        <v>1.2743127599999999</v>
      </c>
      <c r="AB44" s="14">
        <f>AB10*Inputs!$C$46</f>
        <v>1.3032568499999999</v>
      </c>
      <c r="AC44" s="14">
        <f>AC10*Inputs!$C$46</f>
        <v>1.33424823</v>
      </c>
      <c r="AD44" s="14">
        <f>AD10*Inputs!$C$46</f>
        <v>1.3626595500000001</v>
      </c>
      <c r="AE44" s="14">
        <f>AE10*Inputs!$C$46</f>
        <v>1.4210137199999999</v>
      </c>
      <c r="AF44" s="14">
        <f>AF10*Inputs!$C$46</f>
        <v>1.4512919399999999</v>
      </c>
      <c r="AG44" s="14">
        <f>AG10*Inputs!$C$46</f>
        <v>1.4895421799999999</v>
      </c>
      <c r="AH44" s="14">
        <f>AH10*Inputs!$C$46</f>
        <v>1.5298413899999999</v>
      </c>
    </row>
    <row r="45" spans="1:36" ht="15">
      <c r="A45" s="8" t="s">
        <v>50</v>
      </c>
      <c r="B45" s="34">
        <v>1</v>
      </c>
      <c r="C45" s="331">
        <f>C11*Inputs!$C$49</f>
        <v>69.75</v>
      </c>
      <c r="D45" s="331">
        <f>D11*Inputs!$C$49</f>
        <v>69.25</v>
      </c>
      <c r="E45" s="331">
        <f>E11*Inputs!$C$49</f>
        <v>62.766086775593827</v>
      </c>
      <c r="F45" s="331">
        <f>F11*Inputs!$C$49</f>
        <v>65.27159075128283</v>
      </c>
      <c r="G45" s="331">
        <f>G11*Inputs!$C$49</f>
        <v>77.531696263091817</v>
      </c>
      <c r="H45" s="14">
        <f>H11*Inputs!$C$49</f>
        <v>84.574314598449376</v>
      </c>
      <c r="I45" s="14">
        <f>I11*Inputs!$C$49</f>
        <v>84.574314598449376</v>
      </c>
      <c r="J45" s="14">
        <f>J11*Inputs!$C$49</f>
        <v>110.25977770183781</v>
      </c>
      <c r="K45" s="14">
        <f>K11*Inputs!$C$49</f>
        <v>147.61558922737302</v>
      </c>
      <c r="L45" s="14">
        <f>L11*Inputs!$C$49</f>
        <v>172.06384731630456</v>
      </c>
      <c r="M45" s="14">
        <f>M11*Inputs!$C$49</f>
        <v>178.2278368023413</v>
      </c>
      <c r="N45" s="190">
        <f>N11*Inputs!$C$49</f>
        <v>178.61654325887739</v>
      </c>
      <c r="O45" s="14">
        <f>O11*Inputs!$C$49</f>
        <v>191.44738972760996</v>
      </c>
      <c r="P45" s="14">
        <f>P11*Inputs!$C$49</f>
        <v>213.18498161145857</v>
      </c>
      <c r="Q45" s="14">
        <f>Q11*Inputs!$C$49</f>
        <v>239.51015127479377</v>
      </c>
      <c r="R45" s="14">
        <f>R11*Inputs!$C$49</f>
        <v>267.24460268076234</v>
      </c>
      <c r="S45" s="14">
        <f>S11*Inputs!$C$49</f>
        <v>290.77128501248211</v>
      </c>
      <c r="T45" s="14">
        <f>T11*Inputs!$C$49</f>
        <v>319.99503367907681</v>
      </c>
      <c r="U45" s="14">
        <f>U11*Inputs!$C$49</f>
        <v>346.38916894543519</v>
      </c>
      <c r="V45" s="14">
        <f>V11*Inputs!$C$49</f>
        <v>360.69884095304951</v>
      </c>
      <c r="W45" s="14">
        <f>W11*Inputs!$C$49</f>
        <v>364.09534068870852</v>
      </c>
      <c r="X45" s="187">
        <f>X11*Inputs!$C$49</f>
        <v>377.69573021828188</v>
      </c>
      <c r="Y45" s="14">
        <f>Y11*Inputs!$C$49</f>
        <v>411.98827403692474</v>
      </c>
      <c r="Z45" s="14">
        <f>Z11*Inputs!$C$49</f>
        <v>467.52158114977544</v>
      </c>
      <c r="AA45" s="14">
        <f>AA11*Inputs!$C$49</f>
        <v>515.50339564543685</v>
      </c>
      <c r="AB45" s="14">
        <f>AB11*Inputs!$C$49</f>
        <v>563.5698190830467</v>
      </c>
      <c r="AC45" s="14">
        <f>AC11*Inputs!$C$49</f>
        <v>576.74876999517085</v>
      </c>
      <c r="AD45" s="14">
        <f>AD11*Inputs!$C$49</f>
        <v>588.04432072003135</v>
      </c>
      <c r="AE45" s="14">
        <f>AE11*Inputs!$C$49</f>
        <v>596.68210991991089</v>
      </c>
      <c r="AF45" s="14">
        <f>AF11*Inputs!$C$49</f>
        <v>610.30129072930197</v>
      </c>
      <c r="AG45" s="14">
        <f>AG11*Inputs!$C$49</f>
        <v>625.65579001662434</v>
      </c>
      <c r="AH45" s="14">
        <f>AH11*Inputs!$C$49</f>
        <v>627.52499234802599</v>
      </c>
    </row>
    <row r="46" spans="1:36" ht="15">
      <c r="A46" s="8" t="s">
        <v>51</v>
      </c>
      <c r="B46" s="34">
        <v>1</v>
      </c>
      <c r="C46" s="331">
        <f>C12*Inputs!$C$52</f>
        <v>7.1999999999999993</v>
      </c>
      <c r="D46" s="331">
        <f>D12*Inputs!$C$52</f>
        <v>8.4</v>
      </c>
      <c r="E46" s="331">
        <f>E12*Inputs!$C$52</f>
        <v>9.3778026487463091</v>
      </c>
      <c r="F46" s="331">
        <f>F12*Inputs!$C$52</f>
        <v>11.005977033346911</v>
      </c>
      <c r="G46" s="331">
        <f>G12*Inputs!$C$52</f>
        <v>13.131963393508835</v>
      </c>
      <c r="H46" s="14">
        <f>H12*Inputs!$C$52</f>
        <v>11.73723504385895</v>
      </c>
      <c r="I46" s="14">
        <f>I12*Inputs!$C$52</f>
        <v>13.116914410908786</v>
      </c>
      <c r="J46" s="14">
        <f>J12*Inputs!$C$52</f>
        <v>11.736353325911185</v>
      </c>
      <c r="K46" s="14">
        <f>K12*Inputs!$C$52</f>
        <v>13.037126408821727</v>
      </c>
      <c r="L46" s="14">
        <f>L12*Inputs!$C$52</f>
        <v>10.249238868581555</v>
      </c>
      <c r="M46" s="14">
        <f>M12*Inputs!$C$52</f>
        <v>13.237635047893095</v>
      </c>
      <c r="N46" s="190">
        <f>N12*Inputs!$C$52</f>
        <v>14.591729650085643</v>
      </c>
      <c r="O46" s="14">
        <f>O12*Inputs!$C$52</f>
        <v>13.238800708908789</v>
      </c>
      <c r="P46" s="14">
        <f>P12*Inputs!$C$52</f>
        <v>11.752807079478865</v>
      </c>
      <c r="Q46" s="14">
        <f>Q12*Inputs!$C$52</f>
        <v>13.107409790319279</v>
      </c>
      <c r="R46" s="14">
        <f>R12*Inputs!$C$52</f>
        <v>14.637578983369606</v>
      </c>
      <c r="S46" s="14">
        <f>S12*Inputs!$C$52</f>
        <v>11.724173662734382</v>
      </c>
      <c r="T46" s="14">
        <f>T12*Inputs!$C$52</f>
        <v>13.058392250172146</v>
      </c>
      <c r="U46" s="14">
        <f>U12*Inputs!$C$52</f>
        <v>13.051652338401917</v>
      </c>
      <c r="V46" s="14">
        <f>V12*Inputs!$C$52</f>
        <v>13.232897681970337</v>
      </c>
      <c r="W46" s="14">
        <f>W12*Inputs!$C$52</f>
        <v>11.545214808081358</v>
      </c>
      <c r="X46" s="187">
        <f>X12*Inputs!$C$52</f>
        <v>11.604529020533787</v>
      </c>
      <c r="Y46" s="14">
        <f>Y12*Inputs!$C$52</f>
        <v>13.12047117144385</v>
      </c>
      <c r="Z46" s="14">
        <f>Z12*Inputs!$C$52</f>
        <v>11.5229626381792</v>
      </c>
      <c r="AA46" s="14">
        <f>AA12*Inputs!$C$52</f>
        <v>13.031253270627269</v>
      </c>
      <c r="AB46" s="14">
        <f>AB12*Inputs!$C$52</f>
        <v>13.049216405766556</v>
      </c>
      <c r="AC46" s="14">
        <f>AC12*Inputs!$C$52</f>
        <v>11.497347984577925</v>
      </c>
      <c r="AD46" s="14">
        <f>AD12*Inputs!$C$52</f>
        <v>13.015158181987495</v>
      </c>
      <c r="AE46" s="14">
        <f>AE12*Inputs!$C$52</f>
        <v>11.484988988937168</v>
      </c>
      <c r="AF46" s="14">
        <f>AF12*Inputs!$C$52</f>
        <v>11.502100294872676</v>
      </c>
      <c r="AG46" s="14">
        <f>AG12*Inputs!$C$52</f>
        <v>11.496615710350119</v>
      </c>
      <c r="AH46" s="14">
        <f>AH12*Inputs!$C$52</f>
        <v>11.732781621004124</v>
      </c>
    </row>
    <row r="47" spans="1:36" ht="15">
      <c r="A47" s="8" t="s">
        <v>347</v>
      </c>
      <c r="B47" s="34">
        <v>1</v>
      </c>
      <c r="C47" s="331">
        <f>C13*Inputs!$C$54</f>
        <v>0</v>
      </c>
      <c r="D47" s="331">
        <f>D13*Inputs!$C$54</f>
        <v>0</v>
      </c>
      <c r="E47" s="331">
        <f>E13*Inputs!$C$54</f>
        <v>1.5800000000000002E-2</v>
      </c>
      <c r="F47" s="331">
        <f>F13*Inputs!$C$54</f>
        <v>1.5800000000000002E-2</v>
      </c>
      <c r="G47" s="331">
        <f>G13*Inputs!$C$54</f>
        <v>1.5800000000000002E-2</v>
      </c>
      <c r="H47" s="14">
        <f>H13*Inputs!$C$54</f>
        <v>1.5800000000000002E-2</v>
      </c>
      <c r="I47" s="14">
        <f>I13*Inputs!$C$54</f>
        <v>1.5800000000000002E-2</v>
      </c>
      <c r="J47" s="14">
        <f>J13*Inputs!$C$54</f>
        <v>1.5800000000000002E-2</v>
      </c>
      <c r="K47" s="14">
        <f>K13*Inputs!$C$54</f>
        <v>1.5800000000000002E-2</v>
      </c>
      <c r="L47" s="14">
        <f>L13*Inputs!$C$54</f>
        <v>1.5800000000000002E-2</v>
      </c>
      <c r="M47" s="14">
        <f>M13*Inputs!$C$54</f>
        <v>1.5800000000000002E-2</v>
      </c>
      <c r="N47" s="190">
        <f>N13*Inputs!$C$54</f>
        <v>1.5800000000000002E-2</v>
      </c>
      <c r="O47" s="14">
        <f>O13*Inputs!$C$54</f>
        <v>1.5800000000000002E-2</v>
      </c>
      <c r="P47" s="14">
        <f>P13*Inputs!$C$54</f>
        <v>1.5800000000000002E-2</v>
      </c>
      <c r="Q47" s="14">
        <f>Q13*Inputs!$C$54</f>
        <v>1.5800000000000002E-2</v>
      </c>
      <c r="R47" s="14">
        <f>R13*Inputs!$C$54</f>
        <v>1.5800000000000002E-2</v>
      </c>
      <c r="S47" s="14">
        <f>S13*Inputs!$C$54</f>
        <v>1.5800000000000002E-2</v>
      </c>
      <c r="T47" s="14">
        <f>T13*Inputs!$C$54</f>
        <v>1.5800000000000002E-2</v>
      </c>
      <c r="U47" s="14">
        <f>U13*Inputs!$C$54</f>
        <v>1.5800000000000002E-2</v>
      </c>
      <c r="V47" s="14">
        <f>V13*Inputs!$C$54</f>
        <v>1.5800000000000002E-2</v>
      </c>
      <c r="W47" s="14">
        <f>W13*Inputs!$C$54</f>
        <v>1.5800000000000002E-2</v>
      </c>
      <c r="X47" s="187">
        <f>X13*Inputs!$C$54</f>
        <v>1.5800000000000002E-2</v>
      </c>
      <c r="Y47" s="14">
        <f>Y13*Inputs!$C$54</f>
        <v>1.5800000000000002E-2</v>
      </c>
      <c r="Z47" s="14">
        <f>Z13*Inputs!$C$54</f>
        <v>1.5800000000000002E-2</v>
      </c>
      <c r="AA47" s="14">
        <f>AA13*Inputs!$C$54</f>
        <v>1.5800000000000002E-2</v>
      </c>
      <c r="AB47" s="14">
        <f>AB13*Inputs!$C$54</f>
        <v>1.5800000000000002E-2</v>
      </c>
      <c r="AC47" s="14">
        <f>AC13*Inputs!$C$54</f>
        <v>1.5800000000000002E-2</v>
      </c>
      <c r="AD47" s="14">
        <f>AD13*Inputs!$C$54</f>
        <v>1.5800000000000002E-2</v>
      </c>
      <c r="AE47" s="14">
        <f>AE13*Inputs!$C$54</f>
        <v>1.5800000000000002E-2</v>
      </c>
      <c r="AF47" s="14">
        <f>AF13*Inputs!$C$54</f>
        <v>1.5800000000000002E-2</v>
      </c>
      <c r="AG47" s="14">
        <f>AG13*Inputs!$C$54</f>
        <v>1.5800000000000002E-2</v>
      </c>
      <c r="AH47" s="14">
        <f>AH13*Inputs!$C$54</f>
        <v>1.5800000000000002E-2</v>
      </c>
    </row>
    <row r="48" spans="1:36" ht="15">
      <c r="A48" s="8" t="s">
        <v>348</v>
      </c>
      <c r="B48" s="34">
        <v>1</v>
      </c>
      <c r="C48" s="331">
        <f>C14*Inputs!$C$55</f>
        <v>0</v>
      </c>
      <c r="D48" s="331">
        <f>D14*Inputs!$C$55</f>
        <v>0</v>
      </c>
      <c r="E48" s="331">
        <f>E14*Inputs!$C$55</f>
        <v>2.3E-3</v>
      </c>
      <c r="F48" s="331">
        <f>F14*Inputs!$C$55</f>
        <v>2.3E-3</v>
      </c>
      <c r="G48" s="331">
        <f>G14*Inputs!$C$55</f>
        <v>2.3E-3</v>
      </c>
      <c r="H48" s="14">
        <f>H14*Inputs!$C$55</f>
        <v>2.3E-3</v>
      </c>
      <c r="I48" s="14">
        <f>I14*Inputs!$C$55</f>
        <v>2.3E-3</v>
      </c>
      <c r="J48" s="14">
        <f>J14*Inputs!$C$55</f>
        <v>2.3E-3</v>
      </c>
      <c r="K48" s="14">
        <f>K14*Inputs!$C$55</f>
        <v>2.3E-3</v>
      </c>
      <c r="L48" s="14">
        <f>L14*Inputs!$C$55</f>
        <v>2.3E-3</v>
      </c>
      <c r="M48" s="14">
        <f>M14*Inputs!$C$55</f>
        <v>2.3E-3</v>
      </c>
      <c r="N48" s="190">
        <f>N14*Inputs!$C$55</f>
        <v>2.3E-3</v>
      </c>
      <c r="O48" s="14">
        <f>O14*Inputs!$C$55</f>
        <v>2.3E-3</v>
      </c>
      <c r="P48" s="14">
        <f>P14*Inputs!$C$55</f>
        <v>2.3E-3</v>
      </c>
      <c r="Q48" s="14">
        <f>Q14*Inputs!$C$55</f>
        <v>2.3E-3</v>
      </c>
      <c r="R48" s="14">
        <f>R14*Inputs!$C$55</f>
        <v>2.3E-3</v>
      </c>
      <c r="S48" s="14">
        <f>S14*Inputs!$C$55</f>
        <v>2.3E-3</v>
      </c>
      <c r="T48" s="14">
        <f>T14*Inputs!$C$55</f>
        <v>2.3E-3</v>
      </c>
      <c r="U48" s="14">
        <f>U14*Inputs!$C$55</f>
        <v>2.3E-3</v>
      </c>
      <c r="V48" s="14">
        <f>V14*Inputs!$C$55</f>
        <v>2.3E-3</v>
      </c>
      <c r="W48" s="14">
        <f>W14*Inputs!$C$55</f>
        <v>2.3E-3</v>
      </c>
      <c r="X48" s="187">
        <f>X14*Inputs!$C$55</f>
        <v>2.3E-3</v>
      </c>
      <c r="Y48" s="14">
        <f>Y14*Inputs!$C$55</f>
        <v>2.3E-3</v>
      </c>
      <c r="Z48" s="14">
        <f>Z14*Inputs!$C$55</f>
        <v>2.3E-3</v>
      </c>
      <c r="AA48" s="14">
        <f>AA14*Inputs!$C$55</f>
        <v>2.3E-3</v>
      </c>
      <c r="AB48" s="14">
        <f>AB14*Inputs!$C$55</f>
        <v>2.3E-3</v>
      </c>
      <c r="AC48" s="14">
        <f>AC14*Inputs!$C$55</f>
        <v>2.3E-3</v>
      </c>
      <c r="AD48" s="14">
        <f>AD14*Inputs!$C$55</f>
        <v>2.3E-3</v>
      </c>
      <c r="AE48" s="14">
        <f>AE14*Inputs!$C$55</f>
        <v>2.3E-3</v>
      </c>
      <c r="AF48" s="14">
        <f>AF14*Inputs!$C$55</f>
        <v>2.3E-3</v>
      </c>
      <c r="AG48" s="14">
        <f>AG14*Inputs!$C$55</f>
        <v>2.3E-3</v>
      </c>
      <c r="AH48" s="14">
        <f>AH14*Inputs!$C$55</f>
        <v>2.3E-3</v>
      </c>
    </row>
    <row r="49" spans="1:34" ht="15">
      <c r="A49" s="8" t="s">
        <v>344</v>
      </c>
      <c r="B49" s="34">
        <v>1</v>
      </c>
      <c r="C49" s="331">
        <f>C15*Inputs!$C$51</f>
        <v>2.7000000000000001E-3</v>
      </c>
      <c r="D49" s="331">
        <f>D15*Inputs!$C$51</f>
        <v>2.7000000000000001E-3</v>
      </c>
      <c r="E49" s="331">
        <f>E15*Inputs!$C$51</f>
        <v>2.7000000000000001E-3</v>
      </c>
      <c r="F49" s="331">
        <f>F15*Inputs!$C$51</f>
        <v>2.7000000000000001E-3</v>
      </c>
      <c r="G49" s="331">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0">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7">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331">
        <f>C16*Inputs!$C$57</f>
        <v>27.200000000000003</v>
      </c>
      <c r="D50" s="331">
        <f>D16*Inputs!$C$57</f>
        <v>76.160000000000011</v>
      </c>
      <c r="E50" s="331">
        <f>E16*Inputs!$C$57</f>
        <v>102.00983025000002</v>
      </c>
      <c r="F50" s="331">
        <f>F16*Inputs!$C$57</f>
        <v>116.43431750000002</v>
      </c>
      <c r="G50" s="331">
        <f>G16*Inputs!$C$57</f>
        <v>137.00892875000002</v>
      </c>
      <c r="H50" s="14">
        <f>H16*Inputs!$C$57</f>
        <v>137.43380125000002</v>
      </c>
      <c r="I50" s="14">
        <f>I16*Inputs!$C$57</f>
        <v>147.04647250000002</v>
      </c>
      <c r="J50" s="14">
        <f>J16*Inputs!$C$57</f>
        <v>152.55135300000001</v>
      </c>
      <c r="K50" s="14">
        <f>K16*Inputs!$C$57</f>
        <v>152.56016750000001</v>
      </c>
      <c r="L50" s="14">
        <f>L16*Inputs!$C$57</f>
        <v>152.55642750000001</v>
      </c>
      <c r="M50" s="14">
        <f>M16*Inputs!$C$57</f>
        <v>152.54758325</v>
      </c>
      <c r="N50" s="190">
        <f>N16*Inputs!$C$57</f>
        <v>152.54521600000001</v>
      </c>
      <c r="O50" s="14">
        <f>O16*Inputs!$C$57</f>
        <v>152.54421300000001</v>
      </c>
      <c r="P50" s="14">
        <f>P16*Inputs!$C$57</f>
        <v>152.59391675000003</v>
      </c>
      <c r="Q50" s="14">
        <f>Q16*Inputs!$C$57</f>
        <v>152.56045225000003</v>
      </c>
      <c r="R50" s="14">
        <f>R16*Inputs!$C$57</f>
        <v>152.55783425000001</v>
      </c>
      <c r="S50" s="14">
        <f>S16*Inputs!$C$57</f>
        <v>152.70522425000004</v>
      </c>
      <c r="T50" s="14">
        <f>T16*Inputs!$C$57</f>
        <v>152.93552750000001</v>
      </c>
      <c r="U50" s="14">
        <f>U16*Inputs!$C$57</f>
        <v>153.15490400000002</v>
      </c>
      <c r="V50" s="14">
        <f>V16*Inputs!$C$57</f>
        <v>153.25652150000005</v>
      </c>
      <c r="W50" s="14">
        <f>W16*Inputs!$C$57</f>
        <v>153.29657350000002</v>
      </c>
      <c r="X50" s="187">
        <f>X16*Inputs!$C$57</f>
        <v>153.47984200000002</v>
      </c>
      <c r="Y50" s="14">
        <f>Y16*Inputs!$C$57</f>
        <v>153.70228700000001</v>
      </c>
      <c r="Z50" s="14">
        <f>Z16*Inputs!$C$57</f>
        <v>153.92207999999999</v>
      </c>
      <c r="AA50" s="14">
        <f>AA16*Inputs!$C$57</f>
        <v>154.15547725000002</v>
      </c>
      <c r="AB50" s="14">
        <f>AB16*Inputs!$C$57</f>
        <v>155.13258625</v>
      </c>
      <c r="AC50" s="14">
        <f>AC16*Inputs!$C$57</f>
        <v>155.80989600000001</v>
      </c>
      <c r="AD50" s="14">
        <f>AD16*Inputs!$C$57</f>
        <v>168.64362100000002</v>
      </c>
      <c r="AE50" s="14">
        <f>AE16*Inputs!$C$57</f>
        <v>183.42444950000001</v>
      </c>
      <c r="AF50" s="14">
        <f>AF16*Inputs!$C$57</f>
        <v>187.47464850000006</v>
      </c>
      <c r="AG50" s="14">
        <f>AG16*Inputs!$C$57</f>
        <v>188.91634625000003</v>
      </c>
      <c r="AH50" s="14">
        <f>AH16*Inputs!$C$57</f>
        <v>191.44367675000001</v>
      </c>
    </row>
    <row r="51" spans="1:34" s="20" customFormat="1" ht="15">
      <c r="A51" s="8" t="s">
        <v>128</v>
      </c>
      <c r="B51" s="38"/>
      <c r="C51" s="334">
        <f t="shared" ref="C51:AH51" si="21">SUMPRODUCT($B42:$B50,C42:C50)</f>
        <v>104.15270000000001</v>
      </c>
      <c r="D51" s="334">
        <f t="shared" si="21"/>
        <v>153.81270000000001</v>
      </c>
      <c r="E51" s="334">
        <f t="shared" si="21"/>
        <v>174.72154783434019</v>
      </c>
      <c r="F51" s="334">
        <f t="shared" si="21"/>
        <v>193.26222758462978</v>
      </c>
      <c r="G51" s="334">
        <f t="shared" si="21"/>
        <v>228.21383938660068</v>
      </c>
      <c r="H51" s="19">
        <f t="shared" si="21"/>
        <v>234.32232707230833</v>
      </c>
      <c r="I51" s="19">
        <f t="shared" si="21"/>
        <v>245.30985209935818</v>
      </c>
      <c r="J51" s="19">
        <f t="shared" si="21"/>
        <v>275.16554208774903</v>
      </c>
      <c r="K51" s="19">
        <f t="shared" si="21"/>
        <v>313.88742741619478</v>
      </c>
      <c r="L51" s="19">
        <f t="shared" si="21"/>
        <v>335.6891200848861</v>
      </c>
      <c r="M51" s="19">
        <f t="shared" si="21"/>
        <v>344.92509867023443</v>
      </c>
      <c r="N51" s="190">
        <f t="shared" si="21"/>
        <v>346.68130368896306</v>
      </c>
      <c r="O51" s="19">
        <f t="shared" si="21"/>
        <v>358.20282158651878</v>
      </c>
      <c r="P51" s="19">
        <f t="shared" si="21"/>
        <v>378.52643777093749</v>
      </c>
      <c r="Q51" s="19">
        <f t="shared" si="21"/>
        <v>406.18876213511305</v>
      </c>
      <c r="R51" s="19">
        <f t="shared" si="21"/>
        <v>435.48388803413195</v>
      </c>
      <c r="S51" s="19">
        <f t="shared" si="21"/>
        <v>456.25721363521654</v>
      </c>
      <c r="T51" s="19">
        <f t="shared" si="21"/>
        <v>487.10487318924891</v>
      </c>
      <c r="U51" s="19">
        <f t="shared" si="21"/>
        <v>513.73412176383715</v>
      </c>
      <c r="V51" s="19">
        <f t="shared" si="21"/>
        <v>528.33584663501983</v>
      </c>
      <c r="W51" s="19">
        <f t="shared" si="21"/>
        <v>530.1038958467899</v>
      </c>
      <c r="X51" s="182">
        <f t="shared" si="21"/>
        <v>543.96309289881572</v>
      </c>
      <c r="Y51" s="19">
        <f t="shared" si="21"/>
        <v>580.01422103836853</v>
      </c>
      <c r="Z51" s="19">
        <f t="shared" si="21"/>
        <v>634.23900551795464</v>
      </c>
      <c r="AA51" s="19">
        <f t="shared" si="21"/>
        <v>683.9852389260642</v>
      </c>
      <c r="AB51" s="19">
        <f t="shared" si="21"/>
        <v>733.07567858881328</v>
      </c>
      <c r="AC51" s="19">
        <f t="shared" si="21"/>
        <v>745.41106220974871</v>
      </c>
      <c r="AD51" s="19">
        <f t="shared" si="21"/>
        <v>771.08655945201895</v>
      </c>
      <c r="AE51" s="19">
        <f t="shared" si="21"/>
        <v>793.03336212884813</v>
      </c>
      <c r="AF51" s="19">
        <f t="shared" si="21"/>
        <v>810.75013146417473</v>
      </c>
      <c r="AG51" s="19">
        <f t="shared" si="21"/>
        <v>827.57909415697452</v>
      </c>
      <c r="AH51" s="19">
        <f t="shared" si="21"/>
        <v>832.25209210903017</v>
      </c>
    </row>
    <row r="52" spans="1:34" s="20" customFormat="1" ht="15">
      <c r="A52" s="27" t="s">
        <v>329</v>
      </c>
      <c r="B52" s="39"/>
      <c r="C52" s="334">
        <f>SUM(C40:C50)</f>
        <v>229.40119999999996</v>
      </c>
      <c r="D52" s="334">
        <f t="shared" ref="D52:I52" si="22">SUM(D42:D50)</f>
        <v>258.21120000000002</v>
      </c>
      <c r="E52" s="334">
        <f t="shared" si="22"/>
        <v>301.05212989438269</v>
      </c>
      <c r="F52" s="334">
        <f t="shared" si="22"/>
        <v>312.01024349598231</v>
      </c>
      <c r="G52" s="334">
        <f t="shared" si="22"/>
        <v>325.87285069246911</v>
      </c>
      <c r="H52" s="19">
        <f t="shared" si="22"/>
        <v>334.05855625517307</v>
      </c>
      <c r="I52" s="19">
        <f t="shared" si="22"/>
        <v>346.6892131720594</v>
      </c>
      <c r="J52" s="19">
        <f t="shared" ref="J52:AH52" si="23">SUM(J42:J50)</f>
        <v>378.33523694652934</v>
      </c>
      <c r="K52" s="19">
        <f t="shared" si="23"/>
        <v>418.31590832459267</v>
      </c>
      <c r="L52" s="19">
        <f t="shared" si="23"/>
        <v>439.66986413114614</v>
      </c>
      <c r="M52" s="19">
        <f t="shared" si="23"/>
        <v>448.9058769819116</v>
      </c>
      <c r="N52" s="190">
        <f t="shared" si="23"/>
        <v>450.66204773522304</v>
      </c>
      <c r="O52" s="19">
        <f t="shared" si="23"/>
        <v>462.72131463100374</v>
      </c>
      <c r="P52" s="19">
        <f t="shared" si="23"/>
        <v>483.04489655000521</v>
      </c>
      <c r="Q52" s="19">
        <f t="shared" si="23"/>
        <v>510.70720923278856</v>
      </c>
      <c r="R52" s="19">
        <f t="shared" si="23"/>
        <v>540.00233513180751</v>
      </c>
      <c r="S52" s="19">
        <f t="shared" si="23"/>
        <v>560.77566073289199</v>
      </c>
      <c r="T52" s="19">
        <f t="shared" si="23"/>
        <v>591.6233078267727</v>
      </c>
      <c r="U52" s="19">
        <f t="shared" si="23"/>
        <v>618.25255640136095</v>
      </c>
      <c r="V52" s="19">
        <f t="shared" si="23"/>
        <v>632.85428127254363</v>
      </c>
      <c r="W52" s="19">
        <f t="shared" si="23"/>
        <v>635.25365833705803</v>
      </c>
      <c r="X52" s="182">
        <f t="shared" si="23"/>
        <v>649.11285538908385</v>
      </c>
      <c r="Y52" s="19">
        <f t="shared" si="23"/>
        <v>685.30095797658873</v>
      </c>
      <c r="Z52" s="19">
        <f t="shared" si="23"/>
        <v>739.52574323493423</v>
      </c>
      <c r="AA52" s="19">
        <f t="shared" si="23"/>
        <v>789.27197664304379</v>
      </c>
      <c r="AB52" s="19">
        <f t="shared" si="23"/>
        <v>838.36241630579286</v>
      </c>
      <c r="AC52" s="19">
        <f t="shared" si="23"/>
        <v>850.89934599597564</v>
      </c>
      <c r="AD52" s="19">
        <f t="shared" si="23"/>
        <v>876.57487828242256</v>
      </c>
      <c r="AE52" s="19">
        <f t="shared" si="23"/>
        <v>898.52165681770771</v>
      </c>
      <c r="AF52" s="19">
        <f t="shared" si="23"/>
        <v>916.23839033009813</v>
      </c>
      <c r="AG52" s="19">
        <f t="shared" si="23"/>
        <v>933.55417192969207</v>
      </c>
      <c r="AH52" s="19">
        <f t="shared" si="23"/>
        <v>938.22715897911485</v>
      </c>
    </row>
    <row r="53" spans="1:34" s="20" customFormat="1" ht="15">
      <c r="A53" s="27" t="s">
        <v>330</v>
      </c>
      <c r="B53" s="39"/>
      <c r="C53" s="334">
        <f>C20*Inputs!$C$60</f>
        <v>3907.86</v>
      </c>
      <c r="D53" s="334">
        <f>D20*Inputs!$C$60</f>
        <v>3746.27</v>
      </c>
      <c r="E53" s="334">
        <f>E20*Inputs!$C$60</f>
        <v>3851.1589533999995</v>
      </c>
      <c r="F53" s="334">
        <f>F20*Inputs!$C$60</f>
        <v>3861.8645296000004</v>
      </c>
      <c r="G53" s="334">
        <f>G20*Inputs!$C$60</f>
        <v>3577.3385087000001</v>
      </c>
      <c r="H53" s="19">
        <f>H20*Inputs!$C$60</f>
        <v>3714.9218369999994</v>
      </c>
      <c r="I53" s="19">
        <f>I20*Inputs!$C$60</f>
        <v>4023.6894335000002</v>
      </c>
      <c r="J53" s="19">
        <f>J20*Inputs!$C$60</f>
        <v>4000.3707886999996</v>
      </c>
      <c r="K53" s="19">
        <f>K20*Inputs!$C$60</f>
        <v>4120.1618919999992</v>
      </c>
      <c r="L53" s="19">
        <f>L20*Inputs!$C$60</f>
        <v>4146.5865121999996</v>
      </c>
      <c r="M53" s="19">
        <f>M20*Inputs!$C$60</f>
        <v>4138.5793888999997</v>
      </c>
      <c r="N53" s="190">
        <f>N20*Inputs!$C$60</f>
        <v>4141.4717938000003</v>
      </c>
      <c r="O53" s="19">
        <f>O20*Inputs!$C$60</f>
        <v>4019.4351537999996</v>
      </c>
      <c r="P53" s="19">
        <f>P20*Inputs!$C$60</f>
        <v>3967.5381602999996</v>
      </c>
      <c r="Q53" s="19">
        <f>Q20*Inputs!$C$60</f>
        <v>3969.0166614999998</v>
      </c>
      <c r="R53" s="19">
        <f>R20*Inputs!$C$60</f>
        <v>3968.726212</v>
      </c>
      <c r="S53" s="19">
        <f>S20*Inputs!$C$60</f>
        <v>3970.2938098999994</v>
      </c>
      <c r="T53" s="19">
        <f>T20*Inputs!$C$60</f>
        <v>3957.1108796999988</v>
      </c>
      <c r="U53" s="19">
        <f>U20*Inputs!$C$60</f>
        <v>3951.0942207000003</v>
      </c>
      <c r="V53" s="19">
        <f>V20*Inputs!$C$60</f>
        <v>3945.3144829999997</v>
      </c>
      <c r="W53" s="19">
        <f>W20*Inputs!$C$60</f>
        <v>3941.4108480999998</v>
      </c>
      <c r="X53" s="182">
        <f>X20*Inputs!$C$60</f>
        <v>3936.8164824999999</v>
      </c>
      <c r="Y53" s="19">
        <f>Y20*Inputs!$C$60</f>
        <v>3931.9694688999998</v>
      </c>
      <c r="Z53" s="19">
        <f>Z20*Inputs!$C$60</f>
        <v>3917.4539480999997</v>
      </c>
      <c r="AA53" s="19">
        <f>AA20*Inputs!$C$60</f>
        <v>3912.7250282999998</v>
      </c>
      <c r="AB53" s="19">
        <f>AB20*Inputs!$C$60</f>
        <v>3908.2996688999992</v>
      </c>
      <c r="AC53" s="19">
        <f>AC20*Inputs!$C$60</f>
        <v>3904.9155255000001</v>
      </c>
      <c r="AD53" s="19">
        <f>AD20*Inputs!$C$60</f>
        <v>3902.5989156000001</v>
      </c>
      <c r="AE53" s="19">
        <f>AE20*Inputs!$C$60</f>
        <v>3897.4232362999996</v>
      </c>
      <c r="AF53" s="19">
        <f>AF20*Inputs!$C$60</f>
        <v>3892.8451715999995</v>
      </c>
      <c r="AG53" s="19">
        <f>AG20*Inputs!$C$60</f>
        <v>3888.7873320999993</v>
      </c>
      <c r="AH53" s="19">
        <f>AH20*Inputs!$C$60</f>
        <v>3884.1853105</v>
      </c>
    </row>
    <row r="54" spans="1:34" s="20" customFormat="1" ht="15">
      <c r="A54" s="27" t="s">
        <v>222</v>
      </c>
      <c r="B54" s="39"/>
      <c r="C54" s="334">
        <f>C21*Inputs!$C$61</f>
        <v>708.84</v>
      </c>
      <c r="D54" s="334">
        <f>D21*Inputs!$C$61</f>
        <v>710.05</v>
      </c>
      <c r="E54" s="334">
        <f>E21*Inputs!$C$61</f>
        <v>728.57727799999998</v>
      </c>
      <c r="F54" s="334">
        <f>F21*Inputs!$C$61</f>
        <v>872.63648999999998</v>
      </c>
      <c r="G54" s="334">
        <f>G21*Inputs!$C$61</f>
        <v>1079.6821640000001</v>
      </c>
      <c r="H54" s="19">
        <f>H21*Inputs!$C$61</f>
        <v>1058.0266620000002</v>
      </c>
      <c r="I54" s="19">
        <f>I21*Inputs!$C$61</f>
        <v>684.18519400000002</v>
      </c>
      <c r="J54" s="19">
        <f>J21*Inputs!$C$61</f>
        <v>739.66560800000013</v>
      </c>
      <c r="K54" s="19">
        <f>K21*Inputs!$C$61</f>
        <v>734.93501400000002</v>
      </c>
      <c r="L54" s="19">
        <f>L21*Inputs!$C$61</f>
        <v>811.34884599999998</v>
      </c>
      <c r="M54" s="19">
        <f>M21*Inputs!$C$61</f>
        <v>843.48334400000022</v>
      </c>
      <c r="N54" s="190">
        <f>N21*Inputs!$C$61</f>
        <v>879.83550600000001</v>
      </c>
      <c r="O54" s="19">
        <f>O21*Inputs!$C$61</f>
        <v>1011.4080019999999</v>
      </c>
      <c r="P54" s="19">
        <f>P21*Inputs!$C$61</f>
        <v>1133.9618400000002</v>
      </c>
      <c r="Q54" s="19">
        <f>Q21*Inputs!$C$61</f>
        <v>1215.1638840000001</v>
      </c>
      <c r="R54" s="19">
        <f>R21*Inputs!$C$61</f>
        <v>1247.1616960000001</v>
      </c>
      <c r="S54" s="19">
        <f>S21*Inputs!$C$61</f>
        <v>1311.2519420000001</v>
      </c>
      <c r="T54" s="19">
        <f>T21*Inputs!$C$61</f>
        <v>1399.1547460000002</v>
      </c>
      <c r="U54" s="19">
        <f>U21*Inputs!$C$61</f>
        <v>1450.3519140000001</v>
      </c>
      <c r="V54" s="19">
        <f>V21*Inputs!$C$61</f>
        <v>1486.2260600000002</v>
      </c>
      <c r="W54" s="19">
        <f>W21*Inputs!$C$61</f>
        <v>1564.1858540000001</v>
      </c>
      <c r="X54" s="182">
        <f>X21*Inputs!$C$61</f>
        <v>1633.2853239999999</v>
      </c>
      <c r="Y54" s="19">
        <f>Y21*Inputs!$C$61</f>
        <v>1632.3157180000001</v>
      </c>
      <c r="Z54" s="19">
        <f>Z21*Inputs!$C$61</f>
        <v>1698.5328360000001</v>
      </c>
      <c r="AA54" s="19">
        <f>AA21*Inputs!$C$61</f>
        <v>1729.5416160000002</v>
      </c>
      <c r="AB54" s="19">
        <f>AB21*Inputs!$C$61</f>
        <v>1745.3535660000002</v>
      </c>
      <c r="AC54" s="19">
        <f>AC21*Inputs!$C$61</f>
        <v>1766.040342</v>
      </c>
      <c r="AD54" s="19">
        <f>AD21*Inputs!$C$61</f>
        <v>1754.72858</v>
      </c>
      <c r="AE54" s="19">
        <f>AE21*Inputs!$C$61</f>
        <v>1760.0241340000002</v>
      </c>
      <c r="AF54" s="19">
        <f>AF21*Inputs!$C$61</f>
        <v>1788.3059480000002</v>
      </c>
      <c r="AG54" s="19">
        <f>AG21*Inputs!$C$61</f>
        <v>1855.0885760000003</v>
      </c>
      <c r="AH54" s="19">
        <f>AH21*Inputs!$C$61</f>
        <v>1914.45243</v>
      </c>
    </row>
    <row r="55" spans="1:34" s="20" customFormat="1" ht="15">
      <c r="A55" s="27" t="s">
        <v>58</v>
      </c>
      <c r="B55" s="39"/>
      <c r="C55" s="334">
        <f>SUM(C52:C54)</f>
        <v>4846.1012000000001</v>
      </c>
      <c r="D55" s="334">
        <f t="shared" ref="D55:AH55" si="24">SUM(D52:D54)</f>
        <v>4714.5312000000004</v>
      </c>
      <c r="E55" s="334">
        <f t="shared" si="24"/>
        <v>4880.7883612943815</v>
      </c>
      <c r="F55" s="334">
        <f t="shared" si="24"/>
        <v>5046.5112630959829</v>
      </c>
      <c r="G55" s="334">
        <f t="shared" si="24"/>
        <v>4982.8935233924694</v>
      </c>
      <c r="H55" s="19">
        <f t="shared" si="24"/>
        <v>5107.0070552551733</v>
      </c>
      <c r="I55" s="19">
        <f t="shared" si="24"/>
        <v>5054.5638406720591</v>
      </c>
      <c r="J55" s="19">
        <f t="shared" si="24"/>
        <v>5118.3716336465295</v>
      </c>
      <c r="K55" s="19">
        <f t="shared" si="24"/>
        <v>5273.4128143245916</v>
      </c>
      <c r="L55" s="19">
        <f t="shared" si="24"/>
        <v>5397.6052223311453</v>
      </c>
      <c r="M55" s="19">
        <f t="shared" si="24"/>
        <v>5430.9686098819111</v>
      </c>
      <c r="N55" s="190">
        <f t="shared" si="24"/>
        <v>5471.9693475352242</v>
      </c>
      <c r="O55" s="19">
        <f t="shared" si="24"/>
        <v>5493.5644704310034</v>
      </c>
      <c r="P55" s="19">
        <f t="shared" si="24"/>
        <v>5584.544896850005</v>
      </c>
      <c r="Q55" s="19">
        <f t="shared" si="24"/>
        <v>5694.8877547327884</v>
      </c>
      <c r="R55" s="19">
        <f t="shared" si="24"/>
        <v>5755.8902431318074</v>
      </c>
      <c r="S55" s="19">
        <f t="shared" si="24"/>
        <v>5842.3214126328912</v>
      </c>
      <c r="T55" s="19">
        <f t="shared" si="24"/>
        <v>5947.8889335267713</v>
      </c>
      <c r="U55" s="19">
        <f t="shared" si="24"/>
        <v>6019.698691101361</v>
      </c>
      <c r="V55" s="19">
        <f t="shared" si="24"/>
        <v>6064.3948242725428</v>
      </c>
      <c r="W55" s="19">
        <f t="shared" si="24"/>
        <v>6140.850360437058</v>
      </c>
      <c r="X55" s="182">
        <f t="shared" si="24"/>
        <v>6219.2146618890838</v>
      </c>
      <c r="Y55" s="19">
        <f t="shared" si="24"/>
        <v>6249.5861448765882</v>
      </c>
      <c r="Z55" s="19">
        <f t="shared" si="24"/>
        <v>6355.512527334934</v>
      </c>
      <c r="AA55" s="19">
        <f t="shared" si="24"/>
        <v>6431.5386209430444</v>
      </c>
      <c r="AB55" s="19">
        <f t="shared" si="24"/>
        <v>6492.0156512057929</v>
      </c>
      <c r="AC55" s="19">
        <f t="shared" si="24"/>
        <v>6521.8552134959755</v>
      </c>
      <c r="AD55" s="19">
        <f t="shared" si="24"/>
        <v>6533.9023738824226</v>
      </c>
      <c r="AE55" s="19">
        <f t="shared" si="24"/>
        <v>6555.9690271177078</v>
      </c>
      <c r="AF55" s="19">
        <f t="shared" si="24"/>
        <v>6597.389509930098</v>
      </c>
      <c r="AG55" s="19">
        <f t="shared" si="24"/>
        <v>6677.4300800296915</v>
      </c>
      <c r="AH55" s="19">
        <f t="shared" si="24"/>
        <v>6736.8648994791156</v>
      </c>
    </row>
    <row r="57" spans="1:34">
      <c r="A57" s="1" t="s">
        <v>140</v>
      </c>
      <c r="B57" s="13"/>
      <c r="D57" s="333"/>
      <c r="E57" s="333"/>
      <c r="F57" s="333"/>
      <c r="G57" s="333"/>
      <c r="H57" s="16"/>
      <c r="I57" s="16"/>
      <c r="J57" s="16"/>
      <c r="K57" s="16"/>
      <c r="L57" s="16"/>
      <c r="M57" s="16"/>
      <c r="N57" s="389" t="s">
        <v>0</v>
      </c>
    </row>
    <row r="58" spans="1:34" ht="15">
      <c r="A58" s="8" t="s">
        <v>61</v>
      </c>
      <c r="B58" s="34">
        <v>0</v>
      </c>
      <c r="C58" s="331">
        <f>C40*Inputs!$H44</f>
        <v>0</v>
      </c>
      <c r="D58" s="331">
        <f>D40*Inputs!$H44</f>
        <v>0</v>
      </c>
      <c r="E58" s="331">
        <f>E40*Inputs!$H44</f>
        <v>0</v>
      </c>
      <c r="F58" s="331">
        <f>F40*Inputs!$H44</f>
        <v>0</v>
      </c>
      <c r="G58" s="331">
        <f>G40*Inputs!$H44</f>
        <v>0</v>
      </c>
      <c r="H58" s="14">
        <f>H40*Inputs!$H44</f>
        <v>0</v>
      </c>
      <c r="I58" s="14">
        <f>I40*Inputs!$H44</f>
        <v>0</v>
      </c>
      <c r="J58" s="14">
        <f>J40*Inputs!$H44</f>
        <v>0</v>
      </c>
      <c r="K58" s="14">
        <f>K40*Inputs!$H44</f>
        <v>0</v>
      </c>
      <c r="L58" s="14">
        <f>L40*Inputs!$H44</f>
        <v>0</v>
      </c>
      <c r="M58" s="14">
        <f>M40*Inputs!$H44</f>
        <v>0</v>
      </c>
      <c r="N58" s="190">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7">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331">
        <f>C41*Inputs!$H47</f>
        <v>0</v>
      </c>
      <c r="D59" s="331">
        <f>D41*Inputs!$H47</f>
        <v>0</v>
      </c>
      <c r="E59" s="331" t="s">
        <v>377</v>
      </c>
      <c r="F59" s="331">
        <f>F41*Inputs!$H47</f>
        <v>0</v>
      </c>
      <c r="G59" s="331">
        <f>G41*Inputs!$H47</f>
        <v>0</v>
      </c>
      <c r="H59" s="14">
        <f>H41*Inputs!$H47</f>
        <v>0</v>
      </c>
      <c r="I59" s="14">
        <f>I41*Inputs!$H47</f>
        <v>0</v>
      </c>
      <c r="J59" s="14">
        <f>J41*Inputs!$H47</f>
        <v>0</v>
      </c>
      <c r="K59" s="14">
        <f>K41*Inputs!$H47</f>
        <v>0</v>
      </c>
      <c r="L59" s="14">
        <f>L41*Inputs!$H47</f>
        <v>0</v>
      </c>
      <c r="M59" s="14">
        <f>M41*Inputs!$H47</f>
        <v>0</v>
      </c>
      <c r="N59" s="190">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7">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331">
        <f>C42*Inputs!$H48</f>
        <v>112.72364999999999</v>
      </c>
      <c r="D60" s="331">
        <f>D42*Inputs!$H48</f>
        <v>93.958650000000006</v>
      </c>
      <c r="E60" s="331">
        <f>E42*Inputs!$H48</f>
        <v>113.69752385403825</v>
      </c>
      <c r="F60" s="331">
        <f>F42*Inputs!$H48</f>
        <v>106.87321432021724</v>
      </c>
      <c r="G60" s="331">
        <f>G42*Inputs!$H48</f>
        <v>87.893110175281564</v>
      </c>
      <c r="H60" s="14">
        <f>H42*Inputs!$H48</f>
        <v>89.762606264578253</v>
      </c>
      <c r="I60" s="14">
        <f>I42*Inputs!$H48</f>
        <v>91.241424965431079</v>
      </c>
      <c r="J60" s="14">
        <f>J42*Inputs!$H48</f>
        <v>92.852725372902327</v>
      </c>
      <c r="K60" s="14">
        <f>K42*Inputs!$H48</f>
        <v>93.985632817558127</v>
      </c>
      <c r="L60" s="14">
        <f>L42*Inputs!$H48</f>
        <v>93.58266964163397</v>
      </c>
      <c r="M60" s="14">
        <f>M42*Inputs!$H48</f>
        <v>93.582700480509502</v>
      </c>
      <c r="N60" s="190">
        <f>N42*Inputs!$H48</f>
        <v>93.58266964163397</v>
      </c>
      <c r="O60" s="14">
        <f>O42*Inputs!$H48</f>
        <v>94.066643740036469</v>
      </c>
      <c r="P60" s="14">
        <f>P42*Inputs!$H48</f>
        <v>94.066612901160951</v>
      </c>
      <c r="Q60" s="14">
        <f>Q42*Inputs!$H48</f>
        <v>94.066602387907949</v>
      </c>
      <c r="R60" s="14">
        <f>R42*Inputs!$H48</f>
        <v>94.066602387907949</v>
      </c>
      <c r="S60" s="14">
        <f>S42*Inputs!$H48</f>
        <v>94.066602387907949</v>
      </c>
      <c r="T60" s="14">
        <f>T42*Inputs!$H48</f>
        <v>94.066591173771386</v>
      </c>
      <c r="U60" s="14">
        <f>U42*Inputs!$H48</f>
        <v>94.066591173771386</v>
      </c>
      <c r="V60" s="14">
        <f>V42*Inputs!$H48</f>
        <v>94.066591173771386</v>
      </c>
      <c r="W60" s="14">
        <f>W42*Inputs!$H48</f>
        <v>94.634786241241315</v>
      </c>
      <c r="X60" s="187">
        <f>X42*Inputs!$H48</f>
        <v>94.634786241241315</v>
      </c>
      <c r="Y60" s="14">
        <f>Y42*Inputs!$H48</f>
        <v>94.758063244398087</v>
      </c>
      <c r="Z60" s="14">
        <f>Z42*Inputs!$H48</f>
        <v>94.758063945281634</v>
      </c>
      <c r="AA60" s="14">
        <f>AA42*Inputs!$H48</f>
        <v>94.758063945281634</v>
      </c>
      <c r="AB60" s="14">
        <f>AB42*Inputs!$H48</f>
        <v>94.758063945281634</v>
      </c>
      <c r="AC60" s="14">
        <f>AC42*Inputs!$H48</f>
        <v>94.939455407604157</v>
      </c>
      <c r="AD60" s="14">
        <f>AD42*Inputs!$H48</f>
        <v>94.939486947363235</v>
      </c>
      <c r="AE60" s="14">
        <f>AE42*Inputs!$H48</f>
        <v>94.939465219973684</v>
      </c>
      <c r="AF60" s="14">
        <f>AF42*Inputs!$H48</f>
        <v>94.939432979331073</v>
      </c>
      <c r="AG60" s="14">
        <f>AG42*Inputs!$H48</f>
        <v>95.377569995445711</v>
      </c>
      <c r="AH60" s="14">
        <f>AH42*Inputs!$H48</f>
        <v>95.377560183076213</v>
      </c>
    </row>
    <row r="61" spans="1:34" ht="15">
      <c r="A61" s="8" t="s">
        <v>59</v>
      </c>
      <c r="B61" s="34">
        <v>0</v>
      </c>
      <c r="C61" s="331">
        <f>C43*Inputs!$H53</f>
        <v>0</v>
      </c>
      <c r="D61" s="331">
        <f>D43*Inputs!$H53</f>
        <v>0</v>
      </c>
      <c r="E61" s="331">
        <f>E43*Inputs!$H53</f>
        <v>0</v>
      </c>
      <c r="F61" s="331">
        <f>F43*Inputs!$H53</f>
        <v>0</v>
      </c>
      <c r="G61" s="331">
        <f>G43*Inputs!$H53</f>
        <v>0</v>
      </c>
      <c r="H61" s="14">
        <f>H43*Inputs!$H53</f>
        <v>0</v>
      </c>
      <c r="I61" s="14">
        <f>I43*Inputs!$H53</f>
        <v>0</v>
      </c>
      <c r="J61" s="14">
        <f>J43*Inputs!$H53</f>
        <v>0</v>
      </c>
      <c r="K61" s="14">
        <f>K43*Inputs!$H53</f>
        <v>0</v>
      </c>
      <c r="L61" s="14">
        <f>L43*Inputs!$H53</f>
        <v>0</v>
      </c>
      <c r="M61" s="14">
        <f>M43*Inputs!$H53</f>
        <v>0</v>
      </c>
      <c r="N61" s="190">
        <f>N43*Inputs!$H53</f>
        <v>0</v>
      </c>
      <c r="O61" s="14">
        <f>O43*Inputs!$H53</f>
        <v>0</v>
      </c>
      <c r="P61" s="14">
        <f>P43*Inputs!$H53</f>
        <v>0</v>
      </c>
      <c r="Q61" s="14">
        <f>Q43*Inputs!$H53</f>
        <v>0</v>
      </c>
      <c r="R61" s="14">
        <f>R43*Inputs!$H53</f>
        <v>0</v>
      </c>
      <c r="S61" s="14">
        <f>S43*Inputs!$H53</f>
        <v>0</v>
      </c>
      <c r="T61" s="14">
        <f>T43*Inputs!$H53</f>
        <v>0</v>
      </c>
      <c r="U61" s="14">
        <f>U43*Inputs!$H53</f>
        <v>0</v>
      </c>
      <c r="V61" s="14">
        <f>V43*Inputs!$H53</f>
        <v>0</v>
      </c>
      <c r="W61" s="14">
        <f>W43*Inputs!$H53</f>
        <v>0</v>
      </c>
      <c r="X61" s="187">
        <f>X43*Inputs!$H53</f>
        <v>0</v>
      </c>
      <c r="Y61" s="14">
        <f>Y43*Inputs!$H53</f>
        <v>0</v>
      </c>
      <c r="Z61" s="14">
        <f>Z43*Inputs!$H53</f>
        <v>0</v>
      </c>
      <c r="AA61" s="14">
        <f>AA43*Inputs!$H53</f>
        <v>0</v>
      </c>
      <c r="AB61" s="14">
        <f>AB43*Inputs!$H53</f>
        <v>0</v>
      </c>
      <c r="AC61" s="14">
        <f>AC43*Inputs!$H53</f>
        <v>0</v>
      </c>
      <c r="AD61" s="14">
        <f>AD43*Inputs!$H53</f>
        <v>0</v>
      </c>
      <c r="AE61" s="14">
        <f>AE43*Inputs!$H53</f>
        <v>0</v>
      </c>
      <c r="AF61" s="14">
        <f>AF43*Inputs!$H53</f>
        <v>0</v>
      </c>
      <c r="AG61" s="14">
        <f>AG43*Inputs!$H53</f>
        <v>0</v>
      </c>
      <c r="AH61" s="14">
        <f>AH43*Inputs!$H53</f>
        <v>0</v>
      </c>
    </row>
    <row r="62" spans="1:34" ht="15">
      <c r="A62" s="8" t="s">
        <v>121</v>
      </c>
      <c r="B62" s="34">
        <v>1</v>
      </c>
      <c r="C62" s="331">
        <f>C44*Inputs!$H46</f>
        <v>0</v>
      </c>
      <c r="D62" s="331">
        <f>D44*Inputs!$H46</f>
        <v>0</v>
      </c>
      <c r="E62" s="331">
        <f>E44*Inputs!$H46</f>
        <v>0.492325344</v>
      </c>
      <c r="F62" s="331">
        <f>F44*Inputs!$H46</f>
        <v>0.47658807000000003</v>
      </c>
      <c r="G62" s="331">
        <f>G44*Inputs!$H46</f>
        <v>0.468405882</v>
      </c>
      <c r="H62" s="14">
        <f>H44*Inputs!$H46</f>
        <v>0.50055856200000004</v>
      </c>
      <c r="I62" s="14">
        <f>I44*Inputs!$H46</f>
        <v>0.49621553099999999</v>
      </c>
      <c r="J62" s="14">
        <f>J44*Inputs!$H46</f>
        <v>0.53753225399999993</v>
      </c>
      <c r="K62" s="14">
        <f>K44*Inputs!$H46</f>
        <v>0.58836985200000003</v>
      </c>
      <c r="L62" s="14">
        <f>L44*Inputs!$H46</f>
        <v>0.71892576000000008</v>
      </c>
      <c r="M62" s="14">
        <f>M44*Inputs!$H46</f>
        <v>0.80211921300000011</v>
      </c>
      <c r="N62" s="190">
        <f>N44*Inputs!$H46</f>
        <v>0.81631330199999996</v>
      </c>
      <c r="O62" s="14">
        <f>O44*Inputs!$H46</f>
        <v>0.85645633499999996</v>
      </c>
      <c r="P62" s="14">
        <f>P44*Inputs!$H46</f>
        <v>0.87653909699999999</v>
      </c>
      <c r="Q62" s="14">
        <f>Q44*Inputs!$H46</f>
        <v>0.890953938</v>
      </c>
      <c r="R62" s="14">
        <f>R44*Inputs!$H46</f>
        <v>0.92076490799999999</v>
      </c>
      <c r="S62" s="14">
        <f>S44*Inputs!$H46</f>
        <v>0.93215763899999993</v>
      </c>
      <c r="T62" s="14">
        <f>T44*Inputs!$H46</f>
        <v>0.98560778400000004</v>
      </c>
      <c r="U62" s="14">
        <f>U44*Inputs!$H46</f>
        <v>1.005836832</v>
      </c>
      <c r="V62" s="14">
        <f>V44*Inputs!$H46</f>
        <v>1.01410785</v>
      </c>
      <c r="W62" s="14">
        <f>W44*Inputs!$H46</f>
        <v>1.031370165</v>
      </c>
      <c r="X62" s="187">
        <f>X44*Inputs!$H46</f>
        <v>1.0459724939999999</v>
      </c>
      <c r="Y62" s="14">
        <f>Y44*Inputs!$H46</f>
        <v>1.064149947</v>
      </c>
      <c r="Z62" s="14">
        <f>Z44*Inputs!$H46</f>
        <v>1.1264235570000003</v>
      </c>
      <c r="AA62" s="14">
        <f>AA44*Inputs!$H46</f>
        <v>1.1468814839999999</v>
      </c>
      <c r="AB62" s="14">
        <f>AB44*Inputs!$H46</f>
        <v>1.1729311650000001</v>
      </c>
      <c r="AC62" s="14">
        <f>AC44*Inputs!$H46</f>
        <v>1.2008234070000001</v>
      </c>
      <c r="AD62" s="14">
        <f>AD44*Inputs!$H46</f>
        <v>1.226393595</v>
      </c>
      <c r="AE62" s="14">
        <f>AE44*Inputs!$H46</f>
        <v>1.278912348</v>
      </c>
      <c r="AF62" s="14">
        <f>AF44*Inputs!$H46</f>
        <v>1.306162746</v>
      </c>
      <c r="AG62" s="14">
        <f>AG44*Inputs!$H46</f>
        <v>1.3405879620000001</v>
      </c>
      <c r="AH62" s="14">
        <f>AH44*Inputs!$H46</f>
        <v>1.3768572509999999</v>
      </c>
    </row>
    <row r="63" spans="1:34" ht="15">
      <c r="A63" s="8" t="s">
        <v>50</v>
      </c>
      <c r="B63" s="34">
        <v>1</v>
      </c>
      <c r="C63" s="331">
        <f>C45*Inputs!$H49</f>
        <v>62.774999999999999</v>
      </c>
      <c r="D63" s="331">
        <f>D45*Inputs!$H49</f>
        <v>62.325000000000003</v>
      </c>
      <c r="E63" s="331">
        <f>E45*Inputs!$H49</f>
        <v>56.489478098034446</v>
      </c>
      <c r="F63" s="331">
        <f>F45*Inputs!$H49</f>
        <v>58.744431676154548</v>
      </c>
      <c r="G63" s="331">
        <f>G45*Inputs!$H49</f>
        <v>69.778526636782644</v>
      </c>
      <c r="H63" s="14">
        <f>H45*Inputs!$H49</f>
        <v>76.116883138604436</v>
      </c>
      <c r="I63" s="14">
        <f>I45*Inputs!$H49</f>
        <v>76.116883138604436</v>
      </c>
      <c r="J63" s="14">
        <f>J45*Inputs!$H49</f>
        <v>99.233799931654033</v>
      </c>
      <c r="K63" s="14">
        <f>K45*Inputs!$H49</f>
        <v>132.85403030463573</v>
      </c>
      <c r="L63" s="14">
        <f>L45*Inputs!$H49</f>
        <v>154.8574625846741</v>
      </c>
      <c r="M63" s="14">
        <f>M45*Inputs!$H49</f>
        <v>160.40505312210718</v>
      </c>
      <c r="N63" s="190">
        <f>N45*Inputs!$H49</f>
        <v>160.75488893298964</v>
      </c>
      <c r="O63" s="14">
        <f>O45*Inputs!$H49</f>
        <v>172.30265075484897</v>
      </c>
      <c r="P63" s="14">
        <f>P45*Inputs!$H49</f>
        <v>191.86648345031273</v>
      </c>
      <c r="Q63" s="14">
        <f>Q45*Inputs!$H49</f>
        <v>215.5591361473144</v>
      </c>
      <c r="R63" s="14">
        <f>R45*Inputs!$H49</f>
        <v>240.52014241268611</v>
      </c>
      <c r="S63" s="14">
        <f>S45*Inputs!$H49</f>
        <v>261.69415651123393</v>
      </c>
      <c r="T63" s="14">
        <f>T45*Inputs!$H49</f>
        <v>287.99553031116915</v>
      </c>
      <c r="U63" s="14">
        <f>U45*Inputs!$H49</f>
        <v>311.75025205089167</v>
      </c>
      <c r="V63" s="14">
        <f>V45*Inputs!$H49</f>
        <v>324.62895685774458</v>
      </c>
      <c r="W63" s="14">
        <f>W45*Inputs!$H49</f>
        <v>327.68580661983765</v>
      </c>
      <c r="X63" s="187">
        <f>X45*Inputs!$H49</f>
        <v>339.92615719645369</v>
      </c>
      <c r="Y63" s="14">
        <f>Y45*Inputs!$H49</f>
        <v>370.78944663323227</v>
      </c>
      <c r="Z63" s="14">
        <f>Z45*Inputs!$H49</f>
        <v>420.76942303479791</v>
      </c>
      <c r="AA63" s="14">
        <f>AA45*Inputs!$H49</f>
        <v>463.95305608089319</v>
      </c>
      <c r="AB63" s="14">
        <f>AB45*Inputs!$H49</f>
        <v>507.21283717474205</v>
      </c>
      <c r="AC63" s="14">
        <f>AC45*Inputs!$H49</f>
        <v>519.07389299565375</v>
      </c>
      <c r="AD63" s="14">
        <f>AD45*Inputs!$H49</f>
        <v>529.23988864802823</v>
      </c>
      <c r="AE63" s="14">
        <f>AE45*Inputs!$H49</f>
        <v>537.01389892791985</v>
      </c>
      <c r="AF63" s="14">
        <f>AF45*Inputs!$H49</f>
        <v>549.27116165637176</v>
      </c>
      <c r="AG63" s="14">
        <f>AG45*Inputs!$H49</f>
        <v>563.09021101496194</v>
      </c>
      <c r="AH63" s="14">
        <f>AH45*Inputs!$H49</f>
        <v>564.77249311322339</v>
      </c>
    </row>
    <row r="64" spans="1:34" ht="15">
      <c r="A64" s="8" t="s">
        <v>51</v>
      </c>
      <c r="B64" s="34">
        <v>1</v>
      </c>
      <c r="C64" s="331">
        <f>C46*Inputs!$H52</f>
        <v>6.4799999999999995</v>
      </c>
      <c r="D64" s="331">
        <f>D46*Inputs!$H52</f>
        <v>7.5600000000000005</v>
      </c>
      <c r="E64" s="331">
        <f>E46*Inputs!$H52</f>
        <v>8.4400223838716784</v>
      </c>
      <c r="F64" s="331">
        <f>F46*Inputs!$H52</f>
        <v>9.9053793300122202</v>
      </c>
      <c r="G64" s="331">
        <f>G46*Inputs!$H52</f>
        <v>11.818767054157952</v>
      </c>
      <c r="H64" s="14">
        <f>H46*Inputs!$H52</f>
        <v>10.563511539473055</v>
      </c>
      <c r="I64" s="14">
        <f>I46*Inputs!$H52</f>
        <v>11.805222969817907</v>
      </c>
      <c r="J64" s="14">
        <f>J46*Inputs!$H52</f>
        <v>10.562717993320067</v>
      </c>
      <c r="K64" s="14">
        <f>K46*Inputs!$H52</f>
        <v>11.733413767939554</v>
      </c>
      <c r="L64" s="14">
        <f>L46*Inputs!$H52</f>
        <v>9.2243149817233991</v>
      </c>
      <c r="M64" s="14">
        <f>M46*Inputs!$H52</f>
        <v>11.913871543103786</v>
      </c>
      <c r="N64" s="190">
        <f>N46*Inputs!$H52</f>
        <v>13.132556685077079</v>
      </c>
      <c r="O64" s="14">
        <f>O46*Inputs!$H52</f>
        <v>11.914920638017911</v>
      </c>
      <c r="P64" s="14">
        <f>P46*Inputs!$H52</f>
        <v>10.577526371530979</v>
      </c>
      <c r="Q64" s="14">
        <f>Q46*Inputs!$H52</f>
        <v>11.796668811287351</v>
      </c>
      <c r="R64" s="14">
        <f>R46*Inputs!$H52</f>
        <v>13.173821085032646</v>
      </c>
      <c r="S64" s="14">
        <f>S46*Inputs!$H52</f>
        <v>10.551756296460944</v>
      </c>
      <c r="T64" s="14">
        <f>T46*Inputs!$H52</f>
        <v>11.752553025154931</v>
      </c>
      <c r="U64" s="14">
        <f>U46*Inputs!$H52</f>
        <v>11.746487104561725</v>
      </c>
      <c r="V64" s="14">
        <f>V46*Inputs!$H52</f>
        <v>11.909607913773304</v>
      </c>
      <c r="W64" s="14">
        <f>W46*Inputs!$H52</f>
        <v>10.390693327273222</v>
      </c>
      <c r="X64" s="187">
        <f>X46*Inputs!$H52</f>
        <v>10.444076118480409</v>
      </c>
      <c r="Y64" s="14">
        <f>Y46*Inputs!$H52</f>
        <v>11.808424054299465</v>
      </c>
      <c r="Z64" s="14">
        <f>Z46*Inputs!$H52</f>
        <v>10.37066637436128</v>
      </c>
      <c r="AA64" s="14">
        <f>AA46*Inputs!$H52</f>
        <v>11.728127943564543</v>
      </c>
      <c r="AB64" s="14">
        <f>AB46*Inputs!$H52</f>
        <v>11.744294765189901</v>
      </c>
      <c r="AC64" s="14">
        <f>AC46*Inputs!$H52</f>
        <v>10.347613186120132</v>
      </c>
      <c r="AD64" s="14">
        <f>AD46*Inputs!$H52</f>
        <v>11.713642363788745</v>
      </c>
      <c r="AE64" s="14">
        <f>AE46*Inputs!$H52</f>
        <v>10.336490090043451</v>
      </c>
      <c r="AF64" s="14">
        <f>AF46*Inputs!$H52</f>
        <v>10.351890265385409</v>
      </c>
      <c r="AG64" s="14">
        <f>AG46*Inputs!$H52</f>
        <v>10.346954139315107</v>
      </c>
      <c r="AH64" s="14">
        <f>AH46*Inputs!$H52</f>
        <v>10.559503458903711</v>
      </c>
    </row>
    <row r="65" spans="1:34" ht="15">
      <c r="A65" s="8" t="s">
        <v>347</v>
      </c>
      <c r="B65" s="34">
        <v>1</v>
      </c>
      <c r="C65" s="331">
        <f>C47*Inputs!$H54</f>
        <v>0</v>
      </c>
      <c r="D65" s="331">
        <f>D47*Inputs!$H54</f>
        <v>0</v>
      </c>
      <c r="E65" s="331">
        <f>E47*Inputs!$H54</f>
        <v>1.4220000000000002E-2</v>
      </c>
      <c r="F65" s="331">
        <f>F47*Inputs!$H54</f>
        <v>1.4220000000000002E-2</v>
      </c>
      <c r="G65" s="331">
        <f>G47*Inputs!$H54</f>
        <v>1.4220000000000002E-2</v>
      </c>
      <c r="H65" s="14">
        <f>H47*Inputs!$H54</f>
        <v>1.4220000000000002E-2</v>
      </c>
      <c r="I65" s="14">
        <f>I47*Inputs!$H54</f>
        <v>1.4220000000000002E-2</v>
      </c>
      <c r="J65" s="14">
        <f>J47*Inputs!$H54</f>
        <v>1.4220000000000002E-2</v>
      </c>
      <c r="K65" s="14">
        <f>K47*Inputs!$H54</f>
        <v>1.4220000000000002E-2</v>
      </c>
      <c r="L65" s="14">
        <f>L47*Inputs!$H54</f>
        <v>1.4220000000000002E-2</v>
      </c>
      <c r="M65" s="14">
        <f>M47*Inputs!$H54</f>
        <v>1.4220000000000002E-2</v>
      </c>
      <c r="N65" s="190">
        <f>N47*Inputs!$H54</f>
        <v>1.4220000000000002E-2</v>
      </c>
      <c r="O65" s="14">
        <f>O47*Inputs!$H54</f>
        <v>1.4220000000000002E-2</v>
      </c>
      <c r="P65" s="14">
        <f>P47*Inputs!$H54</f>
        <v>1.4220000000000002E-2</v>
      </c>
      <c r="Q65" s="14">
        <f>Q47*Inputs!$H54</f>
        <v>1.4220000000000002E-2</v>
      </c>
      <c r="R65" s="14">
        <f>R47*Inputs!$H54</f>
        <v>1.4220000000000002E-2</v>
      </c>
      <c r="S65" s="14">
        <f>S47*Inputs!$H54</f>
        <v>1.4220000000000002E-2</v>
      </c>
      <c r="T65" s="14">
        <f>T47*Inputs!$H54</f>
        <v>1.4220000000000002E-2</v>
      </c>
      <c r="U65" s="14">
        <f>U47*Inputs!$H54</f>
        <v>1.4220000000000002E-2</v>
      </c>
      <c r="V65" s="14">
        <f>V47*Inputs!$H54</f>
        <v>1.4220000000000002E-2</v>
      </c>
      <c r="W65" s="14">
        <f>W47*Inputs!$H54</f>
        <v>1.4220000000000002E-2</v>
      </c>
      <c r="X65" s="187">
        <f>X47*Inputs!$H54</f>
        <v>1.4220000000000002E-2</v>
      </c>
      <c r="Y65" s="14">
        <f>Y47*Inputs!$H54</f>
        <v>1.4220000000000002E-2</v>
      </c>
      <c r="Z65" s="14">
        <f>Z47*Inputs!$H54</f>
        <v>1.4220000000000002E-2</v>
      </c>
      <c r="AA65" s="14">
        <f>AA47*Inputs!$H54</f>
        <v>1.4220000000000002E-2</v>
      </c>
      <c r="AB65" s="14">
        <f>AB47*Inputs!$H54</f>
        <v>1.4220000000000002E-2</v>
      </c>
      <c r="AC65" s="14">
        <f>AC47*Inputs!$H54</f>
        <v>1.4220000000000002E-2</v>
      </c>
      <c r="AD65" s="14">
        <f>AD47*Inputs!$H54</f>
        <v>1.4220000000000002E-2</v>
      </c>
      <c r="AE65" s="14">
        <f>AE47*Inputs!$H54</f>
        <v>1.4220000000000002E-2</v>
      </c>
      <c r="AF65" s="14">
        <f>AF47*Inputs!$H54</f>
        <v>1.4220000000000002E-2</v>
      </c>
      <c r="AG65" s="14">
        <f>AG47*Inputs!$H54</f>
        <v>1.4220000000000002E-2</v>
      </c>
      <c r="AH65" s="14">
        <f>AH47*Inputs!$H54</f>
        <v>1.4220000000000002E-2</v>
      </c>
    </row>
    <row r="66" spans="1:34" ht="15">
      <c r="A66" s="8" t="s">
        <v>348</v>
      </c>
      <c r="B66" s="34">
        <v>1</v>
      </c>
      <c r="C66" s="331">
        <f>C48*Inputs!$H55</f>
        <v>0</v>
      </c>
      <c r="D66" s="331">
        <f>D48*Inputs!$H55</f>
        <v>0</v>
      </c>
      <c r="E66" s="331">
        <f>E48*Inputs!$H55</f>
        <v>2.0700000000000002E-3</v>
      </c>
      <c r="F66" s="331">
        <f>F48*Inputs!$H55</f>
        <v>2.0700000000000002E-3</v>
      </c>
      <c r="G66" s="331">
        <f>G48*Inputs!$H55</f>
        <v>2.0700000000000002E-3</v>
      </c>
      <c r="H66" s="14">
        <f>H48*Inputs!$H55</f>
        <v>2.0700000000000002E-3</v>
      </c>
      <c r="I66" s="14">
        <f>I48*Inputs!$H55</f>
        <v>2.0700000000000002E-3</v>
      </c>
      <c r="J66" s="14">
        <f>J48*Inputs!$H55</f>
        <v>2.0700000000000002E-3</v>
      </c>
      <c r="K66" s="14">
        <f>K48*Inputs!$H55</f>
        <v>2.0700000000000002E-3</v>
      </c>
      <c r="L66" s="14">
        <f>L48*Inputs!$H55</f>
        <v>2.0700000000000002E-3</v>
      </c>
      <c r="M66" s="14">
        <f>M48*Inputs!$H55</f>
        <v>2.0700000000000002E-3</v>
      </c>
      <c r="N66" s="190">
        <f>N48*Inputs!$H55</f>
        <v>2.0700000000000002E-3</v>
      </c>
      <c r="O66" s="14">
        <f>O48*Inputs!$H55</f>
        <v>2.0700000000000002E-3</v>
      </c>
      <c r="P66" s="14">
        <f>P48*Inputs!$H55</f>
        <v>2.0700000000000002E-3</v>
      </c>
      <c r="Q66" s="14">
        <f>Q48*Inputs!$H55</f>
        <v>2.0700000000000002E-3</v>
      </c>
      <c r="R66" s="14">
        <f>R48*Inputs!$H55</f>
        <v>2.0700000000000002E-3</v>
      </c>
      <c r="S66" s="14">
        <f>S48*Inputs!$H55</f>
        <v>2.0700000000000002E-3</v>
      </c>
      <c r="T66" s="14">
        <f>T48*Inputs!$H55</f>
        <v>2.0700000000000002E-3</v>
      </c>
      <c r="U66" s="14">
        <f>U48*Inputs!$H55</f>
        <v>2.0700000000000002E-3</v>
      </c>
      <c r="V66" s="14">
        <f>V48*Inputs!$H55</f>
        <v>2.0700000000000002E-3</v>
      </c>
      <c r="W66" s="14">
        <f>W48*Inputs!$H55</f>
        <v>2.0700000000000002E-3</v>
      </c>
      <c r="X66" s="187">
        <f>X48*Inputs!$H55</f>
        <v>2.0700000000000002E-3</v>
      </c>
      <c r="Y66" s="14">
        <f>Y48*Inputs!$H55</f>
        <v>2.0700000000000002E-3</v>
      </c>
      <c r="Z66" s="14">
        <f>Z48*Inputs!$H55</f>
        <v>2.0700000000000002E-3</v>
      </c>
      <c r="AA66" s="14">
        <f>AA48*Inputs!$H55</f>
        <v>2.0700000000000002E-3</v>
      </c>
      <c r="AB66" s="14">
        <f>AB48*Inputs!$H55</f>
        <v>2.0700000000000002E-3</v>
      </c>
      <c r="AC66" s="14">
        <f>AC48*Inputs!$H55</f>
        <v>2.0700000000000002E-3</v>
      </c>
      <c r="AD66" s="14">
        <f>AD48*Inputs!$H55</f>
        <v>2.0700000000000002E-3</v>
      </c>
      <c r="AE66" s="14">
        <f>AE48*Inputs!$H55</f>
        <v>2.0700000000000002E-3</v>
      </c>
      <c r="AF66" s="14">
        <f>AF48*Inputs!$H55</f>
        <v>2.0700000000000002E-3</v>
      </c>
      <c r="AG66" s="14">
        <f>AG48*Inputs!$H55</f>
        <v>2.0700000000000002E-3</v>
      </c>
      <c r="AH66" s="14">
        <f>AH48*Inputs!$H55</f>
        <v>2.0700000000000002E-3</v>
      </c>
    </row>
    <row r="67" spans="1:34" ht="15">
      <c r="A67" s="8" t="s">
        <v>344</v>
      </c>
      <c r="B67" s="34">
        <v>1</v>
      </c>
      <c r="C67" s="331">
        <f>C49*Inputs!$H51</f>
        <v>2.4300000000000003E-3</v>
      </c>
      <c r="D67" s="331">
        <f>D49*Inputs!$H51</f>
        <v>2.4300000000000003E-3</v>
      </c>
      <c r="E67" s="331">
        <f>E49*Inputs!$H51</f>
        <v>2.4300000000000003E-3</v>
      </c>
      <c r="F67" s="331">
        <f>F49*Inputs!$H51</f>
        <v>2.4300000000000003E-3</v>
      </c>
      <c r="G67" s="331">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0">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7">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331">
        <f>C50*Inputs!$H57</f>
        <v>24.480000000000004</v>
      </c>
      <c r="D68" s="331">
        <f>D50*Inputs!$H57</f>
        <v>68.544000000000011</v>
      </c>
      <c r="E68" s="331">
        <f>E50*Inputs!$H57</f>
        <v>91.808847225000022</v>
      </c>
      <c r="F68" s="331">
        <f>F50*Inputs!$H57</f>
        <v>104.79088575000002</v>
      </c>
      <c r="G68" s="331">
        <f>G50*Inputs!$H57</f>
        <v>123.30803587500003</v>
      </c>
      <c r="H68" s="14">
        <f>H50*Inputs!$H57</f>
        <v>123.69042112500001</v>
      </c>
      <c r="I68" s="14">
        <f>I50*Inputs!$H57</f>
        <v>132.34182525000003</v>
      </c>
      <c r="J68" s="14">
        <f>J50*Inputs!$H57</f>
        <v>137.2962177</v>
      </c>
      <c r="K68" s="14">
        <f>K50*Inputs!$H57</f>
        <v>137.30415075000002</v>
      </c>
      <c r="L68" s="14">
        <f>L50*Inputs!$H57</f>
        <v>137.30078475000002</v>
      </c>
      <c r="M68" s="14">
        <f>M50*Inputs!$H57</f>
        <v>137.29282492500002</v>
      </c>
      <c r="N68" s="190">
        <f>N50*Inputs!$H57</f>
        <v>137.29069440000001</v>
      </c>
      <c r="O68" s="14">
        <f>O50*Inputs!$H57</f>
        <v>137.28979170000002</v>
      </c>
      <c r="P68" s="14">
        <f>P50*Inputs!$H57</f>
        <v>137.33452507500004</v>
      </c>
      <c r="Q68" s="14">
        <f>Q50*Inputs!$H57</f>
        <v>137.30440702500002</v>
      </c>
      <c r="R68" s="14">
        <f>R50*Inputs!$H57</f>
        <v>137.30205082500001</v>
      </c>
      <c r="S68" s="14">
        <f>S50*Inputs!$H57</f>
        <v>137.43470182500005</v>
      </c>
      <c r="T68" s="14">
        <f>T50*Inputs!$H57</f>
        <v>137.64197475</v>
      </c>
      <c r="U68" s="14">
        <f>U50*Inputs!$H57</f>
        <v>137.83941360000003</v>
      </c>
      <c r="V68" s="14">
        <f>V50*Inputs!$H57</f>
        <v>137.93086935000005</v>
      </c>
      <c r="W68" s="14">
        <f>W50*Inputs!$H57</f>
        <v>137.96691615000003</v>
      </c>
      <c r="X68" s="187">
        <f>X50*Inputs!$H57</f>
        <v>138.13185780000003</v>
      </c>
      <c r="Y68" s="14">
        <f>Y50*Inputs!$H57</f>
        <v>138.33205830000003</v>
      </c>
      <c r="Z68" s="14">
        <f>Z50*Inputs!$H57</f>
        <v>138.52987200000001</v>
      </c>
      <c r="AA68" s="14">
        <f>AA50*Inputs!$H57</f>
        <v>138.73992952500001</v>
      </c>
      <c r="AB68" s="14">
        <f>AB50*Inputs!$H57</f>
        <v>139.61932762500001</v>
      </c>
      <c r="AC68" s="14">
        <f>AC50*Inputs!$H57</f>
        <v>140.2289064</v>
      </c>
      <c r="AD68" s="14">
        <f>AD50*Inputs!$H57</f>
        <v>151.77925890000003</v>
      </c>
      <c r="AE68" s="14">
        <f>AE50*Inputs!$H57</f>
        <v>165.08200455000002</v>
      </c>
      <c r="AF68" s="14">
        <f>AF50*Inputs!$H57</f>
        <v>168.72718365000006</v>
      </c>
      <c r="AG68" s="14">
        <f>AG50*Inputs!$H57</f>
        <v>170.02471162500004</v>
      </c>
      <c r="AH68" s="14">
        <f>AH50*Inputs!$H57</f>
        <v>172.29930907500002</v>
      </c>
    </row>
    <row r="69" spans="1:34" s="20" customFormat="1" ht="15">
      <c r="A69" s="8" t="s">
        <v>128</v>
      </c>
      <c r="B69" s="38"/>
      <c r="C69" s="334">
        <f t="shared" ref="C69:AH69" si="25">SUMPRODUCT($B60:$B68,C60:C68)</f>
        <v>93.737430000000003</v>
      </c>
      <c r="D69" s="334">
        <f t="shared" si="25"/>
        <v>138.43143000000003</v>
      </c>
      <c r="E69" s="334">
        <f t="shared" si="25"/>
        <v>157.24939305090615</v>
      </c>
      <c r="F69" s="334">
        <f t="shared" si="25"/>
        <v>173.93600482616677</v>
      </c>
      <c r="G69" s="334">
        <f t="shared" si="25"/>
        <v>205.39245544794062</v>
      </c>
      <c r="H69" s="19">
        <f t="shared" si="25"/>
        <v>210.89009436507752</v>
      </c>
      <c r="I69" s="19">
        <f t="shared" si="25"/>
        <v>220.77886688942237</v>
      </c>
      <c r="J69" s="19">
        <f t="shared" si="25"/>
        <v>247.64898787897408</v>
      </c>
      <c r="K69" s="19">
        <f t="shared" si="25"/>
        <v>282.49868467457532</v>
      </c>
      <c r="L69" s="19">
        <f t="shared" si="25"/>
        <v>302.12020807639749</v>
      </c>
      <c r="M69" s="19">
        <f t="shared" si="25"/>
        <v>310.43258880321099</v>
      </c>
      <c r="N69" s="190">
        <f t="shared" si="25"/>
        <v>312.0131733200667</v>
      </c>
      <c r="O69" s="19">
        <f t="shared" si="25"/>
        <v>322.3825394278669</v>
      </c>
      <c r="P69" s="19">
        <f t="shared" si="25"/>
        <v>340.67379399384379</v>
      </c>
      <c r="Q69" s="19">
        <f t="shared" si="25"/>
        <v>365.56988592160178</v>
      </c>
      <c r="R69" s="19">
        <f t="shared" si="25"/>
        <v>391.93549923071873</v>
      </c>
      <c r="S69" s="19">
        <f t="shared" si="25"/>
        <v>410.63149227169498</v>
      </c>
      <c r="T69" s="19">
        <f t="shared" si="25"/>
        <v>438.39438587032419</v>
      </c>
      <c r="U69" s="19">
        <f t="shared" si="25"/>
        <v>462.36070958745347</v>
      </c>
      <c r="V69" s="19">
        <f t="shared" si="25"/>
        <v>475.50226197151801</v>
      </c>
      <c r="W69" s="19">
        <f t="shared" si="25"/>
        <v>477.09350626211091</v>
      </c>
      <c r="X69" s="182">
        <f t="shared" si="25"/>
        <v>489.56678360893414</v>
      </c>
      <c r="Y69" s="19">
        <f t="shared" si="25"/>
        <v>522.0127989345317</v>
      </c>
      <c r="Z69" s="19">
        <f t="shared" si="25"/>
        <v>570.8151049661592</v>
      </c>
      <c r="AA69" s="19">
        <f t="shared" si="25"/>
        <v>615.58671503345772</v>
      </c>
      <c r="AB69" s="19">
        <f t="shared" si="25"/>
        <v>659.768110729932</v>
      </c>
      <c r="AC69" s="19">
        <f t="shared" si="25"/>
        <v>670.869955988774</v>
      </c>
      <c r="AD69" s="19">
        <f t="shared" si="25"/>
        <v>693.97790350681703</v>
      </c>
      <c r="AE69" s="19">
        <f t="shared" si="25"/>
        <v>713.73002591596332</v>
      </c>
      <c r="AF69" s="19">
        <f t="shared" si="25"/>
        <v>729.67511831775732</v>
      </c>
      <c r="AG69" s="19">
        <f t="shared" si="25"/>
        <v>744.82118474127708</v>
      </c>
      <c r="AH69" s="19">
        <f t="shared" si="25"/>
        <v>749.02688289812716</v>
      </c>
    </row>
    <row r="70" spans="1:34" s="20" customFormat="1" ht="15">
      <c r="A70" s="27" t="s">
        <v>329</v>
      </c>
      <c r="B70" s="39"/>
      <c r="C70" s="334">
        <f>SUM(C58:C68)</f>
        <v>206.46107999999998</v>
      </c>
      <c r="D70" s="334">
        <f t="shared" ref="D70:AH70" si="26">SUM(D58:D68)</f>
        <v>232.39008000000004</v>
      </c>
      <c r="E70" s="334">
        <f t="shared" si="26"/>
        <v>270.94691690494437</v>
      </c>
      <c r="F70" s="334">
        <f t="shared" si="26"/>
        <v>280.80921914638401</v>
      </c>
      <c r="G70" s="334">
        <f t="shared" si="26"/>
        <v>293.28556562322217</v>
      </c>
      <c r="H70" s="19">
        <f t="shared" si="26"/>
        <v>300.65270062965578</v>
      </c>
      <c r="I70" s="19">
        <f t="shared" si="26"/>
        <v>312.02029185485344</v>
      </c>
      <c r="J70" s="19">
        <f t="shared" si="26"/>
        <v>340.50171325187642</v>
      </c>
      <c r="K70" s="19">
        <f t="shared" si="26"/>
        <v>376.48431749213341</v>
      </c>
      <c r="L70" s="19">
        <f t="shared" si="26"/>
        <v>395.70287771803157</v>
      </c>
      <c r="M70" s="19">
        <f t="shared" si="26"/>
        <v>404.01528928372045</v>
      </c>
      <c r="N70" s="182">
        <f t="shared" si="26"/>
        <v>405.59584296170073</v>
      </c>
      <c r="O70" s="19">
        <f t="shared" si="26"/>
        <v>416.44918316790341</v>
      </c>
      <c r="P70" s="19">
        <f t="shared" si="26"/>
        <v>434.7404068950047</v>
      </c>
      <c r="Q70" s="19">
        <f t="shared" si="26"/>
        <v>459.63648830950979</v>
      </c>
      <c r="R70" s="19">
        <f t="shared" si="26"/>
        <v>486.00210161862674</v>
      </c>
      <c r="S70" s="19">
        <f t="shared" si="26"/>
        <v>504.69809465960287</v>
      </c>
      <c r="T70" s="19">
        <f t="shared" si="26"/>
        <v>532.46097704409556</v>
      </c>
      <c r="U70" s="19">
        <f t="shared" si="26"/>
        <v>556.42730076122484</v>
      </c>
      <c r="V70" s="19">
        <f t="shared" si="26"/>
        <v>569.56885314528938</v>
      </c>
      <c r="W70" s="19">
        <f t="shared" si="26"/>
        <v>571.72829250335224</v>
      </c>
      <c r="X70" s="182">
        <f t="shared" si="26"/>
        <v>584.20156985017547</v>
      </c>
      <c r="Y70" s="19">
        <f t="shared" si="26"/>
        <v>616.77086217892986</v>
      </c>
      <c r="Z70" s="19">
        <f t="shared" si="26"/>
        <v>665.57316891144092</v>
      </c>
      <c r="AA70" s="19">
        <f t="shared" si="26"/>
        <v>710.34477897873944</v>
      </c>
      <c r="AB70" s="19">
        <f t="shared" si="26"/>
        <v>754.52617467521361</v>
      </c>
      <c r="AC70" s="19">
        <f t="shared" si="26"/>
        <v>765.8094113963781</v>
      </c>
      <c r="AD70" s="19">
        <f t="shared" si="26"/>
        <v>788.91739045418024</v>
      </c>
      <c r="AE70" s="19">
        <f t="shared" si="26"/>
        <v>808.66949113593705</v>
      </c>
      <c r="AF70" s="19">
        <f t="shared" si="26"/>
        <v>824.61455129708838</v>
      </c>
      <c r="AG70" s="19">
        <f t="shared" si="26"/>
        <v>840.19875473672278</v>
      </c>
      <c r="AH70" s="19">
        <f t="shared" si="26"/>
        <v>844.40444308120334</v>
      </c>
    </row>
    <row r="71" spans="1:34" s="20" customFormat="1" ht="15">
      <c r="A71" s="27" t="s">
        <v>142</v>
      </c>
      <c r="B71" s="39"/>
      <c r="C71" s="334">
        <f>C53*Inputs!$H$60</f>
        <v>3517.0740000000001</v>
      </c>
      <c r="D71" s="334">
        <f>D53*Inputs!$H$60</f>
        <v>3371.643</v>
      </c>
      <c r="E71" s="334">
        <f>E53*Inputs!$H$60</f>
        <v>3466.0430580599996</v>
      </c>
      <c r="F71" s="334">
        <f>F53*Inputs!$H$60</f>
        <v>3475.6780766400007</v>
      </c>
      <c r="G71" s="334">
        <f>G53*Inputs!$H$60</f>
        <v>3219.6046578300002</v>
      </c>
      <c r="H71" s="19">
        <f>H53*Inputs!$H$60</f>
        <v>3343.4296532999997</v>
      </c>
      <c r="I71" s="19">
        <f>I53*Inputs!$H$60</f>
        <v>3621.3204901500003</v>
      </c>
      <c r="J71" s="19">
        <f>J53*Inputs!$H$60</f>
        <v>3600.3337098299999</v>
      </c>
      <c r="K71" s="19">
        <f>K53*Inputs!$H$60</f>
        <v>3708.1457027999995</v>
      </c>
      <c r="L71" s="19">
        <f>L53*Inputs!$H$60</f>
        <v>3731.9278609799999</v>
      </c>
      <c r="M71" s="19">
        <f>M53*Inputs!$H$60</f>
        <v>3724.7214500099999</v>
      </c>
      <c r="N71" s="190">
        <f>N53*Inputs!$H$60</f>
        <v>3727.3246144200002</v>
      </c>
      <c r="O71" s="19">
        <f>O53*Inputs!$H$60</f>
        <v>3617.4916384199996</v>
      </c>
      <c r="P71" s="19">
        <f>P53*Inputs!$H$60</f>
        <v>3570.7843442699996</v>
      </c>
      <c r="Q71" s="19">
        <f>Q53*Inputs!$H$60</f>
        <v>3572.1149953499998</v>
      </c>
      <c r="R71" s="19">
        <f>R53*Inputs!$H$60</f>
        <v>3571.8535907999999</v>
      </c>
      <c r="S71" s="19">
        <f>S53*Inputs!$H$60</f>
        <v>3573.2644289099994</v>
      </c>
      <c r="T71" s="19">
        <f>T53*Inputs!$H$60</f>
        <v>3561.3997917299989</v>
      </c>
      <c r="U71" s="19">
        <f>U53*Inputs!$H$60</f>
        <v>3555.9847986300001</v>
      </c>
      <c r="V71" s="19">
        <f>V53*Inputs!$H$60</f>
        <v>3550.7830346999999</v>
      </c>
      <c r="W71" s="19">
        <f>W53*Inputs!$H$60</f>
        <v>3547.2697632899999</v>
      </c>
      <c r="X71" s="182">
        <f>X53*Inputs!$H$60</f>
        <v>3543.13483425</v>
      </c>
      <c r="Y71" s="19">
        <f>Y53*Inputs!$H$60</f>
        <v>3538.7725220100001</v>
      </c>
      <c r="Z71" s="19">
        <f>Z53*Inputs!$H$60</f>
        <v>3525.7085532899996</v>
      </c>
      <c r="AA71" s="19">
        <f>AA53*Inputs!$H$60</f>
        <v>3521.4525254699997</v>
      </c>
      <c r="AB71" s="19">
        <f>AB53*Inputs!$H$60</f>
        <v>3517.4697020099993</v>
      </c>
      <c r="AC71" s="19">
        <f>AC53*Inputs!$H$60</f>
        <v>3514.42397295</v>
      </c>
      <c r="AD71" s="19">
        <f>AD53*Inputs!$H$60</f>
        <v>3512.3390240399999</v>
      </c>
      <c r="AE71" s="19">
        <f>AE53*Inputs!$H$60</f>
        <v>3507.6809126699995</v>
      </c>
      <c r="AF71" s="19">
        <f>AF53*Inputs!$H$60</f>
        <v>3503.5606544399998</v>
      </c>
      <c r="AG71" s="19">
        <f>AG53*Inputs!$H$60</f>
        <v>3499.9085988899992</v>
      </c>
      <c r="AH71" s="19">
        <f>AH53*Inputs!$H$60</f>
        <v>3495.7667794500003</v>
      </c>
    </row>
    <row r="72" spans="1:34" s="20" customFormat="1" ht="15">
      <c r="A72" s="27" t="s">
        <v>222</v>
      </c>
      <c r="B72" s="39"/>
      <c r="C72" s="334">
        <f>C54*Inputs!$H$61</f>
        <v>637.95600000000002</v>
      </c>
      <c r="D72" s="334">
        <f>D54*Inputs!$H$61</f>
        <v>639.04499999999996</v>
      </c>
      <c r="E72" s="334">
        <f>E54*Inputs!$H$61</f>
        <v>655.71955019999996</v>
      </c>
      <c r="F72" s="334">
        <f>F54*Inputs!$H$61</f>
        <v>785.37284099999999</v>
      </c>
      <c r="G72" s="334">
        <f>G54*Inputs!$H$61</f>
        <v>971.7139476000001</v>
      </c>
      <c r="H72" s="19">
        <f>H54*Inputs!$H$61</f>
        <v>952.22399580000024</v>
      </c>
      <c r="I72" s="19">
        <f>I54*Inputs!$H$61</f>
        <v>615.76667459999999</v>
      </c>
      <c r="J72" s="19">
        <f>J54*Inputs!$H$61</f>
        <v>665.69904720000011</v>
      </c>
      <c r="K72" s="19">
        <f>K54*Inputs!$H$61</f>
        <v>661.44151260000001</v>
      </c>
      <c r="L72" s="19">
        <f>L54*Inputs!$H$61</f>
        <v>730.21396140000002</v>
      </c>
      <c r="M72" s="19">
        <f>M54*Inputs!$H$61</f>
        <v>759.13500960000022</v>
      </c>
      <c r="N72" s="190">
        <f>N54*Inputs!$H$61</f>
        <v>791.85195540000007</v>
      </c>
      <c r="O72" s="19">
        <f>O54*Inputs!$H$61</f>
        <v>910.26720179999995</v>
      </c>
      <c r="P72" s="19">
        <f>P54*Inputs!$H$61</f>
        <v>1020.5656560000002</v>
      </c>
      <c r="Q72" s="19">
        <f>Q54*Inputs!$H$61</f>
        <v>1093.6474956000002</v>
      </c>
      <c r="R72" s="19">
        <f>R54*Inputs!$H$61</f>
        <v>1122.4455264000001</v>
      </c>
      <c r="S72" s="19">
        <f>S54*Inputs!$H$61</f>
        <v>1180.1267478000002</v>
      </c>
      <c r="T72" s="19">
        <f>T54*Inputs!$H$61</f>
        <v>1259.2392714000002</v>
      </c>
      <c r="U72" s="19">
        <f>U54*Inputs!$H$61</f>
        <v>1305.3167226</v>
      </c>
      <c r="V72" s="19">
        <f>V54*Inputs!$H$61</f>
        <v>1337.6034540000003</v>
      </c>
      <c r="W72" s="19">
        <f>W54*Inputs!$H$61</f>
        <v>1407.7672686000001</v>
      </c>
      <c r="X72" s="182">
        <f>X54*Inputs!$H$61</f>
        <v>1469.9567916000001</v>
      </c>
      <c r="Y72" s="19">
        <f>Y54*Inputs!$H$61</f>
        <v>1469.0841462000001</v>
      </c>
      <c r="Z72" s="19">
        <f>Z54*Inputs!$H$61</f>
        <v>1528.6795524000001</v>
      </c>
      <c r="AA72" s="19">
        <f>AA54*Inputs!$H$61</f>
        <v>1556.5874544000003</v>
      </c>
      <c r="AB72" s="19">
        <f>AB54*Inputs!$H$61</f>
        <v>1570.8182094000003</v>
      </c>
      <c r="AC72" s="19">
        <f>AC54*Inputs!$H$61</f>
        <v>1589.4363078000001</v>
      </c>
      <c r="AD72" s="19">
        <f>AD54*Inputs!$H$61</f>
        <v>1579.2557220000001</v>
      </c>
      <c r="AE72" s="19">
        <f>AE54*Inputs!$H$61</f>
        <v>1584.0217206000002</v>
      </c>
      <c r="AF72" s="19">
        <f>AF54*Inputs!$H$61</f>
        <v>1609.4753532000002</v>
      </c>
      <c r="AG72" s="19">
        <f>AG54*Inputs!$H$61</f>
        <v>1669.5797184000003</v>
      </c>
      <c r="AH72" s="19">
        <f>AH54*Inputs!$H$61</f>
        <v>1723.0071870000002</v>
      </c>
    </row>
    <row r="73" spans="1:34" ht="15">
      <c r="A73" s="27" t="s">
        <v>58</v>
      </c>
      <c r="C73" s="331">
        <f>SUM(C70:C72)</f>
        <v>4361.4910799999998</v>
      </c>
      <c r="D73" s="331">
        <f t="shared" ref="D73:AH73" si="27">SUM(D70:D72)</f>
        <v>4243.0780800000002</v>
      </c>
      <c r="E73" s="331">
        <f t="shared" si="27"/>
        <v>4392.7095251649444</v>
      </c>
      <c r="F73" s="331">
        <f t="shared" si="27"/>
        <v>4541.8601367863848</v>
      </c>
      <c r="G73" s="331">
        <f t="shared" si="27"/>
        <v>4484.6041710532227</v>
      </c>
      <c r="H73" s="14">
        <f t="shared" si="27"/>
        <v>4596.3063497296553</v>
      </c>
      <c r="I73" s="14">
        <f t="shared" si="27"/>
        <v>4549.1074566048537</v>
      </c>
      <c r="J73" s="14">
        <f t="shared" si="27"/>
        <v>4606.5344702818766</v>
      </c>
      <c r="K73" s="14">
        <f t="shared" si="27"/>
        <v>4746.0715328921333</v>
      </c>
      <c r="L73" s="14">
        <f t="shared" si="27"/>
        <v>4857.8447000980314</v>
      </c>
      <c r="M73" s="14">
        <f t="shared" si="27"/>
        <v>4887.8717488937209</v>
      </c>
      <c r="N73" s="190">
        <f t="shared" si="27"/>
        <v>4924.772412781701</v>
      </c>
      <c r="O73" s="14">
        <f t="shared" si="27"/>
        <v>4944.2080233879033</v>
      </c>
      <c r="P73" s="14">
        <f t="shared" si="27"/>
        <v>5026.0904071650039</v>
      </c>
      <c r="Q73" s="14">
        <f t="shared" si="27"/>
        <v>5125.3989792595094</v>
      </c>
      <c r="R73" s="14">
        <f t="shared" si="27"/>
        <v>5180.3012188186267</v>
      </c>
      <c r="S73" s="14">
        <f t="shared" si="27"/>
        <v>5258.0892713696021</v>
      </c>
      <c r="T73" s="14">
        <f t="shared" si="27"/>
        <v>5353.1000401740948</v>
      </c>
      <c r="U73" s="14">
        <f t="shared" si="27"/>
        <v>5417.7288219912243</v>
      </c>
      <c r="V73" s="14">
        <f t="shared" si="27"/>
        <v>5457.9553418452897</v>
      </c>
      <c r="W73" s="14">
        <f t="shared" si="27"/>
        <v>5526.7653243933528</v>
      </c>
      <c r="X73" s="187">
        <f t="shared" si="27"/>
        <v>5597.2931957001747</v>
      </c>
      <c r="Y73" s="14">
        <f t="shared" si="27"/>
        <v>5624.6275303889297</v>
      </c>
      <c r="Z73" s="14">
        <f t="shared" si="27"/>
        <v>5719.96127460144</v>
      </c>
      <c r="AA73" s="14">
        <f t="shared" si="27"/>
        <v>5788.3847588487388</v>
      </c>
      <c r="AB73" s="14">
        <f t="shared" si="27"/>
        <v>5842.8140860852136</v>
      </c>
      <c r="AC73" s="14">
        <f t="shared" si="27"/>
        <v>5869.669692146379</v>
      </c>
      <c r="AD73" s="14">
        <f t="shared" si="27"/>
        <v>5880.5121364941797</v>
      </c>
      <c r="AE73" s="14">
        <f t="shared" si="27"/>
        <v>5900.3721244059361</v>
      </c>
      <c r="AF73" s="14">
        <f t="shared" si="27"/>
        <v>5937.650558937089</v>
      </c>
      <c r="AG73" s="14">
        <f t="shared" si="27"/>
        <v>6009.6870720267225</v>
      </c>
      <c r="AH73" s="14">
        <f t="shared" si="27"/>
        <v>6063.1784095312041</v>
      </c>
    </row>
    <row r="75" spans="1:34">
      <c r="B75" s="89"/>
      <c r="H75" s="89"/>
      <c r="I75" s="89"/>
      <c r="J75" s="89"/>
      <c r="K75" s="89"/>
      <c r="L75" s="89"/>
      <c r="M75" s="89"/>
      <c r="N75" s="190"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35">
        <f>'backup - EIA liq_fuelS_aeo2014'!E46</f>
        <v>273.77869168296451</v>
      </c>
      <c r="D78" s="335">
        <f>'backup - EIA liq_fuelS_aeo2014'!F46</f>
        <v>330.59007454663532</v>
      </c>
      <c r="E78" s="335">
        <f>'backup - EIA liq_fuelS_aeo2014'!G46</f>
        <v>346.41273999999999</v>
      </c>
      <c r="F78" s="335">
        <f>'backup - EIA liq_fuelS_aeo2014'!H46</f>
        <v>332.23648773503913</v>
      </c>
      <c r="G78" s="335">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90">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91">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330" t="e">
        <f>C78*Inputs!$C58</f>
        <v>#REF!</v>
      </c>
      <c r="D83" s="330" t="e">
        <f>D78*Inputs!$C58</f>
        <v>#REF!</v>
      </c>
      <c r="E83" s="330" t="e">
        <f>E78*Inputs!$C58</f>
        <v>#REF!</v>
      </c>
      <c r="F83" s="330" t="e">
        <f>F78*Inputs!$C58</f>
        <v>#REF!</v>
      </c>
      <c r="G83" s="330" t="e">
        <f>G78*Inputs!$C58</f>
        <v>#REF!</v>
      </c>
      <c r="H83" s="50" t="e">
        <f>H78*Inputs!$C58</f>
        <v>#REF!</v>
      </c>
      <c r="I83" s="50" t="e">
        <f>I78*Inputs!$C58</f>
        <v>#REF!</v>
      </c>
      <c r="J83" s="50" t="e">
        <f>J78*Inputs!$C58</f>
        <v>#REF!</v>
      </c>
      <c r="K83" s="50" t="e">
        <f>K78*Inputs!$C58</f>
        <v>#REF!</v>
      </c>
      <c r="L83" s="50" t="e">
        <f>L78*Inputs!$C58</f>
        <v>#REF!</v>
      </c>
      <c r="M83" s="50" t="e">
        <f>M78*Inputs!$C58</f>
        <v>#REF!</v>
      </c>
      <c r="N83" s="388"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4"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
  <sheetViews>
    <sheetView tabSelected="1" zoomScale="85" zoomScaleNormal="85" zoomScalePageLayoutView="85" workbookViewId="0">
      <selection sqref="A1:XFD1048576"/>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417" customWidth="1"/>
    <col min="6" max="6" width="9" style="417" customWidth="1"/>
    <col min="7" max="7" width="9.6640625" style="81" customWidth="1"/>
    <col min="8" max="8" width="10.83203125" style="417" customWidth="1"/>
    <col min="9" max="9" width="5.6640625" style="417" bestFit="1" customWidth="1"/>
    <col min="10" max="10" width="9.33203125" style="417" customWidth="1"/>
    <col min="11" max="11" width="6.5" style="417" customWidth="1"/>
    <col min="12" max="12" width="9.6640625" style="417" customWidth="1"/>
    <col min="13" max="13" width="5.6640625" style="417"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36"/>
      <c r="B1" s="536"/>
      <c r="C1" s="536"/>
      <c r="D1" s="536"/>
      <c r="E1" s="536"/>
      <c r="F1" s="536"/>
      <c r="G1" s="536"/>
      <c r="H1" s="536"/>
      <c r="I1" s="536"/>
      <c r="J1" s="536"/>
      <c r="K1" s="536"/>
      <c r="L1" s="536"/>
      <c r="M1" s="536"/>
      <c r="N1" s="536"/>
      <c r="O1" s="536"/>
      <c r="P1" s="536"/>
    </row>
    <row r="2" spans="1:16">
      <c r="A2" s="536"/>
      <c r="B2" s="536"/>
      <c r="C2" s="536"/>
      <c r="D2" s="536"/>
      <c r="E2" s="536"/>
      <c r="F2" s="536"/>
      <c r="G2" s="536"/>
      <c r="H2" s="536"/>
      <c r="I2" s="536"/>
      <c r="J2" s="536"/>
      <c r="K2" s="536"/>
      <c r="L2" s="536"/>
      <c r="M2" s="536"/>
      <c r="N2" s="536"/>
      <c r="O2" s="536"/>
      <c r="P2" s="536"/>
    </row>
    <row r="3" spans="1:16">
      <c r="A3" s="536"/>
      <c r="B3" s="536"/>
      <c r="C3" s="536"/>
      <c r="D3" s="536"/>
      <c r="E3" s="536"/>
      <c r="F3" s="536"/>
      <c r="G3" s="536"/>
      <c r="H3" s="536"/>
      <c r="I3" s="536"/>
      <c r="J3" s="536"/>
      <c r="K3" s="536"/>
      <c r="L3" s="536"/>
      <c r="M3" s="536"/>
      <c r="N3" s="536"/>
      <c r="O3" s="536"/>
      <c r="P3" s="536"/>
    </row>
    <row r="4" spans="1:16">
      <c r="A4" s="536"/>
      <c r="B4" s="536"/>
      <c r="C4" s="536"/>
      <c r="D4" s="536"/>
      <c r="E4" s="536"/>
      <c r="F4" s="536"/>
      <c r="G4" s="536"/>
      <c r="H4" s="536"/>
      <c r="I4" s="536"/>
      <c r="J4" s="536"/>
      <c r="K4" s="536"/>
      <c r="L4" s="536"/>
      <c r="M4" s="536"/>
      <c r="N4" s="536"/>
      <c r="O4" s="536"/>
      <c r="P4" s="536"/>
    </row>
    <row r="5" spans="1:16">
      <c r="A5" s="536"/>
      <c r="B5" s="536"/>
      <c r="C5" s="536"/>
      <c r="D5" s="536"/>
      <c r="E5" s="536"/>
      <c r="F5" s="536"/>
      <c r="G5" s="536"/>
      <c r="H5" s="536"/>
      <c r="I5" s="536"/>
      <c r="J5" s="536"/>
      <c r="K5" s="536"/>
      <c r="L5" s="536"/>
      <c r="M5" s="536"/>
      <c r="N5" s="536"/>
      <c r="O5" s="536"/>
      <c r="P5" s="536"/>
    </row>
    <row r="6" spans="1:16">
      <c r="A6" s="536"/>
      <c r="B6" s="536"/>
      <c r="C6" s="536"/>
      <c r="D6" s="536"/>
      <c r="E6" s="536"/>
      <c r="F6" s="536"/>
      <c r="G6" s="536"/>
      <c r="H6" s="536"/>
      <c r="I6" s="536"/>
      <c r="J6" s="536"/>
      <c r="K6" s="536"/>
      <c r="L6" s="536"/>
      <c r="M6" s="536"/>
      <c r="N6" s="536"/>
      <c r="O6" s="536"/>
      <c r="P6" s="536"/>
    </row>
    <row r="7" spans="1:16">
      <c r="A7" s="536"/>
      <c r="B7" s="536"/>
      <c r="C7" s="536"/>
      <c r="D7" s="536"/>
      <c r="E7" s="536"/>
      <c r="F7" s="536"/>
      <c r="G7" s="536"/>
      <c r="H7" s="536"/>
      <c r="I7" s="536"/>
      <c r="J7" s="536"/>
      <c r="K7" s="536"/>
      <c r="L7" s="536"/>
      <c r="M7" s="536"/>
      <c r="N7" s="536"/>
      <c r="O7" s="536"/>
      <c r="P7" s="536"/>
    </row>
    <row r="8" spans="1:16">
      <c r="A8" s="536"/>
      <c r="B8" s="536"/>
      <c r="C8" s="536"/>
      <c r="D8" s="536"/>
      <c r="E8" s="536"/>
      <c r="F8" s="536"/>
      <c r="G8" s="536"/>
      <c r="H8" s="536"/>
      <c r="I8" s="536"/>
      <c r="J8" s="536"/>
      <c r="K8" s="536"/>
      <c r="L8" s="536"/>
      <c r="M8" s="536"/>
      <c r="N8" s="536"/>
      <c r="O8" s="536"/>
      <c r="P8" s="536"/>
    </row>
    <row r="9" spans="1:16" ht="2.25" customHeight="1">
      <c r="A9" s="536"/>
      <c r="B9" s="536"/>
      <c r="C9" s="536"/>
      <c r="D9" s="536"/>
      <c r="E9" s="536"/>
      <c r="F9" s="536"/>
      <c r="G9" s="536"/>
      <c r="H9" s="536"/>
      <c r="I9" s="536"/>
      <c r="J9" s="536"/>
      <c r="K9" s="536"/>
      <c r="L9" s="536"/>
      <c r="M9" s="536"/>
      <c r="N9" s="536"/>
      <c r="O9" s="536"/>
      <c r="P9" s="536"/>
    </row>
    <row r="10" spans="1:16" hidden="1">
      <c r="A10" s="536"/>
      <c r="B10" s="536"/>
      <c r="C10" s="536"/>
      <c r="D10" s="536"/>
      <c r="E10" s="536"/>
      <c r="F10" s="536"/>
      <c r="G10" s="536"/>
      <c r="H10" s="536"/>
      <c r="I10" s="536"/>
      <c r="J10" s="536"/>
      <c r="K10" s="536"/>
      <c r="L10" s="536"/>
      <c r="M10" s="536"/>
      <c r="N10" s="536"/>
      <c r="O10" s="536"/>
      <c r="P10" s="536"/>
    </row>
    <row r="11" spans="1:16">
      <c r="A11" s="537" t="s">
        <v>212</v>
      </c>
      <c r="B11" s="539">
        <v>2000</v>
      </c>
      <c r="C11" s="541" t="s">
        <v>219</v>
      </c>
      <c r="D11" s="541" t="s">
        <v>556</v>
      </c>
      <c r="E11" s="544" t="s">
        <v>213</v>
      </c>
      <c r="F11" s="545"/>
      <c r="G11" s="539"/>
      <c r="H11" s="548" t="s">
        <v>557</v>
      </c>
      <c r="I11" s="549"/>
      <c r="J11" s="549"/>
      <c r="K11" s="549"/>
      <c r="L11" s="549"/>
      <c r="M11" s="549"/>
      <c r="N11" s="549"/>
      <c r="O11" s="550"/>
    </row>
    <row r="12" spans="1:16">
      <c r="A12" s="538"/>
      <c r="B12" s="540"/>
      <c r="C12" s="542"/>
      <c r="D12" s="542"/>
      <c r="E12" s="546"/>
      <c r="F12" s="547"/>
      <c r="G12" s="540"/>
      <c r="H12" s="547" t="s">
        <v>214</v>
      </c>
      <c r="I12" s="540"/>
      <c r="J12" s="546" t="s">
        <v>215</v>
      </c>
      <c r="K12" s="540"/>
      <c r="L12" s="546" t="s">
        <v>216</v>
      </c>
      <c r="M12" s="547"/>
      <c r="N12" s="547"/>
      <c r="O12" s="540"/>
    </row>
    <row r="13" spans="1:16" ht="67" thickBot="1">
      <c r="A13" s="211" t="s">
        <v>217</v>
      </c>
      <c r="B13" s="211" t="s">
        <v>218</v>
      </c>
      <c r="C13" s="543"/>
      <c r="D13" s="543"/>
      <c r="E13" s="411" t="s">
        <v>558</v>
      </c>
      <c r="F13" s="435" t="s">
        <v>559</v>
      </c>
      <c r="G13" s="212" t="s">
        <v>308</v>
      </c>
      <c r="H13" s="423" t="s">
        <v>360</v>
      </c>
      <c r="I13" s="435" t="s">
        <v>560</v>
      </c>
      <c r="J13" s="411" t="s">
        <v>360</v>
      </c>
      <c r="K13" s="435" t="s">
        <v>560</v>
      </c>
      <c r="L13" s="411" t="s">
        <v>360</v>
      </c>
      <c r="M13" s="435" t="s">
        <v>560</v>
      </c>
      <c r="N13" s="212" t="s">
        <v>58</v>
      </c>
      <c r="O13" s="212" t="s">
        <v>561</v>
      </c>
    </row>
    <row r="14" spans="1:16" ht="13" thickTop="1">
      <c r="A14" s="443" t="s">
        <v>562</v>
      </c>
      <c r="B14" s="443" t="s">
        <v>563</v>
      </c>
      <c r="C14" s="444">
        <v>0.85</v>
      </c>
      <c r="D14" s="445">
        <v>40</v>
      </c>
      <c r="E14" s="433">
        <v>4.29</v>
      </c>
      <c r="F14" s="446">
        <v>1.53</v>
      </c>
      <c r="G14" s="434">
        <v>0</v>
      </c>
      <c r="H14" s="447">
        <f t="shared" ref="H14:H32" si="0">E14/D14</f>
        <v>0.10725</v>
      </c>
      <c r="I14" s="434">
        <f t="shared" ref="I14:I32" si="1">F14+G14*8760/1000*C14</f>
        <v>1.53</v>
      </c>
      <c r="J14" s="448">
        <f t="shared" ref="J14:J32" si="2">H14/C14</f>
        <v>0.12617647058823531</v>
      </c>
      <c r="K14" s="434">
        <f t="shared" ref="K14:K32" si="3">I14/C14</f>
        <v>1.8</v>
      </c>
      <c r="L14" s="448">
        <f t="shared" ref="L14:M31" si="4">J14/8760*1000</f>
        <v>1.4403706688154716E-2</v>
      </c>
      <c r="M14" s="434">
        <f t="shared" si="4"/>
        <v>0.20547945205479454</v>
      </c>
      <c r="N14" s="449">
        <f t="shared" ref="N14:N32" si="5">SUM(L14:M14)</f>
        <v>0.21988315874294925</v>
      </c>
      <c r="O14" s="559">
        <f>AVERAGE(N14:N15)</f>
        <v>0.20532702121944668</v>
      </c>
    </row>
    <row r="15" spans="1:16" ht="13" thickBot="1">
      <c r="A15" s="223" t="s">
        <v>564</v>
      </c>
      <c r="B15" s="223" t="s">
        <v>565</v>
      </c>
      <c r="C15" s="224">
        <v>0.85</v>
      </c>
      <c r="D15" s="225">
        <v>40</v>
      </c>
      <c r="E15" s="226">
        <v>8.5</v>
      </c>
      <c r="F15" s="432">
        <v>0.24</v>
      </c>
      <c r="G15" s="531">
        <v>0.13</v>
      </c>
      <c r="H15" s="414">
        <f t="shared" si="0"/>
        <v>0.21249999999999999</v>
      </c>
      <c r="I15" s="531">
        <f t="shared" si="1"/>
        <v>1.2079800000000001</v>
      </c>
      <c r="J15" s="427">
        <f t="shared" si="2"/>
        <v>0.25</v>
      </c>
      <c r="K15" s="531">
        <f t="shared" si="3"/>
        <v>1.4211529411764707</v>
      </c>
      <c r="L15" s="427">
        <f t="shared" si="4"/>
        <v>2.8538812785388126E-2</v>
      </c>
      <c r="M15" s="531">
        <f t="shared" si="4"/>
        <v>0.16223207091055603</v>
      </c>
      <c r="N15" s="419">
        <f t="shared" si="5"/>
        <v>0.19077088369594414</v>
      </c>
      <c r="O15" s="560"/>
    </row>
    <row r="16" spans="1:16">
      <c r="A16" s="227" t="s">
        <v>566</v>
      </c>
      <c r="B16" s="227" t="s">
        <v>567</v>
      </c>
      <c r="C16" s="228">
        <v>0.9</v>
      </c>
      <c r="D16" s="229">
        <v>40</v>
      </c>
      <c r="E16" s="230">
        <f>36000/5600</f>
        <v>6.4285714285714288</v>
      </c>
      <c r="F16" s="464">
        <f>10000/5600</f>
        <v>1.7857142857142858</v>
      </c>
      <c r="G16" s="230">
        <v>0</v>
      </c>
      <c r="H16" s="412">
        <f t="shared" si="0"/>
        <v>0.16071428571428573</v>
      </c>
      <c r="I16" s="532">
        <f t="shared" si="1"/>
        <v>1.7857142857142858</v>
      </c>
      <c r="J16" s="428">
        <f t="shared" si="2"/>
        <v>0.17857142857142858</v>
      </c>
      <c r="K16" s="532">
        <f t="shared" si="3"/>
        <v>1.9841269841269842</v>
      </c>
      <c r="L16" s="428">
        <f t="shared" si="4"/>
        <v>2.0384866275277233E-2</v>
      </c>
      <c r="M16" s="532">
        <f t="shared" si="4"/>
        <v>0.22649851416974706</v>
      </c>
      <c r="N16" s="421">
        <f t="shared" si="5"/>
        <v>0.24688338044502428</v>
      </c>
      <c r="O16" s="561">
        <f>AVERAGE(N16:N18)</f>
        <v>0.24750247638375492</v>
      </c>
    </row>
    <row r="17" spans="1:15">
      <c r="A17" s="217" t="s">
        <v>568</v>
      </c>
      <c r="B17" s="217" t="s">
        <v>312</v>
      </c>
      <c r="C17" s="218">
        <v>0.9</v>
      </c>
      <c r="D17" s="219">
        <v>40</v>
      </c>
      <c r="E17" s="216">
        <v>17.5</v>
      </c>
      <c r="F17" s="530">
        <v>1.7</v>
      </c>
      <c r="G17" s="216">
        <v>0</v>
      </c>
      <c r="H17" s="529">
        <f>E17/D17</f>
        <v>0.4375</v>
      </c>
      <c r="I17" s="533">
        <f>F17+G17*8760/1000*C17</f>
        <v>1.7</v>
      </c>
      <c r="J17" s="429">
        <f>H17/C17</f>
        <v>0.4861111111111111</v>
      </c>
      <c r="K17" s="533">
        <f>I17/C17</f>
        <v>1.8888888888888888</v>
      </c>
      <c r="L17" s="429">
        <f t="shared" si="4"/>
        <v>5.5492135971588023E-2</v>
      </c>
      <c r="M17" s="533">
        <f t="shared" si="4"/>
        <v>0.21562658548959918</v>
      </c>
      <c r="N17" s="420">
        <f>SUM(L17:M17)</f>
        <v>0.27111872146118721</v>
      </c>
      <c r="O17" s="562"/>
    </row>
    <row r="18" spans="1:15" ht="13" thickBot="1">
      <c r="A18" s="451" t="s">
        <v>569</v>
      </c>
      <c r="B18" s="451" t="s">
        <v>563</v>
      </c>
      <c r="C18" s="452">
        <v>0.9</v>
      </c>
      <c r="D18" s="453">
        <v>40</v>
      </c>
      <c r="E18" s="438">
        <v>4</v>
      </c>
      <c r="F18" s="450">
        <v>1.67</v>
      </c>
      <c r="G18" s="438">
        <v>0</v>
      </c>
      <c r="H18" s="454">
        <f>E18/D18</f>
        <v>0.1</v>
      </c>
      <c r="I18" s="439">
        <f>F18+G18*8760/1000*C18</f>
        <v>1.67</v>
      </c>
      <c r="J18" s="441">
        <f>H18/C18</f>
        <v>0.11111111111111112</v>
      </c>
      <c r="K18" s="439">
        <f>I18/C18</f>
        <v>1.8555555555555554</v>
      </c>
      <c r="L18" s="441">
        <f t="shared" si="4"/>
        <v>1.2683916793505836E-2</v>
      </c>
      <c r="M18" s="439">
        <f t="shared" si="4"/>
        <v>0.21182141045154743</v>
      </c>
      <c r="N18" s="442">
        <f>SUM(L18:M18)</f>
        <v>0.22450532724505326</v>
      </c>
      <c r="O18" s="560"/>
    </row>
    <row r="19" spans="1:15">
      <c r="A19" s="227" t="s">
        <v>570</v>
      </c>
      <c r="B19" s="227" t="s">
        <v>312</v>
      </c>
      <c r="C19" s="228">
        <v>0.85</v>
      </c>
      <c r="D19" s="229">
        <v>40</v>
      </c>
      <c r="E19" s="230">
        <v>21.3</v>
      </c>
      <c r="F19" s="464">
        <v>7.8</v>
      </c>
      <c r="G19" s="230">
        <v>0</v>
      </c>
      <c r="H19" s="412">
        <f>E19/D19</f>
        <v>0.53249999999999997</v>
      </c>
      <c r="I19" s="532">
        <f>F19+G19*8760/1000*C19</f>
        <v>7.8</v>
      </c>
      <c r="J19" s="428">
        <f>H19/C19</f>
        <v>0.62647058823529411</v>
      </c>
      <c r="K19" s="532">
        <f>I19/C19</f>
        <v>9.1764705882352935</v>
      </c>
      <c r="L19" s="428">
        <f t="shared" si="4"/>
        <v>7.1514907332796127E-2</v>
      </c>
      <c r="M19" s="532">
        <f t="shared" si="4"/>
        <v>1.0475423045930701</v>
      </c>
      <c r="N19" s="421">
        <f>SUM(L19:M19)</f>
        <v>1.1190572119258662</v>
      </c>
      <c r="O19" s="561">
        <f>AVERAGE(N19:N20)</f>
        <v>0.71885911899006172</v>
      </c>
    </row>
    <row r="20" spans="1:15" ht="13" thickBot="1">
      <c r="A20" s="451" t="s">
        <v>571</v>
      </c>
      <c r="B20" s="451" t="s">
        <v>563</v>
      </c>
      <c r="C20" s="452">
        <v>0.85</v>
      </c>
      <c r="D20" s="453">
        <v>40</v>
      </c>
      <c r="E20" s="438">
        <v>3.71</v>
      </c>
      <c r="F20" s="450">
        <v>2.2799999999999998</v>
      </c>
      <c r="G20" s="438">
        <v>0</v>
      </c>
      <c r="H20" s="454">
        <f t="shared" si="0"/>
        <v>9.2749999999999999E-2</v>
      </c>
      <c r="I20" s="439">
        <f t="shared" si="1"/>
        <v>2.2799999999999998</v>
      </c>
      <c r="J20" s="441">
        <f t="shared" si="2"/>
        <v>0.10911764705882353</v>
      </c>
      <c r="K20" s="439">
        <f t="shared" si="3"/>
        <v>2.6823529411764704</v>
      </c>
      <c r="L20" s="441">
        <f t="shared" si="4"/>
        <v>1.2456352403975288E-2</v>
      </c>
      <c r="M20" s="439">
        <f t="shared" si="4"/>
        <v>0.30620467365028203</v>
      </c>
      <c r="N20" s="442">
        <f t="shared" si="5"/>
        <v>0.31866102605425733</v>
      </c>
      <c r="O20" s="560"/>
    </row>
    <row r="21" spans="1:15" ht="13" thickBot="1">
      <c r="A21" s="231" t="s">
        <v>572</v>
      </c>
      <c r="B21" s="231" t="s">
        <v>563</v>
      </c>
      <c r="C21" s="232">
        <v>0.55000000000000004</v>
      </c>
      <c r="D21" s="233">
        <v>40</v>
      </c>
      <c r="E21" s="234">
        <v>5.71</v>
      </c>
      <c r="F21" s="462">
        <v>1.1399999999999999</v>
      </c>
      <c r="G21" s="234">
        <v>0</v>
      </c>
      <c r="H21" s="413">
        <f t="shared" si="0"/>
        <v>0.14274999999999999</v>
      </c>
      <c r="I21" s="235">
        <f t="shared" si="1"/>
        <v>1.1399999999999999</v>
      </c>
      <c r="J21" s="430">
        <f t="shared" si="2"/>
        <v>0.25954545454545452</v>
      </c>
      <c r="K21" s="235">
        <f t="shared" si="3"/>
        <v>2.0727272727272723</v>
      </c>
      <c r="L21" s="430">
        <f t="shared" si="4"/>
        <v>2.9628476546284761E-2</v>
      </c>
      <c r="M21" s="235">
        <f t="shared" si="4"/>
        <v>0.236612702366127</v>
      </c>
      <c r="N21" s="422">
        <f t="shared" si="5"/>
        <v>0.26624117891241178</v>
      </c>
      <c r="O21" s="235">
        <f>N21</f>
        <v>0.26624117891241178</v>
      </c>
    </row>
    <row r="22" spans="1:15">
      <c r="A22" s="236" t="s">
        <v>309</v>
      </c>
      <c r="B22" s="236" t="s">
        <v>573</v>
      </c>
      <c r="C22" s="237">
        <v>0.2</v>
      </c>
      <c r="D22" s="238">
        <v>25</v>
      </c>
      <c r="E22" s="239">
        <v>37</v>
      </c>
      <c r="F22" s="468">
        <v>1</v>
      </c>
      <c r="G22" s="239">
        <v>0</v>
      </c>
      <c r="H22" s="424">
        <f>E22/D22</f>
        <v>1.48</v>
      </c>
      <c r="I22" s="534">
        <f>F22+G22*8760/1000*C22</f>
        <v>1</v>
      </c>
      <c r="J22" s="431">
        <f>H22/C22</f>
        <v>7.3999999999999995</v>
      </c>
      <c r="K22" s="534">
        <f>I22/C22</f>
        <v>5</v>
      </c>
      <c r="L22" s="431">
        <f>J22/8760*1000</f>
        <v>0.84474885844748848</v>
      </c>
      <c r="M22" s="534">
        <f>K22/8760*1000</f>
        <v>0.57077625570776247</v>
      </c>
      <c r="N22" s="426">
        <f>SUM(L22:M22)</f>
        <v>1.415525114155251</v>
      </c>
      <c r="O22" s="566">
        <f>N39</f>
        <v>0.79313246811604099</v>
      </c>
    </row>
    <row r="23" spans="1:15">
      <c r="A23" s="455" t="s">
        <v>310</v>
      </c>
      <c r="B23" s="455" t="s">
        <v>221</v>
      </c>
      <c r="C23" s="456">
        <v>0.2</v>
      </c>
      <c r="D23" s="457">
        <v>25</v>
      </c>
      <c r="E23" s="458">
        <v>32.340000000000003</v>
      </c>
      <c r="F23" s="467">
        <v>0.37</v>
      </c>
      <c r="G23" s="458">
        <v>0</v>
      </c>
      <c r="H23" s="459">
        <f t="shared" si="0"/>
        <v>1.2936000000000001</v>
      </c>
      <c r="I23" s="528">
        <f t="shared" si="1"/>
        <v>0.37</v>
      </c>
      <c r="J23" s="460">
        <f t="shared" si="2"/>
        <v>6.468</v>
      </c>
      <c r="K23" s="528">
        <f t="shared" si="3"/>
        <v>1.8499999999999999</v>
      </c>
      <c r="L23" s="460">
        <f t="shared" si="4"/>
        <v>0.73835616438356166</v>
      </c>
      <c r="M23" s="528">
        <f t="shared" si="4"/>
        <v>0.21118721461187212</v>
      </c>
      <c r="N23" s="461">
        <f t="shared" si="5"/>
        <v>0.94954337899543373</v>
      </c>
      <c r="O23" s="567"/>
    </row>
    <row r="24" spans="1:15" ht="13" thickBot="1">
      <c r="A24" s="451" t="s">
        <v>311</v>
      </c>
      <c r="B24" s="451" t="s">
        <v>563</v>
      </c>
      <c r="C24" s="452">
        <v>0.2</v>
      </c>
      <c r="D24" s="451">
        <v>25</v>
      </c>
      <c r="E24" s="438">
        <v>7.14</v>
      </c>
      <c r="F24" s="450">
        <v>0.12</v>
      </c>
      <c r="G24" s="465">
        <v>0</v>
      </c>
      <c r="H24" s="454">
        <f t="shared" si="0"/>
        <v>0.28559999999999997</v>
      </c>
      <c r="I24" s="438">
        <f t="shared" si="1"/>
        <v>0.12</v>
      </c>
      <c r="J24" s="450">
        <f t="shared" si="2"/>
        <v>1.4279999999999997</v>
      </c>
      <c r="K24" s="438">
        <f t="shared" si="3"/>
        <v>0.6</v>
      </c>
      <c r="L24" s="450">
        <f t="shared" si="4"/>
        <v>0.16301369863013696</v>
      </c>
      <c r="M24" s="438">
        <f t="shared" si="4"/>
        <v>6.8493150684931503E-2</v>
      </c>
      <c r="N24" s="466">
        <f t="shared" si="5"/>
        <v>0.23150684931506846</v>
      </c>
      <c r="O24" s="568"/>
    </row>
    <row r="25" spans="1:15">
      <c r="A25" s="227" t="s">
        <v>434</v>
      </c>
      <c r="B25" s="227" t="s">
        <v>438</v>
      </c>
      <c r="C25" s="240">
        <v>0.4</v>
      </c>
      <c r="D25" s="229">
        <v>25</v>
      </c>
      <c r="E25" s="230">
        <f>10310/1000</f>
        <v>10.31</v>
      </c>
      <c r="F25" s="464">
        <v>1</v>
      </c>
      <c r="G25" s="230">
        <v>0</v>
      </c>
      <c r="H25" s="424">
        <f t="shared" si="0"/>
        <v>0.41240000000000004</v>
      </c>
      <c r="I25" s="534">
        <f t="shared" si="1"/>
        <v>1</v>
      </c>
      <c r="J25" s="431">
        <f t="shared" si="2"/>
        <v>1.0310000000000001</v>
      </c>
      <c r="K25" s="534">
        <f t="shared" si="3"/>
        <v>2.5</v>
      </c>
      <c r="L25" s="431">
        <f t="shared" si="4"/>
        <v>0.11769406392694066</v>
      </c>
      <c r="M25" s="534">
        <f t="shared" si="4"/>
        <v>0.28538812785388123</v>
      </c>
      <c r="N25" s="426">
        <f t="shared" si="5"/>
        <v>0.40308219178082189</v>
      </c>
      <c r="O25" s="561">
        <f>AVERAGE(N25:N26,N27)</f>
        <v>0.23028919330289191</v>
      </c>
    </row>
    <row r="26" spans="1:15">
      <c r="A26" s="214" t="s">
        <v>435</v>
      </c>
      <c r="B26" s="214" t="s">
        <v>437</v>
      </c>
      <c r="C26" s="220">
        <v>0.4</v>
      </c>
      <c r="D26" s="215">
        <v>25</v>
      </c>
      <c r="E26" s="216">
        <v>4.5</v>
      </c>
      <c r="F26" s="530">
        <v>0.38</v>
      </c>
      <c r="G26" s="533">
        <v>0</v>
      </c>
      <c r="H26" s="415">
        <f t="shared" si="0"/>
        <v>0.18</v>
      </c>
      <c r="I26" s="533">
        <f t="shared" si="1"/>
        <v>0.38</v>
      </c>
      <c r="J26" s="429">
        <f t="shared" si="2"/>
        <v>0.44999999999999996</v>
      </c>
      <c r="K26" s="533">
        <f t="shared" si="3"/>
        <v>0.95</v>
      </c>
      <c r="L26" s="429">
        <f t="shared" si="4"/>
        <v>5.1369863013698627E-2</v>
      </c>
      <c r="M26" s="533">
        <f t="shared" si="4"/>
        <v>0.10844748858447488</v>
      </c>
      <c r="N26" s="420">
        <f t="shared" si="5"/>
        <v>0.15981735159817351</v>
      </c>
      <c r="O26" s="562"/>
    </row>
    <row r="27" spans="1:15" ht="13" thickBot="1">
      <c r="A27" s="436" t="s">
        <v>436</v>
      </c>
      <c r="B27" s="436" t="s">
        <v>563</v>
      </c>
      <c r="C27" s="463">
        <v>0.4</v>
      </c>
      <c r="D27" s="436">
        <v>25</v>
      </c>
      <c r="E27" s="439">
        <v>5.71</v>
      </c>
      <c r="F27" s="441">
        <v>0.22</v>
      </c>
      <c r="G27" s="465">
        <v>0</v>
      </c>
      <c r="H27" s="440">
        <f t="shared" si="0"/>
        <v>0.22839999999999999</v>
      </c>
      <c r="I27" s="439">
        <f t="shared" si="1"/>
        <v>0.22</v>
      </c>
      <c r="J27" s="441">
        <f t="shared" si="2"/>
        <v>0.57099999999999995</v>
      </c>
      <c r="K27" s="439">
        <f t="shared" si="3"/>
        <v>0.54999999999999993</v>
      </c>
      <c r="L27" s="441">
        <f t="shared" si="4"/>
        <v>6.5182648401826485E-2</v>
      </c>
      <c r="M27" s="439">
        <f t="shared" si="4"/>
        <v>6.2785388127853878E-2</v>
      </c>
      <c r="N27" s="442">
        <f t="shared" si="5"/>
        <v>0.12796803652968036</v>
      </c>
      <c r="O27" s="560"/>
    </row>
    <row r="28" spans="1:15">
      <c r="A28" s="241" t="s">
        <v>574</v>
      </c>
      <c r="B28" s="241" t="s">
        <v>362</v>
      </c>
      <c r="C28" s="240">
        <v>0.35</v>
      </c>
      <c r="D28" s="229">
        <v>25</v>
      </c>
      <c r="E28" s="230">
        <v>10.1</v>
      </c>
      <c r="F28" s="464">
        <v>0.4</v>
      </c>
      <c r="G28" s="532">
        <v>0</v>
      </c>
      <c r="H28" s="425">
        <f t="shared" si="0"/>
        <v>0.40399999999999997</v>
      </c>
      <c r="I28" s="532">
        <f t="shared" si="1"/>
        <v>0.4</v>
      </c>
      <c r="J28" s="428">
        <f t="shared" si="2"/>
        <v>1.1542857142857144</v>
      </c>
      <c r="K28" s="532">
        <f t="shared" si="3"/>
        <v>1.142857142857143</v>
      </c>
      <c r="L28" s="428">
        <f t="shared" si="4"/>
        <v>0.13176777560339206</v>
      </c>
      <c r="M28" s="532">
        <f t="shared" si="4"/>
        <v>0.13046314416177432</v>
      </c>
      <c r="N28" s="421">
        <f t="shared" si="5"/>
        <v>0.26223091976516638</v>
      </c>
      <c r="O28" s="561">
        <f>AVERAGE(N28,N29,N30:N32)</f>
        <v>0.16974559686888452</v>
      </c>
    </row>
    <row r="29" spans="1:15">
      <c r="A29" s="214" t="s">
        <v>220</v>
      </c>
      <c r="B29" s="214" t="s">
        <v>221</v>
      </c>
      <c r="C29" s="220">
        <v>0.35</v>
      </c>
      <c r="D29" s="219">
        <v>25</v>
      </c>
      <c r="E29" s="216">
        <v>3.8</v>
      </c>
      <c r="F29" s="530">
        <v>0.14399999999999999</v>
      </c>
      <c r="G29" s="533">
        <v>0</v>
      </c>
      <c r="H29" s="415">
        <f t="shared" si="0"/>
        <v>0.152</v>
      </c>
      <c r="I29" s="533">
        <f t="shared" si="1"/>
        <v>0.14399999999999999</v>
      </c>
      <c r="J29" s="429">
        <f t="shared" si="2"/>
        <v>0.43428571428571427</v>
      </c>
      <c r="K29" s="533">
        <f t="shared" si="3"/>
        <v>0.41142857142857142</v>
      </c>
      <c r="L29" s="429">
        <f t="shared" si="4"/>
        <v>4.9575994781474238E-2</v>
      </c>
      <c r="M29" s="533">
        <f t="shared" si="4"/>
        <v>4.6966731898238752E-2</v>
      </c>
      <c r="N29" s="420">
        <f t="shared" si="5"/>
        <v>9.654272667971299E-2</v>
      </c>
      <c r="O29" s="562"/>
    </row>
    <row r="30" spans="1:15">
      <c r="A30" s="214" t="s">
        <v>361</v>
      </c>
      <c r="B30" s="214" t="s">
        <v>575</v>
      </c>
      <c r="C30" s="220">
        <v>0.35</v>
      </c>
      <c r="D30" s="215">
        <v>25</v>
      </c>
      <c r="E30" s="533">
        <v>10.96</v>
      </c>
      <c r="F30" s="429">
        <v>0.17499999999999999</v>
      </c>
      <c r="G30" s="533">
        <v>0</v>
      </c>
      <c r="H30" s="415">
        <f t="shared" si="0"/>
        <v>0.43840000000000001</v>
      </c>
      <c r="I30" s="533">
        <f t="shared" si="1"/>
        <v>0.17499999999999999</v>
      </c>
      <c r="J30" s="429">
        <f t="shared" si="2"/>
        <v>1.2525714285714287</v>
      </c>
      <c r="K30" s="533">
        <f t="shared" si="3"/>
        <v>0.5</v>
      </c>
      <c r="L30" s="429">
        <f t="shared" si="4"/>
        <v>0.14298760600130464</v>
      </c>
      <c r="M30" s="533">
        <f t="shared" si="4"/>
        <v>5.7077625570776253E-2</v>
      </c>
      <c r="N30" s="420">
        <f t="shared" si="5"/>
        <v>0.20006523157208089</v>
      </c>
      <c r="O30" s="562"/>
    </row>
    <row r="31" spans="1:15">
      <c r="A31" s="214" t="s">
        <v>576</v>
      </c>
      <c r="B31" s="214" t="s">
        <v>312</v>
      </c>
      <c r="C31" s="220">
        <v>0.35</v>
      </c>
      <c r="D31" s="215">
        <v>25</v>
      </c>
      <c r="E31" s="533">
        <v>7.4</v>
      </c>
      <c r="F31" s="429">
        <v>0.2</v>
      </c>
      <c r="G31" s="533">
        <v>0</v>
      </c>
      <c r="H31" s="415">
        <f t="shared" si="0"/>
        <v>0.29600000000000004</v>
      </c>
      <c r="I31" s="533">
        <f t="shared" si="1"/>
        <v>0.2</v>
      </c>
      <c r="J31" s="429">
        <f t="shared" si="2"/>
        <v>0.84571428571428586</v>
      </c>
      <c r="K31" s="533">
        <f t="shared" si="3"/>
        <v>0.57142857142857151</v>
      </c>
      <c r="L31" s="429">
        <f t="shared" si="4"/>
        <v>9.6542726679713003E-2</v>
      </c>
      <c r="M31" s="533">
        <f t="shared" si="4"/>
        <v>6.523157208088716E-2</v>
      </c>
      <c r="N31" s="420">
        <f t="shared" si="5"/>
        <v>0.16177429876060018</v>
      </c>
      <c r="O31" s="562"/>
    </row>
    <row r="32" spans="1:15" ht="13" thickBot="1">
      <c r="A32" s="436" t="s">
        <v>577</v>
      </c>
      <c r="B32" s="436" t="s">
        <v>563</v>
      </c>
      <c r="C32" s="463">
        <v>0.35</v>
      </c>
      <c r="D32" s="437">
        <v>25</v>
      </c>
      <c r="E32" s="439">
        <v>2.57</v>
      </c>
      <c r="F32" s="441">
        <v>0.28999999999999998</v>
      </c>
      <c r="G32" s="439">
        <v>0</v>
      </c>
      <c r="H32" s="440">
        <f t="shared" si="0"/>
        <v>0.10279999999999999</v>
      </c>
      <c r="I32" s="439">
        <f t="shared" si="1"/>
        <v>0.28999999999999998</v>
      </c>
      <c r="J32" s="441">
        <f t="shared" si="2"/>
        <v>0.29371428571428571</v>
      </c>
      <c r="K32" s="439">
        <f t="shared" si="3"/>
        <v>0.82857142857142851</v>
      </c>
      <c r="L32" s="441">
        <f>J32/8760*1000</f>
        <v>3.3529028049575992E-2</v>
      </c>
      <c r="M32" s="439">
        <f>K32/8760*1000</f>
        <v>9.4585779517286361E-2</v>
      </c>
      <c r="N32" s="442">
        <f t="shared" si="5"/>
        <v>0.12811480756686236</v>
      </c>
      <c r="O32" s="560"/>
    </row>
    <row r="33" spans="1:15" ht="23" thickBot="1">
      <c r="A33" s="231" t="s">
        <v>431</v>
      </c>
      <c r="B33" s="231" t="s">
        <v>432</v>
      </c>
      <c r="C33" s="232">
        <v>0.8</v>
      </c>
      <c r="D33" s="233">
        <v>40</v>
      </c>
      <c r="E33" s="234">
        <v>20.48</v>
      </c>
      <c r="F33" s="462">
        <v>0.31</v>
      </c>
      <c r="G33" s="234">
        <v>0.06</v>
      </c>
      <c r="H33" s="413">
        <v>0.51200000000000001</v>
      </c>
      <c r="I33" s="235">
        <v>0.73048000000000002</v>
      </c>
      <c r="J33" s="430">
        <v>0.64</v>
      </c>
      <c r="K33" s="235">
        <v>0.91310000000000002</v>
      </c>
      <c r="L33" s="430">
        <v>7.3059360730593603E-2</v>
      </c>
      <c r="M33" s="235">
        <v>0.10423515981735161</v>
      </c>
      <c r="N33" s="422">
        <v>0.1772945205479452</v>
      </c>
      <c r="O33" s="235">
        <f>N33</f>
        <v>0.1772945205479452</v>
      </c>
    </row>
    <row r="34" spans="1:15" ht="13" thickBot="1">
      <c r="A34" s="231" t="s">
        <v>225</v>
      </c>
      <c r="B34" s="231" t="s">
        <v>433</v>
      </c>
      <c r="C34" s="232">
        <v>0.9</v>
      </c>
      <c r="D34" s="233">
        <v>40</v>
      </c>
      <c r="E34" s="234">
        <v>15.2</v>
      </c>
      <c r="F34" s="462">
        <v>0.7</v>
      </c>
      <c r="G34" s="234">
        <v>0</v>
      </c>
      <c r="H34" s="416">
        <f>E34/D34</f>
        <v>0.38</v>
      </c>
      <c r="I34" s="235">
        <f>F34+G34*8760/1000*C34</f>
        <v>0.7</v>
      </c>
      <c r="J34" s="430">
        <f>H34/C34</f>
        <v>0.42222222222222222</v>
      </c>
      <c r="K34" s="235">
        <f>I34/C34</f>
        <v>0.77777777777777768</v>
      </c>
      <c r="L34" s="430">
        <f t="shared" ref="L34:M36" si="6">J34/8760*1000</f>
        <v>4.8198883815322169E-2</v>
      </c>
      <c r="M34" s="235">
        <f t="shared" si="6"/>
        <v>8.8787417554540837E-2</v>
      </c>
      <c r="N34" s="422">
        <f>SUM(L34:M34)</f>
        <v>0.13698630136986301</v>
      </c>
      <c r="O34" s="235">
        <f>N34</f>
        <v>0.13698630136986301</v>
      </c>
    </row>
    <row r="35" spans="1:15" ht="13" thickBot="1">
      <c r="A35" s="242" t="s">
        <v>142</v>
      </c>
      <c r="B35" s="242" t="s">
        <v>223</v>
      </c>
      <c r="C35" s="243">
        <v>0.8</v>
      </c>
      <c r="D35" s="244">
        <v>40</v>
      </c>
      <c r="E35" s="235">
        <v>8.5</v>
      </c>
      <c r="F35" s="430">
        <v>0.18</v>
      </c>
      <c r="G35" s="235">
        <v>5.8999999999999997E-2</v>
      </c>
      <c r="H35" s="416">
        <f>E35/D35</f>
        <v>0.21249999999999999</v>
      </c>
      <c r="I35" s="235">
        <v>0.59</v>
      </c>
      <c r="J35" s="430">
        <f>H35/C35</f>
        <v>0.265625</v>
      </c>
      <c r="K35" s="235">
        <f>I35/C35</f>
        <v>0.73749999999999993</v>
      </c>
      <c r="L35" s="430">
        <f t="shared" si="6"/>
        <v>3.0322488584474887E-2</v>
      </c>
      <c r="M35" s="235">
        <f t="shared" si="6"/>
        <v>8.4189497716894962E-2</v>
      </c>
      <c r="N35" s="422">
        <f>SUM(L35:M35)</f>
        <v>0.11451198630136986</v>
      </c>
      <c r="O35" s="235">
        <f>N35</f>
        <v>0.11451198630136986</v>
      </c>
    </row>
    <row r="36" spans="1:15" ht="13" thickBot="1">
      <c r="A36" s="242" t="s">
        <v>222</v>
      </c>
      <c r="B36" s="242" t="s">
        <v>312</v>
      </c>
      <c r="C36" s="243">
        <v>0.85</v>
      </c>
      <c r="D36" s="244">
        <v>40</v>
      </c>
      <c r="E36" s="235">
        <v>1.02</v>
      </c>
      <c r="F36" s="430">
        <v>0.1</v>
      </c>
      <c r="G36" s="235">
        <v>0.09</v>
      </c>
      <c r="H36" s="416">
        <f>E36/D36</f>
        <v>2.5500000000000002E-2</v>
      </c>
      <c r="I36" s="235">
        <f>F36+G36*8760/1000*C36</f>
        <v>0.77013999999999994</v>
      </c>
      <c r="J36" s="430">
        <f>H36/C36</f>
        <v>3.0000000000000002E-2</v>
      </c>
      <c r="K36" s="235">
        <f>I36/C36</f>
        <v>0.90604705882352932</v>
      </c>
      <c r="L36" s="430">
        <f t="shared" si="6"/>
        <v>3.4246575342465756E-3</v>
      </c>
      <c r="M36" s="235">
        <f t="shared" si="6"/>
        <v>0.10343002954606499</v>
      </c>
      <c r="N36" s="422">
        <f>SUM(L36:M36)</f>
        <v>0.10685468708031157</v>
      </c>
      <c r="O36" s="235">
        <f>N36</f>
        <v>0.10685468708031157</v>
      </c>
    </row>
    <row r="37" spans="1:15">
      <c r="A37" s="213" t="s">
        <v>427</v>
      </c>
      <c r="B37" s="213" t="s">
        <v>429</v>
      </c>
      <c r="C37" s="245">
        <v>1</v>
      </c>
      <c r="D37" s="222">
        <v>20</v>
      </c>
      <c r="E37" s="551" t="s">
        <v>0</v>
      </c>
      <c r="F37" s="552"/>
      <c r="G37" s="552"/>
      <c r="H37" s="552"/>
      <c r="I37" s="552"/>
      <c r="J37" s="552"/>
      <c r="K37" s="552"/>
      <c r="L37" s="552"/>
      <c r="M37" s="553"/>
      <c r="N37" s="418">
        <v>0.17</v>
      </c>
      <c r="O37" s="554">
        <f>AVERAGE(N37,N38)</f>
        <v>0.38</v>
      </c>
    </row>
    <row r="38" spans="1:15">
      <c r="A38" s="214" t="s">
        <v>428</v>
      </c>
      <c r="B38" s="214" t="s">
        <v>430</v>
      </c>
      <c r="C38" s="221">
        <v>1</v>
      </c>
      <c r="D38" s="215">
        <v>20</v>
      </c>
      <c r="E38" s="556" t="s">
        <v>0</v>
      </c>
      <c r="F38" s="557"/>
      <c r="G38" s="557"/>
      <c r="H38" s="557"/>
      <c r="I38" s="557"/>
      <c r="J38" s="557"/>
      <c r="K38" s="557"/>
      <c r="L38" s="557"/>
      <c r="M38" s="558"/>
      <c r="N38" s="420">
        <v>0.59</v>
      </c>
      <c r="O38" s="555"/>
    </row>
    <row r="39" spans="1:15">
      <c r="A39" s="81" t="s">
        <v>759</v>
      </c>
      <c r="B39" s="81" t="s">
        <v>760</v>
      </c>
      <c r="C39" s="569">
        <v>0.2</v>
      </c>
      <c r="D39" s="81">
        <v>25</v>
      </c>
      <c r="E39" s="417">
        <f>(97031+32490+15112+20185)/B40</f>
        <v>14.698366579021558</v>
      </c>
      <c r="F39" s="417">
        <f>(8989)/B40</f>
        <v>0.80163342097844159</v>
      </c>
      <c r="G39" s="81">
        <v>0</v>
      </c>
      <c r="H39" s="417">
        <f>E39/D39</f>
        <v>0.58793466316086229</v>
      </c>
      <c r="I39" s="417">
        <f>F39</f>
        <v>0.80163342097844159</v>
      </c>
      <c r="J39" s="417">
        <f>H39/C39</f>
        <v>2.9396733158043111</v>
      </c>
      <c r="K39" s="417">
        <f>I39/C39</f>
        <v>4.0081671048922081</v>
      </c>
      <c r="L39" s="417">
        <f>J39/8760*1000</f>
        <v>0.33557914563976154</v>
      </c>
      <c r="M39" s="417">
        <f>K39/8760*1000</f>
        <v>0.4575533224762795</v>
      </c>
      <c r="N39" s="81">
        <f>L39+M39</f>
        <v>0.79313246811604099</v>
      </c>
    </row>
    <row r="40" spans="1:15">
      <c r="B40" s="81">
        <f>173807/15.5</f>
        <v>11213.354838709678</v>
      </c>
    </row>
    <row r="41" spans="1:15">
      <c r="N41" s="570"/>
    </row>
  </sheetData>
  <mergeCells count="19">
    <mergeCell ref="E37:M37"/>
    <mergeCell ref="O37:O38"/>
    <mergeCell ref="E38:M38"/>
    <mergeCell ref="O14:O15"/>
    <mergeCell ref="O16:O18"/>
    <mergeCell ref="O19:O20"/>
    <mergeCell ref="O22:O24"/>
    <mergeCell ref="O25:O27"/>
    <mergeCell ref="O28:O32"/>
    <mergeCell ref="A1:P10"/>
    <mergeCell ref="A11:A12"/>
    <mergeCell ref="B11:B12"/>
    <mergeCell ref="C11:C13"/>
    <mergeCell ref="D11:D13"/>
    <mergeCell ref="E11:G12"/>
    <mergeCell ref="H11:O11"/>
    <mergeCell ref="H12:I12"/>
    <mergeCell ref="J12:K12"/>
    <mergeCell ref="L12:O12"/>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6" hidden="1" customWidth="1"/>
    <col min="2" max="2" width="6.83203125" style="157" customWidth="1"/>
    <col min="3" max="3" width="5.1640625" style="154" bestFit="1" customWidth="1"/>
    <col min="4" max="5" width="21.5" style="154" hidden="1" customWidth="1"/>
    <col min="6" max="6" width="28.83203125" style="154" customWidth="1"/>
    <col min="7" max="7" width="31.6640625" style="154" customWidth="1"/>
    <col min="8" max="8" width="40.83203125" style="156" customWidth="1"/>
    <col min="9" max="9" width="60.83203125" style="154" customWidth="1"/>
    <col min="10" max="10" width="86" style="154" customWidth="1"/>
    <col min="11" max="16384" width="8.83203125" style="154"/>
  </cols>
  <sheetData>
    <row r="1" spans="1:12">
      <c r="B1" s="563"/>
      <c r="C1" s="563"/>
      <c r="D1" s="563"/>
      <c r="E1" s="563"/>
      <c r="F1" s="563"/>
      <c r="G1" s="563"/>
      <c r="H1" s="563"/>
      <c r="I1" s="563"/>
      <c r="J1" s="563"/>
      <c r="K1" s="563"/>
      <c r="L1" s="563"/>
    </row>
    <row r="2" spans="1:12">
      <c r="B2" s="563"/>
      <c r="C2" s="563"/>
      <c r="D2" s="563"/>
      <c r="E2" s="563"/>
      <c r="F2" s="563"/>
      <c r="G2" s="563"/>
      <c r="H2" s="563"/>
      <c r="I2" s="563"/>
      <c r="J2" s="563"/>
      <c r="K2" s="563"/>
      <c r="L2" s="563"/>
    </row>
    <row r="3" spans="1:12">
      <c r="B3" s="563"/>
      <c r="C3" s="563"/>
      <c r="D3" s="563"/>
      <c r="E3" s="563"/>
      <c r="F3" s="563"/>
      <c r="G3" s="563"/>
      <c r="H3" s="563"/>
      <c r="I3" s="563"/>
      <c r="J3" s="563"/>
      <c r="K3" s="563"/>
      <c r="L3" s="563"/>
    </row>
    <row r="4" spans="1:12">
      <c r="B4" s="563"/>
      <c r="C4" s="563"/>
      <c r="D4" s="563"/>
      <c r="E4" s="563"/>
      <c r="F4" s="563"/>
      <c r="G4" s="563"/>
      <c r="H4" s="563"/>
      <c r="I4" s="563"/>
      <c r="J4" s="563"/>
      <c r="K4" s="563"/>
      <c r="L4" s="563"/>
    </row>
    <row r="5" spans="1:12">
      <c r="B5" s="563"/>
      <c r="C5" s="563"/>
      <c r="D5" s="563"/>
      <c r="E5" s="563"/>
      <c r="F5" s="563"/>
      <c r="G5" s="563"/>
      <c r="H5" s="563"/>
      <c r="I5" s="563"/>
      <c r="J5" s="563"/>
      <c r="K5" s="563"/>
      <c r="L5" s="563"/>
    </row>
    <row r="6" spans="1:12">
      <c r="B6" s="563"/>
      <c r="C6" s="563"/>
      <c r="D6" s="563"/>
      <c r="E6" s="563"/>
      <c r="F6" s="563"/>
      <c r="G6" s="563"/>
      <c r="H6" s="563"/>
      <c r="I6" s="563"/>
      <c r="J6" s="563"/>
      <c r="K6" s="563"/>
      <c r="L6" s="563"/>
    </row>
    <row r="7" spans="1:12">
      <c r="B7" s="563"/>
      <c r="C7" s="563"/>
      <c r="D7" s="563"/>
      <c r="E7" s="563"/>
      <c r="F7" s="563"/>
      <c r="G7" s="563"/>
      <c r="H7" s="563"/>
      <c r="I7" s="563"/>
      <c r="J7" s="563"/>
      <c r="K7" s="563"/>
      <c r="L7" s="563"/>
    </row>
    <row r="8" spans="1:12">
      <c r="B8" s="563"/>
      <c r="C8" s="563"/>
      <c r="D8" s="563"/>
      <c r="E8" s="563"/>
      <c r="F8" s="563"/>
      <c r="G8" s="563"/>
      <c r="H8" s="563"/>
      <c r="I8" s="563"/>
      <c r="J8" s="563"/>
      <c r="K8" s="563"/>
      <c r="L8" s="563"/>
    </row>
    <row r="9" spans="1:12" ht="48" customHeight="1">
      <c r="B9" s="563"/>
      <c r="C9" s="563"/>
      <c r="D9" s="563"/>
      <c r="E9" s="563"/>
      <c r="F9" s="563"/>
      <c r="G9" s="563"/>
      <c r="H9" s="563"/>
      <c r="I9" s="563"/>
      <c r="J9" s="563"/>
      <c r="K9" s="563"/>
      <c r="L9" s="563"/>
    </row>
    <row r="10" spans="1:12" s="144" customFormat="1" ht="15" thickBot="1">
      <c r="A10" s="139" t="s">
        <v>149</v>
      </c>
      <c r="B10" s="140" t="s">
        <v>460</v>
      </c>
      <c r="C10" s="141" t="s">
        <v>144</v>
      </c>
      <c r="D10" s="141" t="s">
        <v>461</v>
      </c>
      <c r="E10" s="141" t="s">
        <v>265</v>
      </c>
      <c r="F10" s="141" t="s">
        <v>461</v>
      </c>
      <c r="G10" s="141" t="s">
        <v>145</v>
      </c>
      <c r="H10" s="142" t="s">
        <v>146</v>
      </c>
      <c r="I10" s="141" t="s">
        <v>147</v>
      </c>
      <c r="J10" s="143" t="s">
        <v>263</v>
      </c>
    </row>
    <row r="11" spans="1:12" s="145" customFormat="1" ht="84">
      <c r="A11" s="145" t="s">
        <v>143</v>
      </c>
      <c r="B11" s="146">
        <v>1</v>
      </c>
      <c r="C11" s="147">
        <v>2009</v>
      </c>
      <c r="D11" s="147" t="s">
        <v>277</v>
      </c>
      <c r="E11" s="147" t="s">
        <v>275</v>
      </c>
      <c r="F11" s="147" t="str">
        <f>D11 &amp; " - " &amp; E11</f>
        <v>Isabel Blanco and Christian Kjaer - European Wind Energy Association</v>
      </c>
      <c r="G11" s="147" t="s">
        <v>276</v>
      </c>
      <c r="H11" s="147" t="s">
        <v>553</v>
      </c>
      <c r="I11" s="147" t="s">
        <v>462</v>
      </c>
      <c r="J11" s="145" t="s">
        <v>463</v>
      </c>
    </row>
    <row r="12" spans="1:12" s="145" customFormat="1" ht="28">
      <c r="B12" s="148">
        <f>B11+1</f>
        <v>2</v>
      </c>
      <c r="C12" s="149">
        <v>2009</v>
      </c>
      <c r="D12" s="149" t="s">
        <v>464</v>
      </c>
      <c r="E12" s="149" t="s">
        <v>465</v>
      </c>
      <c r="F12" s="147" t="str">
        <f t="shared" ref="F12:F26" si="0">D12 &amp; " - " &amp; E12</f>
        <v>Julio Friedmann - Lawrence Livermore National Laboratory</v>
      </c>
      <c r="G12" s="149" t="s">
        <v>466</v>
      </c>
      <c r="H12" s="149" t="s">
        <v>467</v>
      </c>
      <c r="I12" s="149" t="s">
        <v>468</v>
      </c>
    </row>
    <row r="13" spans="1:12" s="145" customFormat="1" ht="28">
      <c r="B13" s="148">
        <f>B12+1</f>
        <v>3</v>
      </c>
      <c r="C13" s="149">
        <v>2009</v>
      </c>
      <c r="D13" s="149" t="s">
        <v>469</v>
      </c>
      <c r="E13" s="149" t="s">
        <v>470</v>
      </c>
      <c r="F13" s="147" t="str">
        <f t="shared" si="0"/>
        <v>José Goldemberg  - State of São Paulo, Brazil</v>
      </c>
      <c r="G13" s="149" t="s">
        <v>471</v>
      </c>
      <c r="H13" s="149"/>
      <c r="I13" s="149"/>
    </row>
    <row r="14" spans="1:12" s="145" customFormat="1" ht="42">
      <c r="B14" s="150">
        <f>B13+1</f>
        <v>4</v>
      </c>
      <c r="C14" s="151">
        <v>2009</v>
      </c>
      <c r="D14" s="151" t="s">
        <v>472</v>
      </c>
      <c r="E14" s="151" t="s">
        <v>473</v>
      </c>
      <c r="F14" s="147" t="str">
        <f t="shared" si="0"/>
        <v xml:space="preserve">SkyFuels - National Renewable Energy Laboratory </v>
      </c>
      <c r="G14" s="151" t="s">
        <v>474</v>
      </c>
      <c r="H14" s="151" t="s">
        <v>475</v>
      </c>
      <c r="I14" s="151" t="s">
        <v>476</v>
      </c>
    </row>
    <row r="15" spans="1:12" s="152" customFormat="1" ht="93.75" customHeight="1">
      <c r="A15" s="149" t="s">
        <v>224</v>
      </c>
      <c r="B15" s="148">
        <f>B14+1</f>
        <v>5</v>
      </c>
      <c r="C15" s="149">
        <v>2008</v>
      </c>
      <c r="D15" s="149" t="s">
        <v>274</v>
      </c>
      <c r="E15" s="149" t="s">
        <v>272</v>
      </c>
      <c r="F15" s="147" t="str">
        <f t="shared" si="0"/>
        <v>John A. "Skip" Laitner and Vanessa McKinney - American Council for an Energy Efficient Economy</v>
      </c>
      <c r="G15" s="149" t="s">
        <v>273</v>
      </c>
      <c r="H15" s="149" t="s">
        <v>148</v>
      </c>
      <c r="I15" s="149" t="s">
        <v>477</v>
      </c>
      <c r="J15" s="145" t="s">
        <v>478</v>
      </c>
    </row>
    <row r="16" spans="1:12" s="152" customFormat="1" ht="42">
      <c r="A16" s="149"/>
      <c r="B16" s="148">
        <f>B15+1</f>
        <v>6</v>
      </c>
      <c r="C16" s="149">
        <v>2008</v>
      </c>
      <c r="D16" s="149" t="s">
        <v>479</v>
      </c>
      <c r="E16" s="149" t="s">
        <v>480</v>
      </c>
      <c r="F16" s="147" t="str">
        <f t="shared" si="0"/>
        <v>David Roland-Holst - University of California, Berkeley</v>
      </c>
      <c r="G16" s="149" t="s">
        <v>481</v>
      </c>
      <c r="H16" s="149" t="s">
        <v>482</v>
      </c>
      <c r="I16" s="149" t="s">
        <v>483</v>
      </c>
      <c r="J16" s="145"/>
    </row>
    <row r="17" spans="1:10" s="152" customFormat="1" ht="28">
      <c r="A17" s="149"/>
      <c r="B17" s="148">
        <v>7</v>
      </c>
      <c r="C17" s="149">
        <v>2007</v>
      </c>
      <c r="D17" s="149" t="s">
        <v>497</v>
      </c>
      <c r="E17" s="149" t="s">
        <v>0</v>
      </c>
      <c r="F17" s="147" t="str">
        <f>D17</f>
        <v>Vestas</v>
      </c>
      <c r="G17" s="149" t="s">
        <v>498</v>
      </c>
      <c r="H17" s="149" t="s">
        <v>499</v>
      </c>
      <c r="I17" s="149" t="s">
        <v>500</v>
      </c>
      <c r="J17" s="145"/>
    </row>
    <row r="18" spans="1:10" s="152" customFormat="1" ht="42">
      <c r="A18" s="149"/>
      <c r="B18" s="148">
        <v>8</v>
      </c>
      <c r="C18" s="149">
        <v>2006</v>
      </c>
      <c r="D18" s="149" t="s">
        <v>484</v>
      </c>
      <c r="E18" s="149" t="s">
        <v>485</v>
      </c>
      <c r="F18" s="147" t="str">
        <f t="shared" si="0"/>
        <v>Winfried Hoffman, Sven Teske - European Photovoltaic Industry Association (EPIA) and Greenpeace</v>
      </c>
      <c r="G18" s="149" t="s">
        <v>486</v>
      </c>
      <c r="H18" s="149" t="s">
        <v>487</v>
      </c>
      <c r="I18" s="149" t="s">
        <v>488</v>
      </c>
      <c r="J18" s="145"/>
    </row>
    <row r="19" spans="1:10" s="152" customFormat="1" ht="84" customHeight="1">
      <c r="A19" s="149" t="s">
        <v>262</v>
      </c>
      <c r="B19" s="148">
        <v>9</v>
      </c>
      <c r="C19" s="149">
        <v>2006</v>
      </c>
      <c r="D19" s="149" t="s">
        <v>278</v>
      </c>
      <c r="E19" s="149" t="s">
        <v>279</v>
      </c>
      <c r="F19" s="147" t="str">
        <f t="shared" si="0"/>
        <v>Frithjof Staiss, et al. - Forschungsvorhaben im Auftrag des Bundesministeriums für Umwelt, Naturschutz und Reaktorsicherheit, Federal Republic of Germany.</v>
      </c>
      <c r="G19" s="149" t="s">
        <v>533</v>
      </c>
      <c r="H19" s="149" t="s">
        <v>534</v>
      </c>
      <c r="I19" s="149"/>
      <c r="J19" s="145" t="s">
        <v>489</v>
      </c>
    </row>
    <row r="20" spans="1:10" s="152" customFormat="1" ht="42">
      <c r="A20" s="149" t="s">
        <v>314</v>
      </c>
      <c r="B20" s="148">
        <v>10</v>
      </c>
      <c r="C20" s="149">
        <v>2006</v>
      </c>
      <c r="D20" s="149" t="s">
        <v>323</v>
      </c>
      <c r="E20" s="149" t="s">
        <v>320</v>
      </c>
      <c r="F20" s="147" t="str">
        <f t="shared" si="0"/>
        <v>George Sterzinger - Renewable Energy Policy Project (REPP)</v>
      </c>
      <c r="G20" s="149" t="s">
        <v>324</v>
      </c>
      <c r="H20" s="149" t="s">
        <v>490</v>
      </c>
      <c r="I20" s="149" t="s">
        <v>0</v>
      </c>
      <c r="J20" s="145" t="s">
        <v>325</v>
      </c>
    </row>
    <row r="21" spans="1:10" s="152" customFormat="1" ht="70">
      <c r="A21" s="149" t="s">
        <v>491</v>
      </c>
      <c r="B21" s="148">
        <v>11</v>
      </c>
      <c r="C21" s="149">
        <v>2006</v>
      </c>
      <c r="D21" s="149" t="s">
        <v>492</v>
      </c>
      <c r="E21" s="149" t="s">
        <v>493</v>
      </c>
      <c r="F21" s="147" t="str">
        <f t="shared" si="0"/>
        <v>L. Stoddard, J. Abiecunas, R. O'Connell - National Renewable Energy Laboratory</v>
      </c>
      <c r="G21" s="149" t="s">
        <v>494</v>
      </c>
      <c r="H21" s="149" t="s">
        <v>554</v>
      </c>
      <c r="I21" s="149" t="s">
        <v>495</v>
      </c>
      <c r="J21" s="145" t="s">
        <v>496</v>
      </c>
    </row>
    <row r="22" spans="1:10" s="152" customFormat="1" ht="42">
      <c r="A22" s="149" t="s">
        <v>501</v>
      </c>
      <c r="B22" s="148">
        <v>12</v>
      </c>
      <c r="C22" s="149">
        <v>2005</v>
      </c>
      <c r="D22" s="149" t="s">
        <v>502</v>
      </c>
      <c r="E22" s="149" t="s">
        <v>503</v>
      </c>
      <c r="F22" s="147" t="str">
        <f t="shared" si="0"/>
        <v>Doug Arent, John Tschirhart, Dick Watsson - Western Governors' Association: Geothermal Task Force</v>
      </c>
      <c r="G22" s="149" t="s">
        <v>504</v>
      </c>
      <c r="H22" s="149" t="s">
        <v>505</v>
      </c>
      <c r="I22" s="149"/>
      <c r="J22" s="145" t="s">
        <v>506</v>
      </c>
    </row>
    <row r="23" spans="1:10" s="152" customFormat="1" ht="70">
      <c r="A23" s="153"/>
      <c r="B23" s="148">
        <v>13</v>
      </c>
      <c r="C23" s="149">
        <v>2005</v>
      </c>
      <c r="D23" s="149" t="s">
        <v>507</v>
      </c>
      <c r="E23" s="149" t="s">
        <v>508</v>
      </c>
      <c r="F23" s="147" t="str">
        <f t="shared" si="0"/>
        <v>Jose Gil and Hugo Lucas - Institute for Diversification and Saving of Energy (Instituto para la Diversificacion y Ahorro de la Energia, IDAE)</v>
      </c>
      <c r="G23" s="149" t="s">
        <v>509</v>
      </c>
      <c r="H23" s="149" t="s">
        <v>532</v>
      </c>
      <c r="I23" s="149" t="s">
        <v>530</v>
      </c>
      <c r="J23" s="145" t="s">
        <v>531</v>
      </c>
    </row>
    <row r="24" spans="1:10" s="152" customFormat="1" ht="56">
      <c r="A24" s="149" t="s">
        <v>269</v>
      </c>
      <c r="B24" s="148">
        <v>14</v>
      </c>
      <c r="C24" s="149">
        <v>2004</v>
      </c>
      <c r="D24" s="149" t="s">
        <v>266</v>
      </c>
      <c r="E24" s="149" t="s">
        <v>267</v>
      </c>
      <c r="F24" s="147" t="str">
        <f t="shared" si="0"/>
        <v xml:space="preserve">Daniel M. Kammen, Kamal Kapadia, and Matthias Fripp - Energy and Resources Group, Universtiy of California, Berkeley.  </v>
      </c>
      <c r="G24" s="149" t="s">
        <v>264</v>
      </c>
      <c r="H24" s="149" t="s">
        <v>270</v>
      </c>
      <c r="I24" s="149" t="s">
        <v>271</v>
      </c>
      <c r="J24" s="145" t="s">
        <v>510</v>
      </c>
    </row>
    <row r="25" spans="1:10" s="152" customFormat="1" ht="70.5" customHeight="1">
      <c r="A25" s="149" t="s">
        <v>225</v>
      </c>
      <c r="B25" s="148">
        <v>15</v>
      </c>
      <c r="C25" s="149">
        <v>2004</v>
      </c>
      <c r="D25" s="149" t="s">
        <v>268</v>
      </c>
      <c r="E25" s="149" t="s">
        <v>313</v>
      </c>
      <c r="F25" s="147" t="str">
        <f t="shared" si="0"/>
        <v>C.R. Kenley, et al.  - Idaho National Engineering and Environmental Laboratory (INEEL) and Bechtel BWXT Idaho, LLC</v>
      </c>
      <c r="G25" s="149" t="s">
        <v>511</v>
      </c>
      <c r="H25" s="149" t="s">
        <v>512</v>
      </c>
      <c r="I25" s="149" t="s">
        <v>513</v>
      </c>
      <c r="J25" s="145" t="s">
        <v>514</v>
      </c>
    </row>
    <row r="26" spans="1:10" s="152" customFormat="1" ht="70">
      <c r="A26" s="149" t="s">
        <v>314</v>
      </c>
      <c r="B26" s="148">
        <v>16</v>
      </c>
      <c r="C26" s="149">
        <v>2002</v>
      </c>
      <c r="D26" s="149" t="s">
        <v>315</v>
      </c>
      <c r="E26" s="149" t="s">
        <v>316</v>
      </c>
      <c r="F26" s="147" t="str">
        <f t="shared" si="0"/>
        <v>Heavner and Churchill - CALPIRG (California Public Interest Research Group) Charitable Trust</v>
      </c>
      <c r="G26" s="149" t="s">
        <v>317</v>
      </c>
      <c r="H26" s="149" t="s">
        <v>515</v>
      </c>
      <c r="I26" s="149" t="s">
        <v>516</v>
      </c>
      <c r="J26" s="145" t="s">
        <v>318</v>
      </c>
    </row>
    <row r="27" spans="1:10" s="152" customFormat="1" ht="112">
      <c r="A27" s="149" t="s">
        <v>314</v>
      </c>
      <c r="B27" s="148">
        <f>B26+1</f>
        <v>17</v>
      </c>
      <c r="C27" s="149">
        <v>2001</v>
      </c>
      <c r="D27" s="149" t="s">
        <v>319</v>
      </c>
      <c r="E27" s="149" t="s">
        <v>320</v>
      </c>
      <c r="F27" s="149" t="s">
        <v>536</v>
      </c>
      <c r="G27" s="149" t="s">
        <v>321</v>
      </c>
      <c r="H27" s="149" t="s">
        <v>517</v>
      </c>
      <c r="I27" s="149" t="s">
        <v>518</v>
      </c>
      <c r="J27" s="145" t="s">
        <v>322</v>
      </c>
    </row>
    <row r="28" spans="1:10">
      <c r="A28" s="149"/>
      <c r="B28" s="148"/>
      <c r="C28" s="149"/>
      <c r="D28" s="149"/>
      <c r="E28" s="149"/>
      <c r="F28" s="149"/>
      <c r="G28" s="149"/>
      <c r="H28" s="149"/>
      <c r="I28" s="149"/>
      <c r="J28" s="145"/>
    </row>
    <row r="29" spans="1:10">
      <c r="A29" s="149"/>
      <c r="B29" s="148"/>
      <c r="C29" s="149"/>
      <c r="D29" s="149"/>
      <c r="E29" s="149"/>
      <c r="F29" s="149"/>
      <c r="G29" s="149"/>
      <c r="H29" s="149"/>
      <c r="I29" s="149"/>
      <c r="J29" s="145"/>
    </row>
    <row r="30" spans="1:10">
      <c r="A30" s="149"/>
      <c r="B30" s="148"/>
      <c r="C30" s="149"/>
      <c r="D30" s="149"/>
      <c r="E30" s="149"/>
      <c r="F30" s="149"/>
      <c r="G30" s="149"/>
      <c r="H30" s="149"/>
      <c r="I30" s="149"/>
      <c r="J30" s="145"/>
    </row>
    <row r="31" spans="1:10" s="152" customFormat="1">
      <c r="A31" s="145"/>
      <c r="B31" s="155"/>
      <c r="C31" s="145"/>
      <c r="D31" s="145"/>
      <c r="E31" s="145"/>
      <c r="F31" s="145"/>
      <c r="G31" s="145"/>
      <c r="H31" s="145"/>
      <c r="I31" s="145"/>
      <c r="J31" s="145"/>
    </row>
    <row r="32" spans="1:10">
      <c r="A32" s="154"/>
      <c r="B32" s="155"/>
      <c r="C32" s="145"/>
      <c r="D32" s="145"/>
      <c r="E32" s="145"/>
      <c r="F32" s="145"/>
      <c r="G32" s="145"/>
      <c r="H32" s="145"/>
      <c r="I32" s="145"/>
      <c r="J32" s="145"/>
    </row>
    <row r="33" spans="1:10">
      <c r="A33" s="154"/>
      <c r="B33" s="155"/>
      <c r="C33" s="145"/>
      <c r="D33" s="145"/>
      <c r="E33" s="145"/>
      <c r="F33" s="145"/>
      <c r="G33" s="145"/>
      <c r="H33" s="145"/>
      <c r="I33" s="145"/>
      <c r="J33" s="145"/>
    </row>
    <row r="34" spans="1:10">
      <c r="A34" s="154"/>
      <c r="B34" s="155"/>
      <c r="C34" s="145"/>
      <c r="D34" s="145"/>
      <c r="E34" s="145"/>
      <c r="F34" s="145"/>
      <c r="G34" s="145"/>
      <c r="H34" s="145"/>
      <c r="I34" s="145"/>
      <c r="J34" s="145"/>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R137"/>
  <sheetViews>
    <sheetView topLeftCell="A32" zoomScale="125" zoomScaleNormal="125" zoomScalePageLayoutView="125" workbookViewId="0">
      <pane xSplit="1" topLeftCell="B1" activePane="topRight" state="frozen"/>
      <selection activeCell="A33" sqref="A33"/>
      <selection pane="topRight" activeCell="AM37" sqref="AM37"/>
    </sheetView>
  </sheetViews>
  <sheetFormatPr baseColWidth="10" defaultColWidth="12.5" defaultRowHeight="16" x14ac:dyDescent="0"/>
  <cols>
    <col min="1" max="1" width="47.33203125" style="5" customWidth="1"/>
    <col min="2" max="2" width="13.6640625" style="344" bestFit="1" customWidth="1"/>
    <col min="3" max="6" width="13.1640625" style="344" bestFit="1" customWidth="1"/>
    <col min="7" max="7" width="13.1640625" style="299" bestFit="1" customWidth="1"/>
    <col min="8" max="19" width="14.5" style="299" bestFit="1" customWidth="1"/>
    <col min="20" max="21" width="16.5" style="299" bestFit="1" customWidth="1"/>
    <col min="22" max="37" width="12.5" style="299"/>
    <col min="38" max="16384" width="12.5" style="5"/>
  </cols>
  <sheetData>
    <row r="1" spans="1:37">
      <c r="A1" s="268" t="s">
        <v>63</v>
      </c>
    </row>
    <row r="2" spans="1:37">
      <c r="A2" s="272" t="s">
        <v>705</v>
      </c>
    </row>
    <row r="3" spans="1:37">
      <c r="A3" s="272" t="s">
        <v>657</v>
      </c>
    </row>
    <row r="4" spans="1:37">
      <c r="A4" s="272" t="s">
        <v>592</v>
      </c>
    </row>
    <row r="6" spans="1:37">
      <c r="A6" s="6" t="s">
        <v>64</v>
      </c>
    </row>
    <row r="7" spans="1:37">
      <c r="A7" s="6" t="s">
        <v>65</v>
      </c>
    </row>
    <row r="8" spans="1:37">
      <c r="A8" s="78" t="s">
        <v>280</v>
      </c>
    </row>
    <row r="10" spans="1:37">
      <c r="AK10" s="300"/>
    </row>
    <row r="11" spans="1:37">
      <c r="B11" s="364" t="s">
        <v>7</v>
      </c>
      <c r="C11" s="364" t="s">
        <v>8</v>
      </c>
      <c r="D11" s="364" t="s">
        <v>9</v>
      </c>
      <c r="E11" s="364" t="s">
        <v>10</v>
      </c>
      <c r="F11" s="364" t="s">
        <v>11</v>
      </c>
      <c r="G11" s="319" t="s">
        <v>12</v>
      </c>
      <c r="H11" s="319" t="s">
        <v>13</v>
      </c>
      <c r="I11" s="319" t="s">
        <v>14</v>
      </c>
      <c r="J11" s="319" t="s">
        <v>15</v>
      </c>
      <c r="K11" s="319" t="s">
        <v>16</v>
      </c>
      <c r="L11" s="319" t="s">
        <v>17</v>
      </c>
      <c r="M11" s="319" t="s">
        <v>18</v>
      </c>
      <c r="N11" s="319" t="s">
        <v>19</v>
      </c>
      <c r="O11" s="319" t="s">
        <v>20</v>
      </c>
      <c r="P11" s="319" t="s">
        <v>21</v>
      </c>
      <c r="Q11" s="319" t="s">
        <v>22</v>
      </c>
      <c r="R11" s="319" t="s">
        <v>23</v>
      </c>
      <c r="S11" s="319" t="s">
        <v>24</v>
      </c>
      <c r="T11" s="319" t="s">
        <v>25</v>
      </c>
      <c r="U11" s="319" t="s">
        <v>26</v>
      </c>
      <c r="V11" s="319" t="s">
        <v>27</v>
      </c>
      <c r="W11" s="319" t="s">
        <v>28</v>
      </c>
      <c r="X11" s="319" t="s">
        <v>29</v>
      </c>
      <c r="Y11" s="319" t="s">
        <v>30</v>
      </c>
      <c r="Z11" s="319" t="s">
        <v>31</v>
      </c>
      <c r="AA11" s="319" t="s">
        <v>582</v>
      </c>
      <c r="AB11" s="319" t="s">
        <v>583</v>
      </c>
      <c r="AC11" s="319" t="s">
        <v>584</v>
      </c>
      <c r="AD11" s="319" t="s">
        <v>585</v>
      </c>
      <c r="AE11" s="319" t="s">
        <v>586</v>
      </c>
      <c r="AF11" s="319" t="s">
        <v>587</v>
      </c>
      <c r="AG11" s="319" t="s">
        <v>588</v>
      </c>
      <c r="AH11" s="319" t="s">
        <v>589</v>
      </c>
      <c r="AI11" s="319" t="s">
        <v>590</v>
      </c>
      <c r="AJ11" s="319" t="s">
        <v>591</v>
      </c>
      <c r="AK11" s="319" t="s">
        <v>594</v>
      </c>
    </row>
    <row r="14" spans="1:37">
      <c r="A14" s="6" t="s">
        <v>66</v>
      </c>
    </row>
    <row r="16" spans="1:37">
      <c r="A16" s="6" t="s">
        <v>32</v>
      </c>
    </row>
    <row r="17" spans="1:38" s="251" customFormat="1">
      <c r="A17" s="250" t="s">
        <v>67</v>
      </c>
      <c r="B17" s="344"/>
      <c r="C17" s="344"/>
      <c r="D17" s="344"/>
      <c r="E17" s="344"/>
      <c r="F17" s="344"/>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row>
    <row r="18" spans="1:38" s="251" customFormat="1">
      <c r="A18" s="250"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51" customFormat="1">
      <c r="A19" s="250"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51" customFormat="1">
      <c r="A20" s="250"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51" customFormat="1">
      <c r="A21" s="250"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51" customFormat="1">
      <c r="A22" s="250"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51" customFormat="1">
      <c r="A23" s="250"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51" customFormat="1">
      <c r="A24" s="250"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51" customFormat="1">
      <c r="A25" s="250"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51" customFormat="1">
      <c r="A26" s="250"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51" customFormat="1">
      <c r="A27" s="250"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51" customFormat="1">
      <c r="A28" s="250"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51" customFormat="1">
      <c r="A29" s="250"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51" customFormat="1">
      <c r="A30" s="250"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51" customFormat="1">
      <c r="A31" s="250"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51" customFormat="1">
      <c r="A32" s="250"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44" s="251" customFormat="1">
      <c r="A33" s="250"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44" s="251"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s="253" t="s">
        <v>757</v>
      </c>
    </row>
    <row r="35" spans="1:44" s="251" customFormat="1">
      <c r="A35" s="250" t="s">
        <v>754</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s="255"/>
    </row>
    <row r="36" spans="1:44" s="251" customFormat="1">
      <c r="A36" s="501" t="s">
        <v>720</v>
      </c>
      <c r="G36" s="499">
        <v>120.72598600000001</v>
      </c>
      <c r="H36" s="499">
        <v>121.06158400000001</v>
      </c>
      <c r="I36" s="499">
        <v>112.142273</v>
      </c>
      <c r="J36" s="499">
        <v>116.45523</v>
      </c>
      <c r="K36" s="499">
        <v>126.13446500000001</v>
      </c>
      <c r="L36" s="499">
        <v>125.40347299999999</v>
      </c>
      <c r="M36" s="499">
        <v>129.15868</v>
      </c>
      <c r="N36" s="499">
        <v>129.98703799999998</v>
      </c>
      <c r="O36" s="499">
        <v>129.736031</v>
      </c>
      <c r="P36" s="499">
        <v>129.82670200000001</v>
      </c>
      <c r="Q36" s="499">
        <v>126.001102</v>
      </c>
      <c r="R36" s="499">
        <v>124.37423700000001</v>
      </c>
      <c r="S36" s="499">
        <v>124.420585</v>
      </c>
      <c r="T36" s="499">
        <v>124.41148000000001</v>
      </c>
      <c r="U36" s="499">
        <v>124.460621</v>
      </c>
      <c r="V36" s="499">
        <v>124.04736299999999</v>
      </c>
      <c r="W36" s="499">
        <v>123.85875300000001</v>
      </c>
      <c r="X36" s="499">
        <v>123.67757</v>
      </c>
      <c r="Y36" s="499">
        <v>123.55519900000002</v>
      </c>
      <c r="Z36" s="499">
        <v>123.411175</v>
      </c>
      <c r="AA36" s="499">
        <v>123.259231</v>
      </c>
      <c r="AB36" s="499">
        <v>122.804199</v>
      </c>
      <c r="AC36" s="499">
        <v>122.655957</v>
      </c>
      <c r="AD36" s="499">
        <v>122.517231</v>
      </c>
      <c r="AE36" s="499">
        <v>122.411145</v>
      </c>
      <c r="AF36" s="499">
        <v>122.33852399999999</v>
      </c>
      <c r="AG36" s="499">
        <v>122.176277</v>
      </c>
      <c r="AH36" s="499">
        <v>122.03276400000001</v>
      </c>
      <c r="AI36" s="499">
        <v>121.905559</v>
      </c>
      <c r="AJ36" s="499">
        <v>121.76129499999999</v>
      </c>
      <c r="AK36" s="503">
        <v>0.03</v>
      </c>
      <c r="AL36" s="515" t="s">
        <v>68</v>
      </c>
      <c r="AM36" s="518">
        <v>0.28999999999999998</v>
      </c>
    </row>
    <row r="37" spans="1:44" s="251" customFormat="1">
      <c r="A37" s="501" t="s">
        <v>721</v>
      </c>
      <c r="G37" s="499">
        <v>0.62127200000000005</v>
      </c>
      <c r="H37" s="499">
        <v>0.59678000000000009</v>
      </c>
      <c r="I37" s="499">
        <v>0.89980700000000002</v>
      </c>
      <c r="J37" s="499">
        <v>0.91695899999999997</v>
      </c>
      <c r="K37" s="499">
        <v>0.95265</v>
      </c>
      <c r="L37" s="499">
        <v>0.95290999999999992</v>
      </c>
      <c r="M37" s="499">
        <v>0.96764600000000001</v>
      </c>
      <c r="N37" s="499">
        <v>0.97380100000000003</v>
      </c>
      <c r="O37" s="499">
        <v>0.97239200000000003</v>
      </c>
      <c r="P37" s="499">
        <v>0.97311999999999999</v>
      </c>
      <c r="Q37" s="499">
        <v>0.95820799999999995</v>
      </c>
      <c r="R37" s="499">
        <v>0.95167100000000004</v>
      </c>
      <c r="S37" s="499">
        <v>0.95186300000000001</v>
      </c>
      <c r="T37" s="499">
        <v>0.95210400000000006</v>
      </c>
      <c r="U37" s="499">
        <v>0.95268299999999995</v>
      </c>
      <c r="V37" s="499">
        <v>0.951658</v>
      </c>
      <c r="W37" s="499">
        <v>0.95044600000000001</v>
      </c>
      <c r="X37" s="499">
        <v>0.94969800000000004</v>
      </c>
      <c r="Y37" s="499">
        <v>0.94920400000000005</v>
      </c>
      <c r="Z37" s="499">
        <v>0.94862599999999997</v>
      </c>
      <c r="AA37" s="499">
        <v>0.94799899999999993</v>
      </c>
      <c r="AB37" s="499">
        <v>0.94740899999999995</v>
      </c>
      <c r="AC37" s="499">
        <v>0.946828</v>
      </c>
      <c r="AD37" s="499">
        <v>0.94627399999999995</v>
      </c>
      <c r="AE37" s="499">
        <v>0.94586000000000003</v>
      </c>
      <c r="AF37" s="499">
        <v>0.94559100000000007</v>
      </c>
      <c r="AG37" s="499">
        <v>0.94483800000000007</v>
      </c>
      <c r="AH37" s="499">
        <v>0.94430499999999995</v>
      </c>
      <c r="AI37" s="499">
        <v>0.94387900000000002</v>
      </c>
      <c r="AJ37" s="499">
        <v>0.94330599999999998</v>
      </c>
      <c r="AK37" s="503">
        <v>-3.7999999999999999E-2</v>
      </c>
      <c r="AL37" s="516" t="s">
        <v>69</v>
      </c>
      <c r="AM37" s="518">
        <v>7.5081893570803693E-2</v>
      </c>
    </row>
    <row r="38" spans="1:44" s="251" customFormat="1">
      <c r="A38" s="501" t="s">
        <v>722</v>
      </c>
      <c r="G38" s="499">
        <v>33.117148999999998</v>
      </c>
      <c r="H38" s="499">
        <v>39.665295</v>
      </c>
      <c r="I38" s="499">
        <v>49.076461999999999</v>
      </c>
      <c r="J38" s="499">
        <v>48.092121000000006</v>
      </c>
      <c r="K38" s="499">
        <v>31.099326999999999</v>
      </c>
      <c r="L38" s="499">
        <v>33.621164</v>
      </c>
      <c r="M38" s="499">
        <v>33.406137000000001</v>
      </c>
      <c r="N38" s="499">
        <v>36.879492999999997</v>
      </c>
      <c r="O38" s="499">
        <v>38.340152000000003</v>
      </c>
      <c r="P38" s="499">
        <v>39.992522999999998</v>
      </c>
      <c r="Q38" s="499">
        <v>45.973090999999997</v>
      </c>
      <c r="R38" s="499">
        <v>51.54372</v>
      </c>
      <c r="S38" s="499">
        <v>55.234722000000005</v>
      </c>
      <c r="T38" s="499">
        <v>56.689168000000002</v>
      </c>
      <c r="U38" s="499">
        <v>59.602361000000002</v>
      </c>
      <c r="V38" s="499">
        <v>63.597943000000001</v>
      </c>
      <c r="W38" s="499">
        <v>65.925087000000005</v>
      </c>
      <c r="X38" s="499">
        <v>67.555729999999997</v>
      </c>
      <c r="Y38" s="499">
        <v>71.099356999999998</v>
      </c>
      <c r="Z38" s="499">
        <v>74.240241999999995</v>
      </c>
      <c r="AA38" s="499">
        <v>74.196168999999998</v>
      </c>
      <c r="AB38" s="499">
        <v>77.206038000000007</v>
      </c>
      <c r="AC38" s="499">
        <v>78.615527999999998</v>
      </c>
      <c r="AD38" s="499">
        <v>79.334253000000004</v>
      </c>
      <c r="AE38" s="499">
        <v>80.274561000000006</v>
      </c>
      <c r="AF38" s="499">
        <v>79.760390000000001</v>
      </c>
      <c r="AG38" s="499">
        <v>80.001097000000001</v>
      </c>
      <c r="AH38" s="499">
        <v>81.286634000000006</v>
      </c>
      <c r="AI38" s="499">
        <v>84.322208000000003</v>
      </c>
      <c r="AJ38" s="499">
        <v>87.020565000000005</v>
      </c>
      <c r="AK38" s="503">
        <v>-4.0000000000000001E-3</v>
      </c>
      <c r="AL38" s="516" t="s">
        <v>76</v>
      </c>
      <c r="AM38" s="518">
        <v>0.2</v>
      </c>
    </row>
    <row r="39" spans="1:44" s="251" customFormat="1">
      <c r="A39" s="501" t="s">
        <v>723</v>
      </c>
      <c r="G39" s="499">
        <v>4.806</v>
      </c>
      <c r="H39" s="499">
        <v>9.3339999999999996</v>
      </c>
      <c r="I39" s="499">
        <v>7.8059539999999998</v>
      </c>
      <c r="J39" s="499">
        <v>7.8757409999999997</v>
      </c>
      <c r="K39" s="499">
        <v>8.1149930000000001</v>
      </c>
      <c r="L39" s="499">
        <v>8.1847829999999995</v>
      </c>
      <c r="M39" s="499">
        <v>8.1847829999999995</v>
      </c>
      <c r="N39" s="499">
        <v>8.1847829999999995</v>
      </c>
      <c r="O39" s="499">
        <v>8.1847829999999995</v>
      </c>
      <c r="P39" s="499">
        <v>8.1847829999999995</v>
      </c>
      <c r="Q39" s="499">
        <v>8.1847829999999995</v>
      </c>
      <c r="R39" s="499">
        <v>8.1847829999999995</v>
      </c>
      <c r="S39" s="499">
        <v>8.1847829999999995</v>
      </c>
      <c r="T39" s="499">
        <v>8.1847829999999995</v>
      </c>
      <c r="U39" s="499">
        <v>8.1847829999999995</v>
      </c>
      <c r="V39" s="499">
        <v>8.1847829999999995</v>
      </c>
      <c r="W39" s="499">
        <v>8.1847829999999995</v>
      </c>
      <c r="X39" s="499">
        <v>8.1847829999999995</v>
      </c>
      <c r="Y39" s="499">
        <v>8.1847829999999995</v>
      </c>
      <c r="Z39" s="499">
        <v>8.1847829999999995</v>
      </c>
      <c r="AA39" s="499">
        <v>8.1847829999999995</v>
      </c>
      <c r="AB39" s="499">
        <v>8.1847829999999995</v>
      </c>
      <c r="AC39" s="499">
        <v>8.1847829999999995</v>
      </c>
      <c r="AD39" s="499">
        <v>8.1847829999999995</v>
      </c>
      <c r="AE39" s="499">
        <v>8.1847829999999995</v>
      </c>
      <c r="AF39" s="499">
        <v>8.1847829999999995</v>
      </c>
      <c r="AG39" s="499">
        <v>8.1847829999999995</v>
      </c>
      <c r="AH39" s="499">
        <v>8.1847829999999995</v>
      </c>
      <c r="AI39" s="499">
        <v>8.1847829999999995</v>
      </c>
      <c r="AJ39" s="499">
        <v>8.1847829999999995</v>
      </c>
      <c r="AK39" s="503">
        <v>-5.0000000000000001E-3</v>
      </c>
      <c r="AL39" s="516" t="s">
        <v>742</v>
      </c>
      <c r="AM39" s="518">
        <v>3.3608143519451725E-2</v>
      </c>
    </row>
    <row r="40" spans="1:44" s="251" customFormat="1">
      <c r="A40" s="501" t="s">
        <v>724</v>
      </c>
      <c r="G40" s="499">
        <v>0.23122799999999999</v>
      </c>
      <c r="H40" s="499">
        <v>0.33035000000000003</v>
      </c>
      <c r="I40" s="499">
        <v>1.3511999999999996E-2</v>
      </c>
      <c r="J40" s="499">
        <v>1.3511999999999996E-2</v>
      </c>
      <c r="K40" s="499">
        <v>1.3511999999999996E-2</v>
      </c>
      <c r="L40" s="499">
        <v>1.3511999999999996E-2</v>
      </c>
      <c r="M40" s="499">
        <v>1.4013999999999999E-2</v>
      </c>
      <c r="N40" s="499">
        <v>1.4280000000000001E-2</v>
      </c>
      <c r="O40" s="499">
        <v>1.4343999999999996E-2</v>
      </c>
      <c r="P40" s="499">
        <v>1.4366000000000004E-2</v>
      </c>
      <c r="Q40" s="499">
        <v>1.6367000000000007E-2</v>
      </c>
      <c r="R40" s="499">
        <v>1.7008000000000009E-2</v>
      </c>
      <c r="S40" s="499">
        <v>1.7030000000000003E-2</v>
      </c>
      <c r="T40" s="499">
        <v>1.721099999999999E-2</v>
      </c>
      <c r="U40" s="499">
        <v>1.7351000000000005E-2</v>
      </c>
      <c r="V40" s="499">
        <v>1.7553000000000013E-2</v>
      </c>
      <c r="W40" s="499">
        <v>1.7667999999999989E-2</v>
      </c>
      <c r="X40" s="499">
        <v>1.772E-2</v>
      </c>
      <c r="Y40" s="499">
        <v>1.7791000000000001E-2</v>
      </c>
      <c r="Z40" s="499">
        <v>1.7880999999999994E-2</v>
      </c>
      <c r="AA40" s="499">
        <v>1.8125000000000002E-2</v>
      </c>
      <c r="AB40" s="499">
        <v>1.8248E-2</v>
      </c>
      <c r="AC40" s="499">
        <v>1.8317E-2</v>
      </c>
      <c r="AD40" s="499">
        <v>1.8393999999999994E-2</v>
      </c>
      <c r="AE40" s="499">
        <v>1.8472999999999989E-2</v>
      </c>
      <c r="AF40" s="499">
        <v>1.8757999999999997E-2</v>
      </c>
      <c r="AG40" s="499">
        <v>1.8873000000000001E-2</v>
      </c>
      <c r="AH40" s="499">
        <v>1.8983E-2</v>
      </c>
      <c r="AI40" s="499">
        <v>1.9057999999999992E-2</v>
      </c>
      <c r="AJ40" s="499">
        <v>1.915E-2</v>
      </c>
      <c r="AK40" s="503">
        <v>1E-3</v>
      </c>
      <c r="AL40" s="517" t="s">
        <v>225</v>
      </c>
      <c r="AM40" s="518">
        <v>0</v>
      </c>
    </row>
    <row r="41" spans="1:44" s="251" customFormat="1">
      <c r="A41" s="501" t="s">
        <v>725</v>
      </c>
      <c r="G41" s="499">
        <v>189.425432</v>
      </c>
      <c r="H41" s="499">
        <v>183.10309899999999</v>
      </c>
      <c r="I41" s="499">
        <v>161.279922</v>
      </c>
      <c r="J41" s="499">
        <v>164.29767899999999</v>
      </c>
      <c r="K41" s="499">
        <v>168.61283700000001</v>
      </c>
      <c r="L41" s="499">
        <v>173.02721199999999</v>
      </c>
      <c r="M41" s="499">
        <v>176.08523199999999</v>
      </c>
      <c r="N41" s="499">
        <v>176.71988099999999</v>
      </c>
      <c r="O41" s="499">
        <v>177.47684099999998</v>
      </c>
      <c r="P41" s="499">
        <v>177.56408199999998</v>
      </c>
      <c r="Q41" s="499">
        <v>178.673936</v>
      </c>
      <c r="R41" s="499">
        <v>179.277254</v>
      </c>
      <c r="S41" s="499">
        <v>180.167452</v>
      </c>
      <c r="T41" s="499">
        <v>181.21535600000001</v>
      </c>
      <c r="U41" s="499">
        <v>181.79784500000002</v>
      </c>
      <c r="V41" s="499">
        <v>183.08373800000001</v>
      </c>
      <c r="W41" s="499">
        <v>184.00170700000001</v>
      </c>
      <c r="X41" s="499">
        <v>184.451977</v>
      </c>
      <c r="Y41" s="499">
        <v>185.28033300000001</v>
      </c>
      <c r="Z41" s="499">
        <v>185.749101</v>
      </c>
      <c r="AA41" s="499">
        <v>187.159041</v>
      </c>
      <c r="AB41" s="499">
        <v>189.09426199999999</v>
      </c>
      <c r="AC41" s="499">
        <v>190.77137400000001</v>
      </c>
      <c r="AD41" s="499">
        <v>192.64729300000002</v>
      </c>
      <c r="AE41" s="499">
        <v>193.64615900000001</v>
      </c>
      <c r="AF41" s="499">
        <v>197.26296000000002</v>
      </c>
      <c r="AG41" s="499">
        <v>201.09660399999999</v>
      </c>
      <c r="AH41" s="499">
        <v>202.52672700000002</v>
      </c>
      <c r="AI41" s="499">
        <v>204.05673200000001</v>
      </c>
      <c r="AJ41" s="499">
        <v>204.829328</v>
      </c>
      <c r="AK41" s="503">
        <v>2.1000000000000001E-2</v>
      </c>
      <c r="AL41" s="517" t="s">
        <v>379</v>
      </c>
      <c r="AM41" s="518">
        <v>7.2746606673267742E-3</v>
      </c>
    </row>
    <row r="42" spans="1:44" s="251" customFormat="1">
      <c r="A42" s="501" t="s">
        <v>726</v>
      </c>
      <c r="G42" s="499">
        <v>0</v>
      </c>
      <c r="H42" s="499">
        <v>0</v>
      </c>
      <c r="I42" s="499">
        <v>0</v>
      </c>
      <c r="J42" s="499">
        <v>0</v>
      </c>
      <c r="K42" s="499">
        <v>1.5115E-2</v>
      </c>
      <c r="L42" s="499">
        <v>0.11178200000000001</v>
      </c>
      <c r="M42" s="499">
        <v>0.223165</v>
      </c>
      <c r="N42" s="499">
        <v>0.32806600000000002</v>
      </c>
      <c r="O42" s="499">
        <v>0.338565</v>
      </c>
      <c r="P42" s="499">
        <v>0.34898499999999999</v>
      </c>
      <c r="Q42" s="499">
        <v>0.35950199999999999</v>
      </c>
      <c r="R42" s="499">
        <v>0.37012299999999998</v>
      </c>
      <c r="S42" s="499">
        <v>0.38046400000000002</v>
      </c>
      <c r="T42" s="499">
        <v>0.39595599999999997</v>
      </c>
      <c r="U42" s="499">
        <v>0.41773399999999999</v>
      </c>
      <c r="V42" s="499">
        <v>0.44779800000000003</v>
      </c>
      <c r="W42" s="499">
        <v>0.48069200000000001</v>
      </c>
      <c r="X42" s="499">
        <v>0.51378699999999999</v>
      </c>
      <c r="Y42" s="499">
        <v>0.54720600000000008</v>
      </c>
      <c r="Z42" s="499">
        <v>0.579071</v>
      </c>
      <c r="AA42" s="499">
        <v>0.60809800000000003</v>
      </c>
      <c r="AB42" s="499">
        <v>0.637741</v>
      </c>
      <c r="AC42" s="499">
        <v>0.67019300000000004</v>
      </c>
      <c r="AD42" s="499">
        <v>0.70581099999999997</v>
      </c>
      <c r="AE42" s="499">
        <v>0.73983899999999991</v>
      </c>
      <c r="AF42" s="499">
        <v>0.77408199999999994</v>
      </c>
      <c r="AG42" s="499">
        <v>0.852321</v>
      </c>
      <c r="AH42" s="499">
        <v>0.93569100000000005</v>
      </c>
      <c r="AI42" s="499">
        <v>1.0207109999999999</v>
      </c>
      <c r="AJ42" s="499">
        <v>1.1066560000000001</v>
      </c>
      <c r="AK42" s="499" t="s">
        <v>41</v>
      </c>
      <c r="AL42" s="517" t="s">
        <v>743</v>
      </c>
      <c r="AM42" s="518">
        <v>0</v>
      </c>
    </row>
    <row r="43" spans="1:44" s="251" customFormat="1">
      <c r="A43" s="502" t="s">
        <v>727</v>
      </c>
      <c r="G43" s="500">
        <v>348.92707900000005</v>
      </c>
      <c r="H43" s="500">
        <v>354.091095</v>
      </c>
      <c r="I43" s="500">
        <v>331.21792600000003</v>
      </c>
      <c r="J43" s="500">
        <v>337.65123699999998</v>
      </c>
      <c r="K43" s="500">
        <v>334.94289400000002</v>
      </c>
      <c r="L43" s="500">
        <v>341.31483500000002</v>
      </c>
      <c r="M43" s="500">
        <v>348.03964999999994</v>
      </c>
      <c r="N43" s="500">
        <v>353.08734099999998</v>
      </c>
      <c r="O43" s="500">
        <v>355.06312600000001</v>
      </c>
      <c r="P43" s="500">
        <v>356.90457900000001</v>
      </c>
      <c r="Q43" s="500">
        <v>360.16699200000005</v>
      </c>
      <c r="R43" s="500">
        <v>364.71881100000002</v>
      </c>
      <c r="S43" s="500">
        <v>369.35690399999999</v>
      </c>
      <c r="T43" s="500">
        <v>371.86606600000005</v>
      </c>
      <c r="U43" s="500">
        <v>375.43338800000004</v>
      </c>
      <c r="V43" s="500">
        <v>380.33083399999998</v>
      </c>
      <c r="W43" s="500">
        <v>383.41915900000004</v>
      </c>
      <c r="X43" s="500">
        <v>385.35127199999999</v>
      </c>
      <c r="Y43" s="500">
        <v>389.63385099999999</v>
      </c>
      <c r="Z43" s="500">
        <v>393.13087399999995</v>
      </c>
      <c r="AA43" s="500">
        <v>394.37347399999999</v>
      </c>
      <c r="AB43" s="500">
        <v>398.89269300000001</v>
      </c>
      <c r="AC43" s="500">
        <v>401.86298400000004</v>
      </c>
      <c r="AD43" s="500">
        <v>404.35404199999999</v>
      </c>
      <c r="AE43" s="500">
        <v>406.22083200000003</v>
      </c>
      <c r="AF43" s="500">
        <v>409.28509500000001</v>
      </c>
      <c r="AG43" s="500">
        <v>413.27477199999998</v>
      </c>
      <c r="AH43" s="500">
        <v>415.92989399999999</v>
      </c>
      <c r="AI43" s="500">
        <v>420.45294200000001</v>
      </c>
      <c r="AJ43" s="500">
        <v>423.86506700000001</v>
      </c>
      <c r="AK43" s="504">
        <v>1E-3</v>
      </c>
      <c r="AL43" s="517" t="s">
        <v>744</v>
      </c>
      <c r="AM43" s="518">
        <v>0.17063179247902976</v>
      </c>
    </row>
    <row r="44" spans="1:44" s="251" customFormat="1">
      <c r="A44" s="250"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s="509" t="s">
        <v>58</v>
      </c>
      <c r="AM44" s="518">
        <v>0.11517873250392767</v>
      </c>
    </row>
    <row r="45" spans="1:44" s="251" customFormat="1">
      <c r="A45" s="250"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44" s="251" customFormat="1">
      <c r="A46" s="250"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44" s="253" customFormat="1">
      <c r="B47" s="364" t="s">
        <v>7</v>
      </c>
      <c r="C47" s="364" t="s">
        <v>8</v>
      </c>
      <c r="D47" s="364" t="s">
        <v>9</v>
      </c>
      <c r="E47" s="364" t="s">
        <v>10</v>
      </c>
      <c r="F47" s="364" t="s">
        <v>11</v>
      </c>
      <c r="G47" s="323" t="s">
        <v>12</v>
      </c>
      <c r="H47" s="323" t="s">
        <v>13</v>
      </c>
      <c r="I47" s="323" t="s">
        <v>14</v>
      </c>
      <c r="J47" s="323" t="s">
        <v>15</v>
      </c>
      <c r="K47" s="323" t="s">
        <v>16</v>
      </c>
      <c r="L47" s="323" t="s">
        <v>17</v>
      </c>
      <c r="M47" s="323" t="s">
        <v>18</v>
      </c>
      <c r="N47" s="323" t="s">
        <v>19</v>
      </c>
      <c r="O47" s="323" t="s">
        <v>20</v>
      </c>
      <c r="P47" s="323" t="s">
        <v>21</v>
      </c>
      <c r="Q47" s="323" t="s">
        <v>22</v>
      </c>
      <c r="R47" s="323" t="s">
        <v>23</v>
      </c>
      <c r="S47" s="323" t="s">
        <v>24</v>
      </c>
      <c r="T47" s="323" t="s">
        <v>25</v>
      </c>
      <c r="U47" s="323" t="s">
        <v>26</v>
      </c>
      <c r="V47" s="323" t="s">
        <v>27</v>
      </c>
      <c r="W47" s="323" t="s">
        <v>28</v>
      </c>
      <c r="X47" s="323" t="s">
        <v>29</v>
      </c>
      <c r="Y47" s="323" t="s">
        <v>30</v>
      </c>
      <c r="Z47" s="323" t="s">
        <v>31</v>
      </c>
      <c r="AA47" s="323" t="s">
        <v>582</v>
      </c>
      <c r="AB47" s="323" t="s">
        <v>583</v>
      </c>
      <c r="AC47" s="323" t="s">
        <v>584</v>
      </c>
      <c r="AD47" s="323" t="s">
        <v>585</v>
      </c>
      <c r="AE47" s="323" t="s">
        <v>586</v>
      </c>
      <c r="AF47" s="323" t="s">
        <v>587</v>
      </c>
      <c r="AG47" s="323" t="s">
        <v>588</v>
      </c>
      <c r="AH47" s="323" t="s">
        <v>589</v>
      </c>
      <c r="AI47" s="323" t="s">
        <v>590</v>
      </c>
      <c r="AJ47" s="323" t="s">
        <v>591</v>
      </c>
      <c r="AK47" s="323" t="s">
        <v>594</v>
      </c>
    </row>
    <row r="48" spans="1:44" s="255" customFormat="1">
      <c r="A48" s="254" t="s">
        <v>756</v>
      </c>
      <c r="B48" s="365"/>
      <c r="C48" s="365"/>
      <c r="D48" s="365"/>
      <c r="E48" s="365"/>
      <c r="F48" s="365"/>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M48" s="255" t="s">
        <v>755</v>
      </c>
      <c r="AN48" s="255">
        <v>2006</v>
      </c>
      <c r="AO48" s="255">
        <v>2007</v>
      </c>
      <c r="AP48" s="255">
        <v>2008</v>
      </c>
      <c r="AQ48" s="255">
        <v>2009</v>
      </c>
      <c r="AR48" s="255">
        <v>2010</v>
      </c>
    </row>
    <row r="49" spans="1:44" s="255" customFormat="1">
      <c r="A49" s="254" t="s">
        <v>68</v>
      </c>
      <c r="B49" s="505">
        <f>AN51</f>
        <v>36.856000000000002</v>
      </c>
      <c r="C49" s="505">
        <f t="shared" ref="C49:F49" si="0">AO51</f>
        <v>37.170999999999999</v>
      </c>
      <c r="D49" s="505">
        <f t="shared" si="0"/>
        <v>38.020000000000003</v>
      </c>
      <c r="E49" s="505">
        <f t="shared" si="0"/>
        <v>35.526000000000003</v>
      </c>
      <c r="F49" s="505">
        <f t="shared" si="0"/>
        <v>34.057000000000002</v>
      </c>
      <c r="G49" s="484">
        <f t="shared" ref="G49:AJ49" si="1">G36*$AM36</f>
        <v>35.010535939999997</v>
      </c>
      <c r="H49" s="484">
        <f t="shared" si="1"/>
        <v>35.107859359999999</v>
      </c>
      <c r="I49" s="484">
        <f t="shared" si="1"/>
        <v>32.52125917</v>
      </c>
      <c r="J49" s="484">
        <f t="shared" si="1"/>
        <v>33.772016699999995</v>
      </c>
      <c r="K49" s="484">
        <f t="shared" si="1"/>
        <v>36.578994850000001</v>
      </c>
      <c r="L49" s="484">
        <f t="shared" si="1"/>
        <v>36.367007169999994</v>
      </c>
      <c r="M49" s="484">
        <f t="shared" si="1"/>
        <v>37.456017199999998</v>
      </c>
      <c r="N49" s="484">
        <f t="shared" si="1"/>
        <v>37.696241019999995</v>
      </c>
      <c r="O49" s="484">
        <f t="shared" si="1"/>
        <v>37.62344899</v>
      </c>
      <c r="P49" s="484">
        <f t="shared" si="1"/>
        <v>37.649743579999999</v>
      </c>
      <c r="Q49" s="484">
        <f t="shared" si="1"/>
        <v>36.540319579999995</v>
      </c>
      <c r="R49" s="484">
        <f t="shared" si="1"/>
        <v>36.068528729999997</v>
      </c>
      <c r="S49" s="484">
        <f t="shared" si="1"/>
        <v>36.081969649999998</v>
      </c>
      <c r="T49" s="484">
        <f t="shared" si="1"/>
        <v>36.079329200000004</v>
      </c>
      <c r="U49" s="484">
        <f t="shared" si="1"/>
        <v>36.093580089999996</v>
      </c>
      <c r="V49" s="484">
        <f t="shared" si="1"/>
        <v>35.973735269999992</v>
      </c>
      <c r="W49" s="484">
        <f t="shared" si="1"/>
        <v>35.919038370000003</v>
      </c>
      <c r="X49" s="484">
        <f t="shared" si="1"/>
        <v>35.866495299999997</v>
      </c>
      <c r="Y49" s="484">
        <f t="shared" si="1"/>
        <v>35.831007710000002</v>
      </c>
      <c r="Z49" s="484">
        <f t="shared" si="1"/>
        <v>35.789240749999998</v>
      </c>
      <c r="AA49" s="484">
        <f t="shared" si="1"/>
        <v>35.745176989999997</v>
      </c>
      <c r="AB49" s="484">
        <f t="shared" si="1"/>
        <v>35.613217709999994</v>
      </c>
      <c r="AC49" s="484">
        <f t="shared" si="1"/>
        <v>35.570227529999997</v>
      </c>
      <c r="AD49" s="484">
        <f t="shared" si="1"/>
        <v>35.529996989999994</v>
      </c>
      <c r="AE49" s="484">
        <f t="shared" si="1"/>
        <v>35.499232049999996</v>
      </c>
      <c r="AF49" s="484">
        <f t="shared" si="1"/>
        <v>35.478171959999997</v>
      </c>
      <c r="AG49" s="484">
        <f t="shared" si="1"/>
        <v>35.431120329999999</v>
      </c>
      <c r="AH49" s="484">
        <f t="shared" si="1"/>
        <v>35.389501559999999</v>
      </c>
      <c r="AI49" s="484">
        <f t="shared" si="1"/>
        <v>35.352612109999995</v>
      </c>
      <c r="AJ49" s="484">
        <f t="shared" si="1"/>
        <v>35.310775549999995</v>
      </c>
      <c r="AK49"/>
    </row>
    <row r="50" spans="1:44" s="255" customFormat="1">
      <c r="A50" s="254" t="s">
        <v>69</v>
      </c>
      <c r="B50" s="505">
        <f t="shared" ref="B50:B51" si="2">AN52</f>
        <v>6.2E-2</v>
      </c>
      <c r="C50" s="505">
        <f t="shared" ref="C50:C51" si="3">AO52</f>
        <v>3.9E-2</v>
      </c>
      <c r="D50" s="505">
        <f t="shared" ref="D50:D51" si="4">AP52</f>
        <v>4.3999999999999997E-2</v>
      </c>
      <c r="E50" s="505">
        <f t="shared" ref="E50:E51" si="5">AQ52</f>
        <v>3.5999999999999997E-2</v>
      </c>
      <c r="F50" s="505">
        <f t="shared" ref="F50:F51" si="6">AR52</f>
        <v>0.05</v>
      </c>
      <c r="G50" s="484">
        <f t="shared" ref="G50:AJ50" si="7">G37*$AM37</f>
        <v>4.6646278182520352E-2</v>
      </c>
      <c r="H50" s="484">
        <f t="shared" si="7"/>
        <v>4.4807372445184235E-2</v>
      </c>
      <c r="I50" s="484">
        <f t="shared" si="7"/>
        <v>6.7559213408264165E-2</v>
      </c>
      <c r="J50" s="484">
        <f t="shared" si="7"/>
        <v>6.8847018046790581E-2</v>
      </c>
      <c r="K50" s="484">
        <f t="shared" si="7"/>
        <v>7.1526765910226137E-2</v>
      </c>
      <c r="L50" s="484">
        <f t="shared" si="7"/>
        <v>7.1546287202554543E-2</v>
      </c>
      <c r="M50" s="484">
        <f t="shared" si="7"/>
        <v>7.2652693986213907E-2</v>
      </c>
      <c r="N50" s="484">
        <f t="shared" si="7"/>
        <v>7.311482304114221E-2</v>
      </c>
      <c r="O50" s="484">
        <f t="shared" si="7"/>
        <v>7.300903265310095E-2</v>
      </c>
      <c r="P50" s="484">
        <f t="shared" si="7"/>
        <v>7.306369227162049E-2</v>
      </c>
      <c r="Q50" s="484">
        <f t="shared" si="7"/>
        <v>7.1944071074692667E-2</v>
      </c>
      <c r="R50" s="484">
        <f t="shared" si="7"/>
        <v>7.1453260736420318E-2</v>
      </c>
      <c r="S50" s="484">
        <f t="shared" si="7"/>
        <v>7.1467676459985918E-2</v>
      </c>
      <c r="T50" s="484">
        <f t="shared" si="7"/>
        <v>7.1485771196336478E-2</v>
      </c>
      <c r="U50" s="484">
        <f t="shared" si="7"/>
        <v>7.1529243612713969E-2</v>
      </c>
      <c r="V50" s="484">
        <f t="shared" si="7"/>
        <v>7.1452284671803895E-2</v>
      </c>
      <c r="W50" s="484">
        <f t="shared" si="7"/>
        <v>7.1361285416796094E-2</v>
      </c>
      <c r="X50" s="484">
        <f t="shared" si="7"/>
        <v>7.1305124160405131E-2</v>
      </c>
      <c r="Y50" s="484">
        <f t="shared" si="7"/>
        <v>7.1268033704981151E-2</v>
      </c>
      <c r="Z50" s="484">
        <f t="shared" si="7"/>
        <v>7.1224636370497224E-2</v>
      </c>
      <c r="AA50" s="484">
        <f t="shared" si="7"/>
        <v>7.1177560023228323E-2</v>
      </c>
      <c r="AB50" s="484">
        <f t="shared" si="7"/>
        <v>7.113326170602155E-2</v>
      </c>
      <c r="AC50" s="484">
        <f t="shared" si="7"/>
        <v>7.1089639125856918E-2</v>
      </c>
      <c r="AD50" s="484">
        <f t="shared" si="7"/>
        <v>7.1048043756818696E-2</v>
      </c>
      <c r="AE50" s="484">
        <f t="shared" si="7"/>
        <v>7.1016959852880382E-2</v>
      </c>
      <c r="AF50" s="484">
        <f t="shared" si="7"/>
        <v>7.0996762823509835E-2</v>
      </c>
      <c r="AG50" s="484">
        <f t="shared" si="7"/>
        <v>7.0940226157651026E-2</v>
      </c>
      <c r="AH50" s="484">
        <f t="shared" si="7"/>
        <v>7.0900207508377777E-2</v>
      </c>
      <c r="AI50" s="484">
        <f t="shared" si="7"/>
        <v>7.0868222621716617E-2</v>
      </c>
      <c r="AJ50" s="484">
        <f t="shared" si="7"/>
        <v>7.0825200696700549E-2</v>
      </c>
      <c r="AK50"/>
      <c r="AM50" s="255" t="s">
        <v>748</v>
      </c>
      <c r="AN50" s="255">
        <v>40.305999999999997</v>
      </c>
      <c r="AO50" s="255">
        <v>44.634</v>
      </c>
      <c r="AP50" s="255">
        <v>45.466000000000001</v>
      </c>
      <c r="AQ50" s="255">
        <v>42.033999999999999</v>
      </c>
      <c r="AR50" s="255">
        <v>40.598999999999997</v>
      </c>
    </row>
    <row r="51" spans="1:44" s="255" customFormat="1">
      <c r="A51" s="254" t="s">
        <v>76</v>
      </c>
      <c r="B51" s="505">
        <f t="shared" si="2"/>
        <v>3.3889999999999998</v>
      </c>
      <c r="C51" s="505">
        <f t="shared" si="3"/>
        <v>7.4240000000000004</v>
      </c>
      <c r="D51" s="505">
        <f t="shared" si="4"/>
        <v>7.3659999999999997</v>
      </c>
      <c r="E51" s="505">
        <f t="shared" si="5"/>
        <v>6.444</v>
      </c>
      <c r="F51" s="505">
        <f t="shared" si="6"/>
        <v>6.4550000000000001</v>
      </c>
      <c r="G51" s="484">
        <f t="shared" ref="G51:AJ51" si="8">G38*$AM38</f>
        <v>6.6234298000000003</v>
      </c>
      <c r="H51" s="484">
        <f t="shared" si="8"/>
        <v>7.9330590000000001</v>
      </c>
      <c r="I51" s="484">
        <f t="shared" si="8"/>
        <v>9.8152924000000006</v>
      </c>
      <c r="J51" s="484">
        <f t="shared" si="8"/>
        <v>9.6184242000000015</v>
      </c>
      <c r="K51" s="484">
        <f t="shared" si="8"/>
        <v>6.2198653999999998</v>
      </c>
      <c r="L51" s="484">
        <f t="shared" si="8"/>
        <v>6.7242328000000002</v>
      </c>
      <c r="M51" s="484">
        <f t="shared" si="8"/>
        <v>6.6812274000000009</v>
      </c>
      <c r="N51" s="484">
        <f t="shared" si="8"/>
        <v>7.3758985999999993</v>
      </c>
      <c r="O51" s="484">
        <f t="shared" si="8"/>
        <v>7.668030400000001</v>
      </c>
      <c r="P51" s="484">
        <f t="shared" si="8"/>
        <v>7.9985046000000004</v>
      </c>
      <c r="Q51" s="484">
        <f t="shared" si="8"/>
        <v>9.194618199999999</v>
      </c>
      <c r="R51" s="484">
        <f t="shared" si="8"/>
        <v>10.308744000000001</v>
      </c>
      <c r="S51" s="484">
        <f t="shared" si="8"/>
        <v>11.046944400000001</v>
      </c>
      <c r="T51" s="484">
        <f t="shared" si="8"/>
        <v>11.337833600000002</v>
      </c>
      <c r="U51" s="484">
        <f t="shared" si="8"/>
        <v>11.920472200000001</v>
      </c>
      <c r="V51" s="484">
        <f t="shared" si="8"/>
        <v>12.719588600000002</v>
      </c>
      <c r="W51" s="484">
        <f t="shared" si="8"/>
        <v>13.185017400000001</v>
      </c>
      <c r="X51" s="484">
        <f t="shared" si="8"/>
        <v>13.511146</v>
      </c>
      <c r="Y51" s="484">
        <f t="shared" si="8"/>
        <v>14.219871400000001</v>
      </c>
      <c r="Z51" s="484">
        <f t="shared" si="8"/>
        <v>14.8480484</v>
      </c>
      <c r="AA51" s="484">
        <f t="shared" si="8"/>
        <v>14.839233800000001</v>
      </c>
      <c r="AB51" s="484">
        <f t="shared" si="8"/>
        <v>15.441207600000002</v>
      </c>
      <c r="AC51" s="484">
        <f t="shared" si="8"/>
        <v>15.7231056</v>
      </c>
      <c r="AD51" s="484">
        <f t="shared" si="8"/>
        <v>15.866850600000001</v>
      </c>
      <c r="AE51" s="484">
        <f t="shared" si="8"/>
        <v>16.0549122</v>
      </c>
      <c r="AF51" s="484">
        <f t="shared" si="8"/>
        <v>15.952078</v>
      </c>
      <c r="AG51" s="484">
        <f t="shared" si="8"/>
        <v>16.000219400000002</v>
      </c>
      <c r="AH51" s="484">
        <f t="shared" si="8"/>
        <v>16.257326800000001</v>
      </c>
      <c r="AI51" s="484">
        <f t="shared" si="8"/>
        <v>16.864441600000003</v>
      </c>
      <c r="AJ51" s="484">
        <f t="shared" si="8"/>
        <v>17.404113000000002</v>
      </c>
      <c r="AK51"/>
      <c r="AM51" s="255" t="s">
        <v>68</v>
      </c>
      <c r="AN51" s="255">
        <v>36.856000000000002</v>
      </c>
      <c r="AO51" s="255">
        <v>37.170999999999999</v>
      </c>
      <c r="AP51" s="255">
        <v>38.020000000000003</v>
      </c>
      <c r="AQ51" s="255">
        <v>35.526000000000003</v>
      </c>
      <c r="AR51" s="255">
        <v>34.057000000000002</v>
      </c>
    </row>
    <row r="52" spans="1:44" s="255" customFormat="1">
      <c r="A52" s="254" t="s">
        <v>71</v>
      </c>
      <c r="B52" s="506">
        <f>AN55</f>
        <v>0</v>
      </c>
      <c r="C52" s="506">
        <f t="shared" ref="C52:F52" si="9">AO55</f>
        <v>0</v>
      </c>
      <c r="D52" s="506">
        <f t="shared" si="9"/>
        <v>0</v>
      </c>
      <c r="E52" s="506">
        <f t="shared" si="9"/>
        <v>0</v>
      </c>
      <c r="F52" s="506">
        <f t="shared" si="9"/>
        <v>0</v>
      </c>
      <c r="G52" s="484">
        <f>G39*$AM40</f>
        <v>0</v>
      </c>
      <c r="H52" s="484">
        <f t="shared" ref="H52:AJ52" si="10">H39*$AM40</f>
        <v>0</v>
      </c>
      <c r="I52" s="484">
        <f t="shared" si="10"/>
        <v>0</v>
      </c>
      <c r="J52" s="484">
        <f t="shared" si="10"/>
        <v>0</v>
      </c>
      <c r="K52" s="484">
        <f t="shared" si="10"/>
        <v>0</v>
      </c>
      <c r="L52" s="484">
        <f t="shared" si="10"/>
        <v>0</v>
      </c>
      <c r="M52" s="484">
        <f t="shared" si="10"/>
        <v>0</v>
      </c>
      <c r="N52" s="484">
        <f t="shared" si="10"/>
        <v>0</v>
      </c>
      <c r="O52" s="484">
        <f t="shared" si="10"/>
        <v>0</v>
      </c>
      <c r="P52" s="484">
        <f t="shared" si="10"/>
        <v>0</v>
      </c>
      <c r="Q52" s="484">
        <f t="shared" si="10"/>
        <v>0</v>
      </c>
      <c r="R52" s="484">
        <f t="shared" si="10"/>
        <v>0</v>
      </c>
      <c r="S52" s="484">
        <f t="shared" si="10"/>
        <v>0</v>
      </c>
      <c r="T52" s="484">
        <f t="shared" si="10"/>
        <v>0</v>
      </c>
      <c r="U52" s="484">
        <f t="shared" si="10"/>
        <v>0</v>
      </c>
      <c r="V52" s="484">
        <f t="shared" si="10"/>
        <v>0</v>
      </c>
      <c r="W52" s="484">
        <f t="shared" si="10"/>
        <v>0</v>
      </c>
      <c r="X52" s="484">
        <f t="shared" si="10"/>
        <v>0</v>
      </c>
      <c r="Y52" s="484">
        <f t="shared" si="10"/>
        <v>0</v>
      </c>
      <c r="Z52" s="484">
        <f t="shared" si="10"/>
        <v>0</v>
      </c>
      <c r="AA52" s="484">
        <f t="shared" si="10"/>
        <v>0</v>
      </c>
      <c r="AB52" s="484">
        <f t="shared" si="10"/>
        <v>0</v>
      </c>
      <c r="AC52" s="484">
        <f t="shared" si="10"/>
        <v>0</v>
      </c>
      <c r="AD52" s="484">
        <f t="shared" si="10"/>
        <v>0</v>
      </c>
      <c r="AE52" s="484">
        <f t="shared" si="10"/>
        <v>0</v>
      </c>
      <c r="AF52" s="484">
        <f t="shared" si="10"/>
        <v>0</v>
      </c>
      <c r="AG52" s="484">
        <f t="shared" si="10"/>
        <v>0</v>
      </c>
      <c r="AH52" s="484">
        <f t="shared" si="10"/>
        <v>0</v>
      </c>
      <c r="AI52" s="484">
        <f t="shared" si="10"/>
        <v>0</v>
      </c>
      <c r="AJ52" s="484">
        <f t="shared" si="10"/>
        <v>0</v>
      </c>
      <c r="AK52"/>
      <c r="AM52" s="255" t="s">
        <v>69</v>
      </c>
      <c r="AN52" s="255">
        <v>6.2E-2</v>
      </c>
      <c r="AO52" s="255">
        <v>3.9E-2</v>
      </c>
      <c r="AP52" s="255">
        <v>4.3999999999999997E-2</v>
      </c>
      <c r="AQ52" s="255">
        <v>3.5999999999999997E-2</v>
      </c>
      <c r="AR52" s="255">
        <v>0.05</v>
      </c>
    </row>
    <row r="53" spans="1:44" s="255" customFormat="1">
      <c r="A53" s="254" t="s">
        <v>326</v>
      </c>
      <c r="B53" s="507"/>
      <c r="C53" s="507"/>
      <c r="D53" s="507"/>
      <c r="E53" s="507"/>
      <c r="F53" s="507"/>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c r="AM53" s="255" t="s">
        <v>746</v>
      </c>
      <c r="AN53" s="255">
        <v>3.3889999999999998</v>
      </c>
      <c r="AO53" s="255">
        <v>7.4240000000000004</v>
      </c>
      <c r="AP53" s="255">
        <v>7.3659999999999997</v>
      </c>
      <c r="AQ53" s="255">
        <v>6.444</v>
      </c>
      <c r="AR53" s="255">
        <v>6.4550000000000001</v>
      </c>
    </row>
    <row r="54" spans="1:44" s="255" customFormat="1">
      <c r="A54" s="254" t="s">
        <v>628</v>
      </c>
      <c r="B54" s="506">
        <f>AN56</f>
        <v>0.95199999999999996</v>
      </c>
      <c r="C54" s="506">
        <f t="shared" ref="C54:F54" si="11">AO56</f>
        <v>0.73399999999999999</v>
      </c>
      <c r="D54" s="506">
        <f t="shared" si="11"/>
        <v>0.97</v>
      </c>
      <c r="E54" s="506">
        <f t="shared" si="11"/>
        <v>1.3220000000000001</v>
      </c>
      <c r="F54" s="506">
        <f t="shared" si="11"/>
        <v>1.476</v>
      </c>
      <c r="G54" s="484">
        <f>EIA_RE_aeo2014!G79</f>
        <v>1.7584596328276341</v>
      </c>
      <c r="H54" s="484">
        <f>EIA_RE_aeo2014!H79</f>
        <v>1.8135523626364607</v>
      </c>
      <c r="I54" s="484">
        <f>EIA_RE_aeo2014!I79</f>
        <v>1.8571564960482156</v>
      </c>
      <c r="J54" s="484">
        <f>EIA_RE_aeo2014!J79</f>
        <v>1.8925462695719553</v>
      </c>
      <c r="K54" s="484">
        <f>EIA_RE_aeo2014!K79</f>
        <v>1.9692204906178641</v>
      </c>
      <c r="L54" s="484">
        <f>EIA_RE_aeo2014!L79</f>
        <v>2.1072944180386282</v>
      </c>
      <c r="M54" s="484">
        <f>EIA_RE_aeo2014!M79</f>
        <v>2.2741022236909565</v>
      </c>
      <c r="N54" s="484">
        <f>EIA_RE_aeo2014!N79</f>
        <v>2.3509931986974948</v>
      </c>
      <c r="O54" s="484">
        <f>EIA_RE_aeo2014!O79</f>
        <v>2.3959601782731674</v>
      </c>
      <c r="P54" s="484">
        <f>EIA_RE_aeo2014!P79</f>
        <v>2.4066032490111473</v>
      </c>
      <c r="Q54" s="484">
        <f>EIA_RE_aeo2014!Q79</f>
        <v>2.4526985989330652</v>
      </c>
      <c r="R54" s="484">
        <f>EIA_RE_aeo2014!R79</f>
        <v>2.5301407468361452</v>
      </c>
      <c r="S54" s="484">
        <f>EIA_RE_aeo2014!S79</f>
        <v>2.644351451352474</v>
      </c>
      <c r="T54" s="484">
        <f>EIA_RE_aeo2014!T79</f>
        <v>2.7656327149300166</v>
      </c>
      <c r="U54" s="484">
        <f>EIA_RE_aeo2014!U79</f>
        <v>2.8412440211193277</v>
      </c>
      <c r="V54" s="484">
        <f>EIA_RE_aeo2014!V79</f>
        <v>2.9686712533009465</v>
      </c>
      <c r="W54" s="484">
        <f>EIA_RE_aeo2014!W79</f>
        <v>3.0756003436212453</v>
      </c>
      <c r="X54" s="484">
        <f>EIA_RE_aeo2014!X79</f>
        <v>3.1346888459421587</v>
      </c>
      <c r="Y54" s="484">
        <f>EIA_RE_aeo2014!Y79</f>
        <v>3.141559413077164</v>
      </c>
      <c r="Z54" s="484">
        <f>EIA_RE_aeo2014!Z79</f>
        <v>3.1975117102784738</v>
      </c>
      <c r="AA54" s="484">
        <f>EIA_RE_aeo2014!AA79</f>
        <v>3.3471060065454585</v>
      </c>
      <c r="AB54" s="484">
        <f>EIA_RE_aeo2014!AB79</f>
        <v>3.56021157330016</v>
      </c>
      <c r="AC54" s="484">
        <f>EIA_RE_aeo2014!AC79</f>
        <v>3.7636752701657934</v>
      </c>
      <c r="AD54" s="484">
        <f>EIA_RE_aeo2014!AD79</f>
        <v>3.961946247150494</v>
      </c>
      <c r="AE54" s="484">
        <f>EIA_RE_aeo2014!AE79</f>
        <v>4.0097916547860484</v>
      </c>
      <c r="AF54" s="484">
        <f>EIA_RE_aeo2014!AF79</f>
        <v>4.1407206179627325</v>
      </c>
      <c r="AG54" s="484">
        <f>EIA_RE_aeo2014!AG79</f>
        <v>4.2522944128649556</v>
      </c>
      <c r="AH54" s="484">
        <f>EIA_RE_aeo2014!AH79</f>
        <v>4.3308538546558486</v>
      </c>
      <c r="AI54" s="484">
        <f>EIA_RE_aeo2014!AI79</f>
        <v>4.4041434662869481</v>
      </c>
      <c r="AJ54" s="484">
        <f>EIA_RE_aeo2014!AJ79</f>
        <v>4.4282531933326963</v>
      </c>
      <c r="AK54"/>
      <c r="AM54" s="255" t="s">
        <v>749</v>
      </c>
      <c r="AN54" s="255">
        <v>0</v>
      </c>
      <c r="AO54" s="255">
        <v>0</v>
      </c>
      <c r="AP54" s="255">
        <v>3.5999999999999997E-2</v>
      </c>
      <c r="AQ54" s="255">
        <v>2.8000000000000001E-2</v>
      </c>
      <c r="AR54" s="255">
        <v>3.5999999999999997E-2</v>
      </c>
    </row>
    <row r="55" spans="1:44" s="255" customFormat="1">
      <c r="A55" s="254" t="s">
        <v>629</v>
      </c>
      <c r="B55" s="506">
        <f>AN58</f>
        <v>5.0000000000000001E-3</v>
      </c>
      <c r="C55" s="506">
        <f t="shared" ref="C55:F55" si="12">AO58</f>
        <v>5.0000000000000001E-3</v>
      </c>
      <c r="D55" s="506">
        <f t="shared" si="12"/>
        <v>0.14299999999999999</v>
      </c>
      <c r="E55" s="506">
        <f t="shared" si="12"/>
        <v>0.187</v>
      </c>
      <c r="F55" s="506">
        <f t="shared" si="12"/>
        <v>0.17399999999999999</v>
      </c>
      <c r="G55" s="484">
        <f>G40*$AM43</f>
        <v>3.945484811134109E-2</v>
      </c>
      <c r="H55" s="484">
        <f t="shared" ref="H55:AJ55" si="13">H40*$AM43</f>
        <v>5.6368212645447488E-2</v>
      </c>
      <c r="I55" s="484">
        <f t="shared" si="13"/>
        <v>2.3055767799766494E-3</v>
      </c>
      <c r="J55" s="484">
        <f t="shared" si="13"/>
        <v>2.3055767799766494E-3</v>
      </c>
      <c r="K55" s="484">
        <f t="shared" si="13"/>
        <v>2.3055767799766494E-3</v>
      </c>
      <c r="L55" s="484">
        <f t="shared" si="13"/>
        <v>2.3055767799766494E-3</v>
      </c>
      <c r="M55" s="484">
        <f t="shared" si="13"/>
        <v>2.3912339398011228E-3</v>
      </c>
      <c r="N55" s="484">
        <f t="shared" si="13"/>
        <v>2.4366219966005451E-3</v>
      </c>
      <c r="O55" s="484">
        <f t="shared" si="13"/>
        <v>2.4475424313192022E-3</v>
      </c>
      <c r="P55" s="484">
        <f t="shared" si="13"/>
        <v>2.451296330753742E-3</v>
      </c>
      <c r="Q55" s="484">
        <f t="shared" si="13"/>
        <v>2.7927305475042813E-3</v>
      </c>
      <c r="R55" s="484">
        <f t="shared" si="13"/>
        <v>2.9021055264833399E-3</v>
      </c>
      <c r="S55" s="484">
        <f t="shared" si="13"/>
        <v>2.9058594259178776E-3</v>
      </c>
      <c r="T55" s="484">
        <f t="shared" si="13"/>
        <v>2.9367437803565796E-3</v>
      </c>
      <c r="U55" s="484">
        <f t="shared" si="13"/>
        <v>2.9606322313036463E-3</v>
      </c>
      <c r="V55" s="484">
        <f t="shared" si="13"/>
        <v>2.9950998533844115E-3</v>
      </c>
      <c r="W55" s="484">
        <f t="shared" si="13"/>
        <v>3.0147225095194961E-3</v>
      </c>
      <c r="X55" s="484">
        <f t="shared" si="13"/>
        <v>3.0235953627284072E-3</v>
      </c>
      <c r="Y55" s="484">
        <f t="shared" si="13"/>
        <v>3.0357102199944186E-3</v>
      </c>
      <c r="Z55" s="484">
        <f t="shared" si="13"/>
        <v>3.0510670813175302E-3</v>
      </c>
      <c r="AA55" s="484">
        <f t="shared" si="13"/>
        <v>3.0927012386824148E-3</v>
      </c>
      <c r="AB55" s="484">
        <f t="shared" si="13"/>
        <v>3.1136889491573351E-3</v>
      </c>
      <c r="AC55" s="484">
        <f t="shared" si="13"/>
        <v>3.1254625428383882E-3</v>
      </c>
      <c r="AD55" s="484">
        <f t="shared" si="13"/>
        <v>3.1386011908592724E-3</v>
      </c>
      <c r="AE55" s="484">
        <f t="shared" si="13"/>
        <v>3.1520811024651151E-3</v>
      </c>
      <c r="AF55" s="484">
        <f t="shared" si="13"/>
        <v>3.2007111633216398E-3</v>
      </c>
      <c r="AG55" s="484">
        <f t="shared" si="13"/>
        <v>3.2203338194567287E-3</v>
      </c>
      <c r="AH55" s="484">
        <f t="shared" si="13"/>
        <v>3.239103316629422E-3</v>
      </c>
      <c r="AI55" s="484">
        <f t="shared" si="13"/>
        <v>3.251900701065348E-3</v>
      </c>
      <c r="AJ55" s="484">
        <f t="shared" si="13"/>
        <v>3.2675988259734199E-3</v>
      </c>
      <c r="AK55"/>
      <c r="AM55" s="255" t="s">
        <v>225</v>
      </c>
      <c r="AN55" s="255">
        <v>0</v>
      </c>
      <c r="AO55" s="255">
        <v>0</v>
      </c>
      <c r="AP55" s="255">
        <v>0</v>
      </c>
      <c r="AQ55" s="255">
        <v>0</v>
      </c>
      <c r="AR55" s="255">
        <v>0</v>
      </c>
    </row>
    <row r="56" spans="1:44" s="255" customFormat="1">
      <c r="A56" s="254" t="s">
        <v>82</v>
      </c>
      <c r="B56" s="506">
        <f>AN59</f>
        <v>41.262999999999998</v>
      </c>
      <c r="C56" s="506">
        <f t="shared" ref="C56" si="14">AO59</f>
        <v>45.372999999999998</v>
      </c>
      <c r="D56" s="506">
        <f t="shared" ref="D56" si="15">AP59</f>
        <v>46.579000000000001</v>
      </c>
      <c r="E56" s="506">
        <f t="shared" ref="E56" si="16">AQ59</f>
        <v>43.542999999999999</v>
      </c>
      <c r="F56" s="506">
        <f t="shared" ref="F56" si="17">AR59</f>
        <v>42.249000000000002</v>
      </c>
      <c r="G56" s="527">
        <f>G58</f>
        <v>43.478526499121493</v>
      </c>
      <c r="H56" s="527">
        <f t="shared" ref="H56:AJ56" si="18">H58</f>
        <v>44.955646307727086</v>
      </c>
      <c r="I56" s="527">
        <f t="shared" si="18"/>
        <v>44.263572856236465</v>
      </c>
      <c r="J56" s="527">
        <f t="shared" si="18"/>
        <v>45.35413976439871</v>
      </c>
      <c r="K56" s="527">
        <f t="shared" si="18"/>
        <v>44.841913083308064</v>
      </c>
      <c r="L56" s="527">
        <f t="shared" si="18"/>
        <v>45.27238625202115</v>
      </c>
      <c r="M56" s="527">
        <f t="shared" si="18"/>
        <v>46.48639075161698</v>
      </c>
      <c r="N56" s="527">
        <f t="shared" si="18"/>
        <v>47.498684263735235</v>
      </c>
      <c r="O56" s="527">
        <f t="shared" si="18"/>
        <v>47.762896143357587</v>
      </c>
      <c r="P56" s="527">
        <f t="shared" si="18"/>
        <v>48.130366417613516</v>
      </c>
      <c r="Q56" s="527">
        <f t="shared" si="18"/>
        <v>48.262373180555258</v>
      </c>
      <c r="R56" s="527">
        <f t="shared" si="18"/>
        <v>48.981768843099047</v>
      </c>
      <c r="S56" s="527">
        <f t="shared" si="18"/>
        <v>49.847639037238373</v>
      </c>
      <c r="T56" s="527">
        <f t="shared" si="18"/>
        <v>50.257218029906717</v>
      </c>
      <c r="U56" s="527">
        <f t="shared" si="18"/>
        <v>50.929786186963348</v>
      </c>
      <c r="V56" s="527">
        <f t="shared" si="18"/>
        <v>51.736442507826133</v>
      </c>
      <c r="W56" s="527">
        <f t="shared" si="18"/>
        <v>52.254032121547567</v>
      </c>
      <c r="X56" s="527">
        <f t="shared" si="18"/>
        <v>52.586658865465282</v>
      </c>
      <c r="Y56" s="527">
        <f t="shared" si="18"/>
        <v>53.266742267002144</v>
      </c>
      <c r="Z56" s="527">
        <f t="shared" si="18"/>
        <v>53.909076563730281</v>
      </c>
      <c r="AA56" s="527">
        <f t="shared" si="18"/>
        <v>54.005787057807375</v>
      </c>
      <c r="AB56" s="527">
        <f t="shared" si="18"/>
        <v>54.688883833955337</v>
      </c>
      <c r="AC56" s="527">
        <f t="shared" si="18"/>
        <v>55.131223501834484</v>
      </c>
      <c r="AD56" s="527">
        <f t="shared" si="18"/>
        <v>55.432980482098166</v>
      </c>
      <c r="AE56" s="527">
        <f t="shared" si="18"/>
        <v>55.638104945741389</v>
      </c>
      <c r="AF56" s="527">
        <f t="shared" si="18"/>
        <v>55.645168051949568</v>
      </c>
      <c r="AG56" s="527">
        <f t="shared" si="18"/>
        <v>55.757794702842062</v>
      </c>
      <c r="AH56" s="527">
        <f t="shared" si="18"/>
        <v>56.051821525480861</v>
      </c>
      <c r="AI56" s="527">
        <f t="shared" si="18"/>
        <v>56.695317299609727</v>
      </c>
      <c r="AJ56" s="527">
        <f t="shared" si="18"/>
        <v>57.217234542855365</v>
      </c>
      <c r="AK56"/>
      <c r="AM56" s="255" t="s">
        <v>379</v>
      </c>
      <c r="AN56" s="255">
        <v>0.95199999999999996</v>
      </c>
      <c r="AO56" s="255">
        <v>0.73399999999999999</v>
      </c>
      <c r="AP56" s="255">
        <v>0.97</v>
      </c>
      <c r="AQ56" s="255">
        <v>1.3220000000000001</v>
      </c>
      <c r="AR56" s="255">
        <v>1.476</v>
      </c>
    </row>
    <row r="57" spans="1:44" s="255" customFormat="1">
      <c r="B57" s="488"/>
      <c r="C57" s="488"/>
      <c r="D57" s="488"/>
      <c r="E57" s="488"/>
      <c r="F57" s="488"/>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M57" s="255" t="s">
        <v>750</v>
      </c>
      <c r="AN57" s="255">
        <v>0</v>
      </c>
      <c r="AO57" s="255">
        <v>0</v>
      </c>
      <c r="AP57" s="255">
        <v>0</v>
      </c>
      <c r="AQ57" s="255">
        <v>0</v>
      </c>
      <c r="AR57" s="255">
        <v>0</v>
      </c>
    </row>
    <row r="58" spans="1:44" s="255" customFormat="1">
      <c r="A58" s="254" t="s">
        <v>83</v>
      </c>
      <c r="B58" s="483">
        <f>SUM(B49:B52,B54,B55)</f>
        <v>41.264000000000003</v>
      </c>
      <c r="C58" s="483">
        <f t="shared" ref="C58:AJ58" si="19">SUM(C49:C52,C54,C55)</f>
        <v>45.373000000000005</v>
      </c>
      <c r="D58" s="483">
        <f t="shared" si="19"/>
        <v>46.542999999999999</v>
      </c>
      <c r="E58" s="483">
        <f t="shared" si="19"/>
        <v>43.515000000000008</v>
      </c>
      <c r="F58" s="483">
        <f t="shared" si="19"/>
        <v>42.211999999999996</v>
      </c>
      <c r="G58" s="483">
        <f t="shared" si="19"/>
        <v>43.478526499121493</v>
      </c>
      <c r="H58" s="483">
        <f t="shared" si="19"/>
        <v>44.955646307727086</v>
      </c>
      <c r="I58" s="483">
        <f t="shared" si="19"/>
        <v>44.263572856236465</v>
      </c>
      <c r="J58" s="483">
        <f t="shared" si="19"/>
        <v>45.35413976439871</v>
      </c>
      <c r="K58" s="483">
        <f t="shared" si="19"/>
        <v>44.841913083308064</v>
      </c>
      <c r="L58" s="483">
        <f t="shared" si="19"/>
        <v>45.27238625202115</v>
      </c>
      <c r="M58" s="483">
        <f t="shared" si="19"/>
        <v>46.48639075161698</v>
      </c>
      <c r="N58" s="483">
        <f t="shared" si="19"/>
        <v>47.498684263735235</v>
      </c>
      <c r="O58" s="483">
        <f t="shared" si="19"/>
        <v>47.762896143357587</v>
      </c>
      <c r="P58" s="483">
        <f t="shared" si="19"/>
        <v>48.130366417613516</v>
      </c>
      <c r="Q58" s="483">
        <f t="shared" si="19"/>
        <v>48.262373180555258</v>
      </c>
      <c r="R58" s="483">
        <f t="shared" si="19"/>
        <v>48.981768843099047</v>
      </c>
      <c r="S58" s="483">
        <f t="shared" si="19"/>
        <v>49.847639037238373</v>
      </c>
      <c r="T58" s="483">
        <f t="shared" si="19"/>
        <v>50.257218029906717</v>
      </c>
      <c r="U58" s="483">
        <f t="shared" si="19"/>
        <v>50.929786186963348</v>
      </c>
      <c r="V58" s="483">
        <f t="shared" si="19"/>
        <v>51.736442507826133</v>
      </c>
      <c r="W58" s="483">
        <f t="shared" si="19"/>
        <v>52.254032121547567</v>
      </c>
      <c r="X58" s="483">
        <f t="shared" si="19"/>
        <v>52.586658865465282</v>
      </c>
      <c r="Y58" s="483">
        <f t="shared" si="19"/>
        <v>53.266742267002144</v>
      </c>
      <c r="Z58" s="483">
        <f t="shared" si="19"/>
        <v>53.909076563730281</v>
      </c>
      <c r="AA58" s="483">
        <f t="shared" si="19"/>
        <v>54.005787057807375</v>
      </c>
      <c r="AB58" s="483">
        <f t="shared" si="19"/>
        <v>54.688883833955337</v>
      </c>
      <c r="AC58" s="483">
        <f t="shared" si="19"/>
        <v>55.131223501834484</v>
      </c>
      <c r="AD58" s="483">
        <f t="shared" si="19"/>
        <v>55.432980482098166</v>
      </c>
      <c r="AE58" s="483">
        <f t="shared" si="19"/>
        <v>55.638104945741389</v>
      </c>
      <c r="AF58" s="483">
        <f t="shared" si="19"/>
        <v>55.645168051949568</v>
      </c>
      <c r="AG58" s="483">
        <f t="shared" si="19"/>
        <v>55.757794702842062</v>
      </c>
      <c r="AH58" s="483">
        <f t="shared" si="19"/>
        <v>56.051821525480861</v>
      </c>
      <c r="AI58" s="483">
        <f t="shared" si="19"/>
        <v>56.695317299609727</v>
      </c>
      <c r="AJ58" s="483">
        <f t="shared" si="19"/>
        <v>57.217234542855365</v>
      </c>
      <c r="AK58" s="490">
        <v>8.9999999999999993E-3</v>
      </c>
      <c r="AM58" s="255" t="s">
        <v>744</v>
      </c>
      <c r="AN58" s="255">
        <v>5.0000000000000001E-3</v>
      </c>
      <c r="AO58" s="255">
        <v>5.0000000000000001E-3</v>
      </c>
      <c r="AP58" s="255">
        <v>0.14299999999999999</v>
      </c>
      <c r="AQ58" s="255">
        <v>0.187</v>
      </c>
      <c r="AR58" s="255">
        <v>0.17399999999999999</v>
      </c>
    </row>
    <row r="59" spans="1:44">
      <c r="A59" s="6" t="s">
        <v>84</v>
      </c>
      <c r="B59" s="366">
        <v>3906.17822265625</v>
      </c>
      <c r="C59" s="366">
        <v>4003.6083984375</v>
      </c>
      <c r="D59" s="366">
        <v>4006.09130859375</v>
      </c>
      <c r="E59" s="366">
        <v>3992.21752929688</v>
      </c>
      <c r="F59" s="366">
        <v>4046.56079101563</v>
      </c>
      <c r="G59" s="248">
        <v>3975.9853520000001</v>
      </c>
      <c r="H59" s="248">
        <v>3914.8715820000002</v>
      </c>
      <c r="I59" s="248">
        <v>3921.3237300000001</v>
      </c>
      <c r="J59" s="248">
        <v>3939.0678710000002</v>
      </c>
      <c r="K59" s="248">
        <v>4009.0505370000001</v>
      </c>
      <c r="L59" s="248">
        <v>4063.0170899999998</v>
      </c>
      <c r="M59" s="248">
        <v>4119.9077150000003</v>
      </c>
      <c r="N59" s="248">
        <v>4166.5869140000004</v>
      </c>
      <c r="O59" s="248">
        <v>4198.9038090000004</v>
      </c>
      <c r="P59" s="248">
        <v>4219.6909180000002</v>
      </c>
      <c r="Q59" s="248">
        <v>4252.6411129999997</v>
      </c>
      <c r="R59" s="248">
        <v>4292.3344729999999</v>
      </c>
      <c r="S59" s="248">
        <v>4339.8535160000001</v>
      </c>
      <c r="T59" s="248">
        <v>4382.0117190000001</v>
      </c>
      <c r="U59" s="248">
        <v>4415.9643550000001</v>
      </c>
      <c r="V59" s="248">
        <v>4450.7382809999999</v>
      </c>
      <c r="W59" s="248">
        <v>4486.6025390000004</v>
      </c>
      <c r="X59" s="248">
        <v>4519.0146480000003</v>
      </c>
      <c r="Y59" s="248">
        <v>4546.845703</v>
      </c>
      <c r="Z59" s="248">
        <v>4573.2431640000004</v>
      </c>
      <c r="AA59" s="248">
        <v>4595.8320309999999</v>
      </c>
      <c r="AB59" s="248">
        <v>4620.3847660000001</v>
      </c>
      <c r="AC59" s="248">
        <v>4650.2163090000004</v>
      </c>
      <c r="AD59" s="248">
        <v>4684.017578</v>
      </c>
      <c r="AE59" s="248">
        <v>4715.7373049999997</v>
      </c>
      <c r="AF59" s="248">
        <v>4746.6293949999999</v>
      </c>
      <c r="AG59" s="248">
        <v>4780.0688479999999</v>
      </c>
      <c r="AH59" s="248">
        <v>4817.2851559999999</v>
      </c>
      <c r="AI59" s="248">
        <v>4853.5073240000002</v>
      </c>
      <c r="AJ59" s="248">
        <v>4888.0634769999997</v>
      </c>
      <c r="AK59" s="249">
        <v>8.0000000000000002E-3</v>
      </c>
      <c r="AM59" s="5" t="s">
        <v>58</v>
      </c>
      <c r="AN59" s="5">
        <v>41.262999999999998</v>
      </c>
      <c r="AO59" s="5">
        <v>45.372999999999998</v>
      </c>
      <c r="AP59" s="5">
        <v>46.579000000000001</v>
      </c>
      <c r="AQ59" s="5">
        <v>43.542999999999999</v>
      </c>
      <c r="AR59" s="5">
        <v>42.249000000000002</v>
      </c>
    </row>
    <row r="60" spans="1:44" s="274" customFormat="1">
      <c r="A60" s="273" t="s">
        <v>331</v>
      </c>
      <c r="B60" s="367"/>
      <c r="C60" s="367"/>
      <c r="D60" s="367"/>
      <c r="E60" s="367">
        <f>E49/SUM(E49,E51)</f>
        <v>0.84646175839885629</v>
      </c>
      <c r="F60" s="367">
        <f t="shared" ref="F60:AJ60" si="20">F49/SUM(F49,F51)</f>
        <v>0.84066449447077418</v>
      </c>
      <c r="G60" s="324">
        <f t="shared" si="20"/>
        <v>0.8409128296506112</v>
      </c>
      <c r="H60" s="324">
        <f t="shared" si="20"/>
        <v>0.81568564746581773</v>
      </c>
      <c r="I60" s="324">
        <f t="shared" si="20"/>
        <v>0.76816032397510647</v>
      </c>
      <c r="J60" s="324">
        <f t="shared" si="20"/>
        <v>0.77832849815545435</v>
      </c>
      <c r="K60" s="324">
        <f t="shared" si="20"/>
        <v>0.85467217202355283</v>
      </c>
      <c r="L60" s="324">
        <f t="shared" si="20"/>
        <v>0.84395360159787935</v>
      </c>
      <c r="M60" s="324">
        <f t="shared" si="20"/>
        <v>0.84862608754693303</v>
      </c>
      <c r="N60" s="324">
        <f t="shared" si="20"/>
        <v>0.83635348438779089</v>
      </c>
      <c r="O60" s="324">
        <f t="shared" si="20"/>
        <v>0.83069596084571617</v>
      </c>
      <c r="P60" s="324">
        <f t="shared" si="20"/>
        <v>0.8247795935462775</v>
      </c>
      <c r="Q60" s="324">
        <f t="shared" si="20"/>
        <v>0.79895855015198403</v>
      </c>
      <c r="R60" s="324">
        <f t="shared" si="20"/>
        <v>0.77771991768434456</v>
      </c>
      <c r="S60" s="324">
        <f t="shared" si="20"/>
        <v>0.76560155007433273</v>
      </c>
      <c r="T60" s="324">
        <f t="shared" si="20"/>
        <v>0.76089177566735389</v>
      </c>
      <c r="U60" s="324">
        <f t="shared" si="20"/>
        <v>0.75172951185203951</v>
      </c>
      <c r="V60" s="324">
        <f t="shared" si="20"/>
        <v>0.73878167294641073</v>
      </c>
      <c r="W60" s="324">
        <f t="shared" si="20"/>
        <v>0.73148822040774575</v>
      </c>
      <c r="X60" s="324">
        <f t="shared" si="20"/>
        <v>0.72637117439629506</v>
      </c>
      <c r="Y60" s="324">
        <f t="shared" si="20"/>
        <v>0.71589167557380784</v>
      </c>
      <c r="Z60" s="324">
        <f t="shared" si="20"/>
        <v>0.7067763964216871</v>
      </c>
      <c r="AA60" s="324">
        <f t="shared" si="20"/>
        <v>0.70664413070649901</v>
      </c>
      <c r="AB60" s="324">
        <f t="shared" si="20"/>
        <v>0.69755398271076918</v>
      </c>
      <c r="AC60" s="324">
        <f t="shared" si="20"/>
        <v>0.6934668768716844</v>
      </c>
      <c r="AD60" s="324">
        <f t="shared" si="20"/>
        <v>0.69128747493285703</v>
      </c>
      <c r="AE60" s="324">
        <f t="shared" si="20"/>
        <v>0.68858154017365925</v>
      </c>
      <c r="AF60" s="324">
        <f t="shared" si="20"/>
        <v>0.68983082889142544</v>
      </c>
      <c r="AG60" s="324">
        <f t="shared" si="20"/>
        <v>0.6889013686208324</v>
      </c>
      <c r="AH60" s="324">
        <f t="shared" si="20"/>
        <v>0.68522119719182695</v>
      </c>
      <c r="AI60" s="324">
        <f t="shared" si="20"/>
        <v>0.67703191961651554</v>
      </c>
      <c r="AJ60" s="324">
        <f t="shared" si="20"/>
        <v>0.66984445042519203</v>
      </c>
      <c r="AK60" s="324"/>
      <c r="AL60" s="274" t="s">
        <v>0</v>
      </c>
    </row>
    <row r="61" spans="1:44" s="265" customFormat="1">
      <c r="A61" s="262" t="s">
        <v>107</v>
      </c>
      <c r="B61" s="358">
        <f>B54/B58</f>
        <v>2.3070957735556414E-2</v>
      </c>
      <c r="C61" s="358">
        <f t="shared" ref="C61:AJ61" si="21">C54/C58</f>
        <v>1.6177021576708615E-2</v>
      </c>
      <c r="D61" s="358">
        <f t="shared" si="21"/>
        <v>2.0840942784092129E-2</v>
      </c>
      <c r="E61" s="358">
        <f t="shared" si="21"/>
        <v>3.0380328622314139E-2</v>
      </c>
      <c r="F61" s="358">
        <f t="shared" si="21"/>
        <v>3.4966360276698569E-2</v>
      </c>
      <c r="G61" s="309">
        <f t="shared" si="21"/>
        <v>4.0444324461252491E-2</v>
      </c>
      <c r="H61" s="309">
        <f t="shared" si="21"/>
        <v>4.0340925147031928E-2</v>
      </c>
      <c r="I61" s="309">
        <f t="shared" si="21"/>
        <v>4.1956768878103651E-2</v>
      </c>
      <c r="J61" s="309">
        <f t="shared" si="21"/>
        <v>4.1728192385594151E-2</v>
      </c>
      <c r="K61" s="309">
        <f t="shared" si="21"/>
        <v>4.3914729662836036E-2</v>
      </c>
      <c r="L61" s="309">
        <f t="shared" si="21"/>
        <v>4.6547014471642736E-2</v>
      </c>
      <c r="M61" s="309">
        <f t="shared" si="21"/>
        <v>4.8919741604414715E-2</v>
      </c>
      <c r="N61" s="309">
        <f t="shared" si="21"/>
        <v>4.9495964680698626E-2</v>
      </c>
      <c r="O61" s="309">
        <f t="shared" si="21"/>
        <v>5.0163628501124193E-2</v>
      </c>
      <c r="P61" s="309">
        <f t="shared" si="21"/>
        <v>5.0001764543609217E-2</v>
      </c>
      <c r="Q61" s="309">
        <f t="shared" si="21"/>
        <v>5.0820099329911293E-2</v>
      </c>
      <c r="R61" s="309">
        <f t="shared" si="21"/>
        <v>5.16547443384665E-2</v>
      </c>
      <c r="S61" s="309">
        <f t="shared" si="21"/>
        <v>5.3048679986167996E-2</v>
      </c>
      <c r="T61" s="309">
        <f t="shared" si="21"/>
        <v>5.5029562386128557E-2</v>
      </c>
      <c r="U61" s="309">
        <f t="shared" si="21"/>
        <v>5.5787472004871864E-2</v>
      </c>
      <c r="V61" s="309">
        <f t="shared" si="21"/>
        <v>5.7380660698730448E-2</v>
      </c>
      <c r="W61" s="309">
        <f t="shared" si="21"/>
        <v>5.8858622363669906E-2</v>
      </c>
      <c r="X61" s="309">
        <f t="shared" si="21"/>
        <v>5.9609964077804764E-2</v>
      </c>
      <c r="Y61" s="309">
        <f t="shared" si="21"/>
        <v>5.8977877740860218E-2</v>
      </c>
      <c r="Z61" s="309">
        <f t="shared" si="21"/>
        <v>5.9313049194942832E-2</v>
      </c>
      <c r="AA61" s="309">
        <f t="shared" si="21"/>
        <v>6.1976802651959172E-2</v>
      </c>
      <c r="AB61" s="309">
        <f t="shared" si="21"/>
        <v>6.5099364326204973E-2</v>
      </c>
      <c r="AC61" s="309">
        <f t="shared" si="21"/>
        <v>6.8267581074825182E-2</v>
      </c>
      <c r="AD61" s="309">
        <f t="shared" si="21"/>
        <v>7.147272639308988E-2</v>
      </c>
      <c r="AE61" s="309">
        <f t="shared" si="21"/>
        <v>7.2069163007913745E-2</v>
      </c>
      <c r="AF61" s="309">
        <f t="shared" si="21"/>
        <v>7.4412941193690213E-2</v>
      </c>
      <c r="AG61" s="309">
        <f t="shared" si="21"/>
        <v>7.6263676415599155E-2</v>
      </c>
      <c r="AH61" s="309">
        <f t="shared" si="21"/>
        <v>7.7265175988742232E-2</v>
      </c>
      <c r="AI61" s="309">
        <f t="shared" si="21"/>
        <v>7.7680903398299972E-2</v>
      </c>
      <c r="AJ61" s="309">
        <f t="shared" si="21"/>
        <v>7.7393694901768825E-2</v>
      </c>
      <c r="AK61" s="309"/>
    </row>
    <row r="62" spans="1:44" s="275" customFormat="1">
      <c r="A62" s="264" t="s">
        <v>108</v>
      </c>
      <c r="B62" s="368">
        <f>(B54-EIA_RE_aeo2014!B73)/B56</f>
        <v>4.9681312556042936E-3</v>
      </c>
      <c r="C62" s="368">
        <f>(C54-EIA_RE_aeo2014!C73)/C56</f>
        <v>4.2977100919048767E-3</v>
      </c>
      <c r="D62" s="368">
        <f>(D54-EIA_RE_aeo2014!D73)/D56</f>
        <v>6.4836084930977467E-3</v>
      </c>
      <c r="E62" s="368">
        <f>(E54-EIA_RE_aeo2014!E73)/E56</f>
        <v>1.1184346508049517E-2</v>
      </c>
      <c r="F62" s="368">
        <f>(F54-EIA_RE_aeo2014!F73)/F56</f>
        <v>1.8461975431371156E-2</v>
      </c>
      <c r="G62" s="325">
        <f>(G54-EIA_RE_aeo2014!G73)/G56</f>
        <v>2.1073523557562694E-2</v>
      </c>
      <c r="H62" s="325">
        <f>(H54-EIA_RE_aeo2014!H73)/H56</f>
        <v>2.273104731344501E-2</v>
      </c>
      <c r="I62" s="325">
        <f>(I54-EIA_RE_aeo2014!I73)/I56</f>
        <v>2.724783253699389E-2</v>
      </c>
      <c r="J62" s="325">
        <f>(J54-EIA_RE_aeo2014!J73)/J56</f>
        <v>2.7067607971327137E-2</v>
      </c>
      <c r="K62" s="325">
        <f>(K54-EIA_RE_aeo2014!K73)/K56</f>
        <v>2.8842393076845736E-2</v>
      </c>
      <c r="L62" s="325">
        <f>(L54-EIA_RE_aeo2014!L73)/L56</f>
        <v>3.1354354603962457E-2</v>
      </c>
      <c r="M62" s="325">
        <f>(M54-EIA_RE_aeo2014!M73)/M56</f>
        <v>3.3943318150880919E-2</v>
      </c>
      <c r="N62" s="325">
        <f>(N54-EIA_RE_aeo2014!N73)/N56</f>
        <v>3.4901561255556546E-2</v>
      </c>
      <c r="O62" s="325">
        <f>(O54-EIA_RE_aeo2014!O73)/O56</f>
        <v>3.5649952725185702E-2</v>
      </c>
      <c r="P62" s="325">
        <f>(P54-EIA_RE_aeo2014!P73)/P56</f>
        <v>3.5598903898552615E-2</v>
      </c>
      <c r="Q62" s="325">
        <f>(Q54-EIA_RE_aeo2014!Q73)/Q56</f>
        <v>3.6382351914899427E-2</v>
      </c>
      <c r="R62" s="325">
        <f>(R54-EIA_RE_aeo2014!R73)/R56</f>
        <v>3.7429048908278785E-2</v>
      </c>
      <c r="S62" s="325">
        <f>(S54-EIA_RE_aeo2014!S73)/S56</f>
        <v>3.9070091214946624E-2</v>
      </c>
      <c r="T62" s="325">
        <f>(T54-EIA_RE_aeo2014!T73)/T56</f>
        <v>4.1164894292021359E-2</v>
      </c>
      <c r="U62" s="325">
        <f>(U54-EIA_RE_aeo2014!U73)/U56</f>
        <v>4.2105897832149373E-2</v>
      </c>
      <c r="V62" s="325">
        <f>(V54-EIA_RE_aeo2014!V73)/V56</f>
        <v>4.391240639916677E-2</v>
      </c>
      <c r="W62" s="325">
        <f>(W54-EIA_RE_aeo2014!W73)/W56</f>
        <v>4.5523774583323691E-2</v>
      </c>
      <c r="X62" s="325">
        <f>(X54-EIA_RE_aeo2014!X73)/X56</f>
        <v>4.6359463299027188E-2</v>
      </c>
      <c r="Y62" s="325">
        <f>(Y54-EIA_RE_aeo2014!Y73)/Y56</f>
        <v>4.581753815996472E-2</v>
      </c>
      <c r="Z62" s="325">
        <f>(Z54-EIA_RE_aeo2014!Z73)/Z56</f>
        <v>4.6309516927550552E-2</v>
      </c>
      <c r="AA62" s="325">
        <f>(AA54-EIA_RE_aeo2014!AK73)/AA56</f>
        <v>6.1976802651959172E-2</v>
      </c>
      <c r="AB62" s="325">
        <f>(AB54-EIA_RE_aeo2014!AL73)/AB56</f>
        <v>6.5099364326204973E-2</v>
      </c>
      <c r="AC62" s="325">
        <f>(AC54-EIA_RE_aeo2014!AM73)/AC56</f>
        <v>6.8267581074825182E-2</v>
      </c>
      <c r="AD62" s="325">
        <f>(AD54-EIA_RE_aeo2014!AN73)/AD56</f>
        <v>5.7996994193533338E-2</v>
      </c>
      <c r="AE62" s="325">
        <f>(AE54-EIA_RE_aeo2014!AO73)/AE56</f>
        <v>6.2381557714282054E-2</v>
      </c>
      <c r="AF62" s="325">
        <f>(AF54-EIA_RE_aeo2014!AP73)/AF56</f>
        <v>6.2408304971253707E-2</v>
      </c>
      <c r="AG62" s="325">
        <f>(AG54-EIA_RE_aeo2014!AQ73)/AG56</f>
        <v>6.1288191742109394E-2</v>
      </c>
      <c r="AH62" s="325">
        <f>(AH54-EIA_RE_aeo2014!AR73)/AH56</f>
        <v>6.4848095132884545E-2</v>
      </c>
      <c r="AI62" s="325">
        <f>(AI54-EIA_RE_aeo2014!AS73)/AI56</f>
        <v>7.7680903398299972E-2</v>
      </c>
      <c r="AJ62" s="325">
        <f>(AJ54-EIA_RE_aeo2014!AT73)/AJ56</f>
        <v>7.7393694901768825E-2</v>
      </c>
      <c r="AK62" s="325"/>
    </row>
    <row r="63" spans="1:44" s="475" customFormat="1">
      <c r="A63" s="475" t="s">
        <v>109</v>
      </c>
      <c r="C63" s="476"/>
      <c r="D63" s="476"/>
      <c r="E63" s="476"/>
      <c r="F63" s="476">
        <v>42094.619140625</v>
      </c>
      <c r="G63" s="477">
        <v>102605.04540000002</v>
      </c>
      <c r="H63" s="477">
        <v>163360.96875</v>
      </c>
      <c r="I63" s="477">
        <v>225974.68357199998</v>
      </c>
      <c r="J63" s="477">
        <v>289591.77345600002</v>
      </c>
      <c r="K63" s="477">
        <v>358569.27243000007</v>
      </c>
      <c r="L63" s="477">
        <v>428005.66654200002</v>
      </c>
      <c r="M63" s="477">
        <v>499509.19281199999</v>
      </c>
      <c r="N63" s="477">
        <v>571413.594774</v>
      </c>
      <c r="O63" s="477">
        <v>642582.21966400009</v>
      </c>
      <c r="P63" s="477">
        <v>712804.27253000019</v>
      </c>
      <c r="Q63" s="477">
        <v>785931.55672200024</v>
      </c>
      <c r="R63" s="477">
        <v>861455.63087200013</v>
      </c>
      <c r="S63" s="477">
        <v>939930.84375000035</v>
      </c>
      <c r="T63" s="477">
        <v>1018634.9062500005</v>
      </c>
      <c r="U63" s="477">
        <v>1096613.15925</v>
      </c>
      <c r="V63" s="478"/>
      <c r="W63" s="478"/>
      <c r="X63" s="478"/>
      <c r="Y63" s="478"/>
      <c r="Z63" s="478"/>
      <c r="AA63" s="478"/>
      <c r="AB63" s="478"/>
      <c r="AC63" s="478"/>
      <c r="AD63" s="478"/>
      <c r="AE63" s="478"/>
      <c r="AF63" s="478"/>
      <c r="AG63" s="478"/>
      <c r="AH63" s="478"/>
      <c r="AI63" s="478"/>
      <c r="AJ63" s="478"/>
      <c r="AK63" s="478"/>
    </row>
    <row r="64" spans="1:44" s="479" customFormat="1">
      <c r="A64" s="479" t="s">
        <v>110</v>
      </c>
      <c r="C64" s="480"/>
      <c r="D64" s="480"/>
      <c r="E64" s="480"/>
      <c r="F64" s="480"/>
      <c r="G64" s="481">
        <f>G63/1000/G58</f>
        <v>2.3599016264286972</v>
      </c>
      <c r="H64" s="481">
        <f t="shared" ref="H64:O64" si="22">H63/1000/H58</f>
        <v>3.6338253849532829</v>
      </c>
      <c r="I64" s="481">
        <f t="shared" si="22"/>
        <v>5.1052065838865408</v>
      </c>
      <c r="J64" s="481">
        <f t="shared" si="22"/>
        <v>6.385123275633565</v>
      </c>
      <c r="K64" s="481">
        <f t="shared" si="22"/>
        <v>7.9962973873091459</v>
      </c>
      <c r="L64" s="481">
        <f t="shared" si="22"/>
        <v>9.4540116387810702</v>
      </c>
      <c r="M64" s="481">
        <f t="shared" si="22"/>
        <v>10.745278020850115</v>
      </c>
      <c r="N64" s="481">
        <f t="shared" si="22"/>
        <v>12.030093120079718</v>
      </c>
      <c r="O64" s="481">
        <f t="shared" si="22"/>
        <v>13.45358576530465</v>
      </c>
      <c r="P64" s="481">
        <f t="shared" ref="P64" si="23">P63/1000/P58</f>
        <v>14.809865903475574</v>
      </c>
      <c r="Q64" s="481">
        <f t="shared" ref="Q64" si="24">Q63/1000/Q58</f>
        <v>16.28456093076354</v>
      </c>
      <c r="R64" s="481">
        <f t="shared" ref="R64" si="25">R63/1000/R58</f>
        <v>17.587270758462392</v>
      </c>
      <c r="S64" s="481">
        <f t="shared" ref="S64" si="26">S63/1000/S58</f>
        <v>18.85607547125413</v>
      </c>
      <c r="T64" s="481">
        <f t="shared" ref="T64" si="27">T63/1000/T58</f>
        <v>20.2684300122589</v>
      </c>
      <c r="U64" s="481">
        <f t="shared" ref="U64" si="28">U63/1000/U58</f>
        <v>21.531862616197348</v>
      </c>
      <c r="V64" s="481"/>
      <c r="W64" s="481"/>
      <c r="X64" s="481"/>
      <c r="Y64" s="481"/>
      <c r="Z64" s="481"/>
      <c r="AA64" s="481"/>
      <c r="AB64" s="481"/>
      <c r="AC64" s="481"/>
      <c r="AD64" s="481"/>
      <c r="AE64" s="481"/>
      <c r="AF64" s="481"/>
      <c r="AG64" s="481"/>
      <c r="AH64" s="481"/>
      <c r="AI64" s="481"/>
      <c r="AJ64" s="481"/>
      <c r="AK64" s="481"/>
    </row>
    <row r="65" spans="1:38" s="479" customFormat="1">
      <c r="A65" s="479" t="s">
        <v>113</v>
      </c>
      <c r="D65" s="480"/>
      <c r="E65" s="480"/>
      <c r="F65" s="480"/>
      <c r="G65" s="481"/>
      <c r="H65" s="481">
        <f t="shared" ref="H65:U65" si="29">(H64-G64)/G64</f>
        <v>0.53982070449794506</v>
      </c>
      <c r="I65" s="481">
        <f t="shared" si="29"/>
        <v>0.40491246635731626</v>
      </c>
      <c r="J65" s="481">
        <f t="shared" si="29"/>
        <v>0.25070810959673973</v>
      </c>
      <c r="K65" s="481">
        <f t="shared" si="29"/>
        <v>0.25233249886091069</v>
      </c>
      <c r="L65" s="481">
        <f t="shared" si="29"/>
        <v>0.18229865409776405</v>
      </c>
      <c r="M65" s="481">
        <f t="shared" si="29"/>
        <v>0.13658396365540454</v>
      </c>
      <c r="N65" s="481">
        <f t="shared" si="29"/>
        <v>0.11957020532521818</v>
      </c>
      <c r="O65" s="481">
        <f t="shared" si="29"/>
        <v>0.11832764975434369</v>
      </c>
      <c r="P65" s="481">
        <f t="shared" si="29"/>
        <v>0.10081179559345614</v>
      </c>
      <c r="Q65" s="481">
        <f t="shared" si="29"/>
        <v>9.9575177580904728E-2</v>
      </c>
      <c r="R65" s="481">
        <f t="shared" si="29"/>
        <v>7.9996619696259208E-2</v>
      </c>
      <c r="S65" s="481">
        <f t="shared" si="29"/>
        <v>7.2143354714729269E-2</v>
      </c>
      <c r="T65" s="481">
        <f t="shared" si="29"/>
        <v>7.4901829023642202E-2</v>
      </c>
      <c r="U65" s="481">
        <f t="shared" si="29"/>
        <v>6.2335000943550586E-2</v>
      </c>
      <c r="V65" s="481"/>
      <c r="W65" s="481"/>
      <c r="X65" s="481"/>
      <c r="Y65" s="481"/>
      <c r="Z65" s="481"/>
      <c r="AA65" s="481"/>
      <c r="AB65" s="481"/>
      <c r="AC65" s="481"/>
      <c r="AD65" s="481"/>
      <c r="AE65" s="481"/>
      <c r="AF65" s="481"/>
      <c r="AG65" s="481"/>
      <c r="AH65" s="481"/>
      <c r="AI65" s="481"/>
      <c r="AJ65" s="481"/>
      <c r="AK65" s="481"/>
    </row>
    <row r="66" spans="1:38" s="265" customFormat="1">
      <c r="A66" s="265" t="s">
        <v>129</v>
      </c>
      <c r="B66" s="369">
        <f>B52/B58</f>
        <v>0</v>
      </c>
      <c r="C66" s="369">
        <f t="shared" ref="C66:AJ66" si="30">C52/C58</f>
        <v>0</v>
      </c>
      <c r="D66" s="369">
        <f t="shared" si="30"/>
        <v>0</v>
      </c>
      <c r="E66" s="369">
        <f t="shared" si="30"/>
        <v>0</v>
      </c>
      <c r="F66" s="369">
        <f t="shared" si="30"/>
        <v>0</v>
      </c>
      <c r="G66" s="326">
        <f t="shared" si="30"/>
        <v>0</v>
      </c>
      <c r="H66" s="326">
        <f t="shared" si="30"/>
        <v>0</v>
      </c>
      <c r="I66" s="326">
        <f t="shared" si="30"/>
        <v>0</v>
      </c>
      <c r="J66" s="326">
        <f t="shared" si="30"/>
        <v>0</v>
      </c>
      <c r="K66" s="326">
        <f t="shared" si="30"/>
        <v>0</v>
      </c>
      <c r="L66" s="326">
        <f t="shared" si="30"/>
        <v>0</v>
      </c>
      <c r="M66" s="326">
        <f t="shared" si="30"/>
        <v>0</v>
      </c>
      <c r="N66" s="326">
        <f t="shared" si="30"/>
        <v>0</v>
      </c>
      <c r="O66" s="326">
        <f t="shared" si="30"/>
        <v>0</v>
      </c>
      <c r="P66" s="326">
        <f t="shared" si="30"/>
        <v>0</v>
      </c>
      <c r="Q66" s="326">
        <f t="shared" si="30"/>
        <v>0</v>
      </c>
      <c r="R66" s="326">
        <f t="shared" si="30"/>
        <v>0</v>
      </c>
      <c r="S66" s="326">
        <f t="shared" si="30"/>
        <v>0</v>
      </c>
      <c r="T66" s="326">
        <f t="shared" si="30"/>
        <v>0</v>
      </c>
      <c r="U66" s="326">
        <f t="shared" si="30"/>
        <v>0</v>
      </c>
      <c r="V66" s="326">
        <f t="shared" si="30"/>
        <v>0</v>
      </c>
      <c r="W66" s="326">
        <f t="shared" si="30"/>
        <v>0</v>
      </c>
      <c r="X66" s="326">
        <f t="shared" si="30"/>
        <v>0</v>
      </c>
      <c r="Y66" s="326">
        <f t="shared" si="30"/>
        <v>0</v>
      </c>
      <c r="Z66" s="326">
        <f t="shared" si="30"/>
        <v>0</v>
      </c>
      <c r="AA66" s="326">
        <f t="shared" si="30"/>
        <v>0</v>
      </c>
      <c r="AB66" s="326">
        <f t="shared" si="30"/>
        <v>0</v>
      </c>
      <c r="AC66" s="326">
        <f t="shared" si="30"/>
        <v>0</v>
      </c>
      <c r="AD66" s="326">
        <f t="shared" si="30"/>
        <v>0</v>
      </c>
      <c r="AE66" s="326">
        <f t="shared" si="30"/>
        <v>0</v>
      </c>
      <c r="AF66" s="326">
        <f t="shared" si="30"/>
        <v>0</v>
      </c>
      <c r="AG66" s="326">
        <f t="shared" si="30"/>
        <v>0</v>
      </c>
      <c r="AH66" s="326">
        <f t="shared" si="30"/>
        <v>0</v>
      </c>
      <c r="AI66" s="326">
        <f t="shared" si="30"/>
        <v>0</v>
      </c>
      <c r="AJ66" s="326">
        <f t="shared" si="30"/>
        <v>0</v>
      </c>
      <c r="AK66" s="326"/>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593</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593</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631</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630</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65" t="s">
        <v>632</v>
      </c>
      <c r="B109" s="565"/>
      <c r="C109" s="565"/>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565"/>
      <c r="AD109" s="565"/>
      <c r="AE109" s="565"/>
      <c r="AF109" s="565"/>
    </row>
    <row r="110" spans="1:38">
      <c r="A110" s="564" t="s">
        <v>633</v>
      </c>
      <c r="B110" s="564"/>
      <c r="C110" s="564"/>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4"/>
      <c r="AD110" s="564"/>
      <c r="AE110" s="564"/>
      <c r="AF110" s="564"/>
    </row>
    <row r="111" spans="1:38">
      <c r="A111" s="564" t="s">
        <v>634</v>
      </c>
      <c r="B111" s="564"/>
      <c r="C111" s="564"/>
      <c r="D111" s="564"/>
      <c r="E111" s="564"/>
      <c r="F111" s="564"/>
      <c r="G111" s="564"/>
      <c r="H111" s="564"/>
      <c r="I111" s="564"/>
      <c r="J111" s="564"/>
      <c r="K111" s="564"/>
      <c r="L111" s="564"/>
      <c r="M111" s="564"/>
      <c r="N111" s="564"/>
      <c r="O111" s="564"/>
      <c r="P111" s="564"/>
      <c r="Q111" s="564"/>
      <c r="R111" s="564"/>
      <c r="S111" s="564"/>
      <c r="T111" s="564"/>
      <c r="U111" s="564"/>
      <c r="V111" s="564"/>
      <c r="W111" s="564"/>
      <c r="X111" s="564"/>
      <c r="Y111" s="564"/>
      <c r="Z111" s="564"/>
      <c r="AA111" s="564"/>
      <c r="AB111" s="564"/>
      <c r="AC111" s="564"/>
      <c r="AD111" s="564"/>
      <c r="AE111" s="564"/>
      <c r="AF111" s="564"/>
    </row>
    <row r="112" spans="1:38">
      <c r="A112" s="564" t="s">
        <v>635</v>
      </c>
      <c r="B112" s="564"/>
      <c r="C112" s="564"/>
      <c r="D112" s="564"/>
      <c r="E112" s="564"/>
      <c r="F112" s="564"/>
      <c r="G112" s="564"/>
      <c r="H112" s="564"/>
      <c r="I112" s="564"/>
      <c r="J112" s="564"/>
      <c r="K112" s="564"/>
      <c r="L112" s="564"/>
      <c r="M112" s="564"/>
      <c r="N112" s="564"/>
      <c r="O112" s="564"/>
      <c r="P112" s="564"/>
      <c r="Q112" s="564"/>
      <c r="R112" s="564"/>
      <c r="S112" s="564"/>
      <c r="T112" s="564"/>
      <c r="U112" s="564"/>
      <c r="V112" s="564"/>
      <c r="W112" s="564"/>
      <c r="X112" s="564"/>
      <c r="Y112" s="564"/>
      <c r="Z112" s="564"/>
      <c r="AA112" s="564"/>
      <c r="AB112" s="564"/>
      <c r="AC112" s="564"/>
      <c r="AD112" s="564"/>
      <c r="AE112" s="564"/>
      <c r="AF112" s="564"/>
    </row>
    <row r="113" spans="1:32">
      <c r="A113" s="564" t="s">
        <v>636</v>
      </c>
      <c r="B113" s="564"/>
      <c r="C113" s="564"/>
      <c r="D113" s="564"/>
      <c r="E113" s="564"/>
      <c r="F113" s="564"/>
      <c r="G113" s="564"/>
      <c r="H113" s="564"/>
      <c r="I113" s="564"/>
      <c r="J113" s="564"/>
      <c r="K113" s="564"/>
      <c r="L113" s="564"/>
      <c r="M113" s="564"/>
      <c r="N113" s="564"/>
      <c r="O113" s="564"/>
      <c r="P113" s="564"/>
      <c r="Q113" s="564"/>
      <c r="R113" s="564"/>
      <c r="S113" s="564"/>
      <c r="T113" s="564"/>
      <c r="U113" s="564"/>
      <c r="V113" s="564"/>
      <c r="W113" s="564"/>
      <c r="X113" s="564"/>
      <c r="Y113" s="564"/>
      <c r="Z113" s="564"/>
      <c r="AA113" s="564"/>
      <c r="AB113" s="564"/>
      <c r="AC113" s="564"/>
      <c r="AD113" s="564"/>
      <c r="AE113" s="564"/>
      <c r="AF113" s="564"/>
    </row>
    <row r="114" spans="1:32">
      <c r="A114" s="564" t="s">
        <v>637</v>
      </c>
      <c r="B114" s="564"/>
      <c r="C114" s="564"/>
      <c r="D114" s="564"/>
      <c r="E114" s="564"/>
      <c r="F114" s="564"/>
      <c r="G114" s="564"/>
      <c r="H114" s="564"/>
      <c r="I114" s="564"/>
      <c r="J114" s="564"/>
      <c r="K114" s="564"/>
      <c r="L114" s="564"/>
      <c r="M114" s="564"/>
      <c r="N114" s="564"/>
      <c r="O114" s="564"/>
      <c r="P114" s="564"/>
      <c r="Q114" s="564"/>
      <c r="R114" s="564"/>
      <c r="S114" s="564"/>
      <c r="T114" s="564"/>
      <c r="U114" s="564"/>
      <c r="V114" s="564"/>
      <c r="W114" s="564"/>
      <c r="X114" s="564"/>
      <c r="Y114" s="564"/>
      <c r="Z114" s="564"/>
      <c r="AA114" s="564"/>
      <c r="AB114" s="564"/>
      <c r="AC114" s="564"/>
      <c r="AD114" s="564"/>
      <c r="AE114" s="564"/>
      <c r="AF114" s="564"/>
    </row>
    <row r="115" spans="1:32">
      <c r="A115" s="564" t="s">
        <v>638</v>
      </c>
      <c r="B115" s="564"/>
      <c r="C115" s="564"/>
      <c r="D115" s="564"/>
      <c r="E115" s="564"/>
      <c r="F115" s="564"/>
      <c r="G115" s="564"/>
      <c r="H115" s="564"/>
      <c r="I115" s="564"/>
      <c r="J115" s="564"/>
      <c r="K115" s="564"/>
      <c r="L115" s="564"/>
      <c r="M115" s="564"/>
      <c r="N115" s="564"/>
      <c r="O115" s="564"/>
      <c r="P115" s="564"/>
      <c r="Q115" s="564"/>
      <c r="R115" s="564"/>
      <c r="S115" s="564"/>
      <c r="T115" s="564"/>
      <c r="U115" s="564"/>
      <c r="V115" s="564"/>
      <c r="W115" s="564"/>
      <c r="X115" s="564"/>
      <c r="Y115" s="564"/>
      <c r="Z115" s="564"/>
      <c r="AA115" s="564"/>
      <c r="AB115" s="564"/>
      <c r="AC115" s="564"/>
      <c r="AD115" s="564"/>
      <c r="AE115" s="564"/>
      <c r="AF115" s="564"/>
    </row>
    <row r="116" spans="1:32">
      <c r="A116" s="564" t="s">
        <v>639</v>
      </c>
      <c r="B116" s="564"/>
      <c r="C116" s="564"/>
      <c r="D116" s="564"/>
      <c r="E116" s="564"/>
      <c r="F116" s="564"/>
      <c r="G116" s="564"/>
      <c r="H116" s="564"/>
      <c r="I116" s="564"/>
      <c r="J116" s="564"/>
      <c r="K116" s="564"/>
      <c r="L116" s="564"/>
      <c r="M116" s="564"/>
      <c r="N116" s="564"/>
      <c r="O116" s="564"/>
      <c r="P116" s="564"/>
      <c r="Q116" s="564"/>
      <c r="R116" s="564"/>
      <c r="S116" s="564"/>
      <c r="T116" s="564"/>
      <c r="U116" s="564"/>
      <c r="V116" s="564"/>
      <c r="W116" s="564"/>
      <c r="X116" s="564"/>
      <c r="Y116" s="564"/>
      <c r="Z116" s="564"/>
      <c r="AA116" s="564"/>
      <c r="AB116" s="564"/>
      <c r="AC116" s="564"/>
      <c r="AD116" s="564"/>
      <c r="AE116" s="564"/>
      <c r="AF116" s="564"/>
    </row>
    <row r="117" spans="1:32">
      <c r="A117" s="564" t="s">
        <v>640</v>
      </c>
      <c r="B117" s="564"/>
      <c r="C117" s="564"/>
      <c r="D117" s="564"/>
      <c r="E117" s="564"/>
      <c r="F117" s="564"/>
      <c r="G117" s="564"/>
      <c r="H117" s="564"/>
      <c r="I117" s="564"/>
      <c r="J117" s="564"/>
      <c r="K117" s="564"/>
      <c r="L117" s="564"/>
      <c r="M117" s="564"/>
      <c r="N117" s="564"/>
      <c r="O117" s="564"/>
      <c r="P117" s="564"/>
      <c r="Q117" s="564"/>
      <c r="R117" s="564"/>
      <c r="S117" s="564"/>
      <c r="T117" s="564"/>
      <c r="U117" s="564"/>
      <c r="V117" s="564"/>
      <c r="W117" s="564"/>
      <c r="X117" s="564"/>
      <c r="Y117" s="564"/>
      <c r="Z117" s="564"/>
      <c r="AA117" s="564"/>
      <c r="AB117" s="564"/>
      <c r="AC117" s="564"/>
      <c r="AD117" s="564"/>
      <c r="AE117" s="564"/>
      <c r="AF117" s="564"/>
    </row>
    <row r="118" spans="1:32">
      <c r="A118" s="564" t="s">
        <v>641</v>
      </c>
      <c r="B118" s="564"/>
      <c r="C118" s="564"/>
      <c r="D118" s="564"/>
      <c r="E118" s="564"/>
      <c r="F118" s="564"/>
      <c r="G118" s="564"/>
      <c r="H118" s="564"/>
      <c r="I118" s="564"/>
      <c r="J118" s="564"/>
      <c r="K118" s="564"/>
      <c r="L118" s="564"/>
      <c r="M118" s="564"/>
      <c r="N118" s="564"/>
      <c r="O118" s="564"/>
      <c r="P118" s="564"/>
      <c r="Q118" s="564"/>
      <c r="R118" s="564"/>
      <c r="S118" s="564"/>
      <c r="T118" s="564"/>
      <c r="U118" s="564"/>
      <c r="V118" s="564"/>
      <c r="W118" s="564"/>
      <c r="X118" s="564"/>
      <c r="Y118" s="564"/>
      <c r="Z118" s="564"/>
      <c r="AA118" s="564"/>
      <c r="AB118" s="564"/>
      <c r="AC118" s="564"/>
      <c r="AD118" s="564"/>
      <c r="AE118" s="564"/>
      <c r="AF118" s="564"/>
    </row>
    <row r="119" spans="1:32">
      <c r="A119" s="564" t="s">
        <v>642</v>
      </c>
      <c r="B119" s="564"/>
      <c r="C119" s="564"/>
      <c r="D119" s="564"/>
      <c r="E119" s="564"/>
      <c r="F119" s="564"/>
      <c r="G119" s="564"/>
      <c r="H119" s="564"/>
      <c r="I119" s="564"/>
      <c r="J119" s="564"/>
      <c r="K119" s="564"/>
      <c r="L119" s="564"/>
      <c r="M119" s="564"/>
      <c r="N119" s="564"/>
      <c r="O119" s="564"/>
      <c r="P119" s="564"/>
      <c r="Q119" s="564"/>
      <c r="R119" s="564"/>
      <c r="S119" s="564"/>
      <c r="T119" s="564"/>
      <c r="U119" s="564"/>
      <c r="V119" s="564"/>
      <c r="W119" s="564"/>
      <c r="X119" s="564"/>
      <c r="Y119" s="564"/>
      <c r="Z119" s="564"/>
      <c r="AA119" s="564"/>
      <c r="AB119" s="564"/>
      <c r="AC119" s="564"/>
      <c r="AD119" s="564"/>
      <c r="AE119" s="564"/>
      <c r="AF119" s="564"/>
    </row>
    <row r="120" spans="1:32">
      <c r="A120" s="564" t="s">
        <v>643</v>
      </c>
      <c r="B120" s="564"/>
      <c r="C120" s="564"/>
      <c r="D120" s="564"/>
      <c r="E120" s="564"/>
      <c r="F120" s="564"/>
      <c r="G120" s="564"/>
      <c r="H120" s="564"/>
      <c r="I120" s="564"/>
      <c r="J120" s="564"/>
      <c r="K120" s="564"/>
      <c r="L120" s="564"/>
      <c r="M120" s="564"/>
      <c r="N120" s="564"/>
      <c r="O120" s="564"/>
      <c r="P120" s="564"/>
      <c r="Q120" s="564"/>
      <c r="R120" s="564"/>
      <c r="S120" s="564"/>
      <c r="T120" s="564"/>
      <c r="U120" s="564"/>
      <c r="V120" s="564"/>
      <c r="W120" s="564"/>
      <c r="X120" s="564"/>
      <c r="Y120" s="564"/>
      <c r="Z120" s="564"/>
      <c r="AA120" s="564"/>
      <c r="AB120" s="564"/>
      <c r="AC120" s="564"/>
      <c r="AD120" s="564"/>
      <c r="AE120" s="564"/>
      <c r="AF120" s="564"/>
    </row>
    <row r="121" spans="1:32">
      <c r="A121" s="564" t="s">
        <v>644</v>
      </c>
      <c r="B121" s="564"/>
      <c r="C121" s="564"/>
      <c r="D121" s="564"/>
      <c r="E121" s="564"/>
      <c r="F121" s="564"/>
      <c r="G121" s="564"/>
      <c r="H121" s="564"/>
      <c r="I121" s="564"/>
      <c r="J121" s="564"/>
      <c r="K121" s="564"/>
      <c r="L121" s="564"/>
      <c r="M121" s="564"/>
      <c r="N121" s="564"/>
      <c r="O121" s="564"/>
      <c r="P121" s="564"/>
      <c r="Q121" s="564"/>
      <c r="R121" s="564"/>
      <c r="S121" s="564"/>
      <c r="T121" s="564"/>
      <c r="U121" s="564"/>
      <c r="V121" s="564"/>
      <c r="W121" s="564"/>
      <c r="X121" s="564"/>
      <c r="Y121" s="564"/>
      <c r="Z121" s="564"/>
      <c r="AA121" s="564"/>
      <c r="AB121" s="564"/>
      <c r="AC121" s="564"/>
      <c r="AD121" s="564"/>
      <c r="AE121" s="564"/>
      <c r="AF121" s="564"/>
    </row>
    <row r="122" spans="1:32">
      <c r="A122" s="564" t="s">
        <v>645</v>
      </c>
      <c r="B122" s="564"/>
      <c r="C122" s="564"/>
      <c r="D122" s="564"/>
      <c r="E122" s="564"/>
      <c r="F122" s="564"/>
      <c r="G122" s="564"/>
      <c r="H122" s="564"/>
      <c r="I122" s="564"/>
      <c r="J122" s="564"/>
      <c r="K122" s="564"/>
      <c r="L122" s="564"/>
      <c r="M122" s="564"/>
      <c r="N122" s="564"/>
      <c r="O122" s="564"/>
      <c r="P122" s="564"/>
      <c r="Q122" s="564"/>
      <c r="R122" s="564"/>
      <c r="S122" s="564"/>
      <c r="T122" s="564"/>
      <c r="U122" s="564"/>
      <c r="V122" s="564"/>
      <c r="W122" s="564"/>
      <c r="X122" s="564"/>
      <c r="Y122" s="564"/>
      <c r="Z122" s="564"/>
      <c r="AA122" s="564"/>
      <c r="AB122" s="564"/>
      <c r="AC122" s="564"/>
      <c r="AD122" s="564"/>
      <c r="AE122" s="564"/>
      <c r="AF122" s="564"/>
    </row>
    <row r="123" spans="1:32">
      <c r="A123" s="564" t="s">
        <v>646</v>
      </c>
      <c r="B123" s="564"/>
      <c r="C123" s="564"/>
      <c r="D123" s="564"/>
      <c r="E123" s="564"/>
      <c r="F123" s="564"/>
      <c r="G123" s="564"/>
      <c r="H123" s="564"/>
      <c r="I123" s="564"/>
      <c r="J123" s="564"/>
      <c r="K123" s="564"/>
      <c r="L123" s="564"/>
      <c r="M123" s="564"/>
      <c r="N123" s="564"/>
      <c r="O123" s="564"/>
      <c r="P123" s="564"/>
      <c r="Q123" s="564"/>
      <c r="R123" s="564"/>
      <c r="S123" s="564"/>
      <c r="T123" s="564"/>
      <c r="U123" s="564"/>
      <c r="V123" s="564"/>
      <c r="W123" s="564"/>
      <c r="X123" s="564"/>
      <c r="Y123" s="564"/>
      <c r="Z123" s="564"/>
      <c r="AA123" s="564"/>
      <c r="AB123" s="564"/>
      <c r="AC123" s="564"/>
      <c r="AD123" s="564"/>
      <c r="AE123" s="564"/>
      <c r="AF123" s="564"/>
    </row>
    <row r="124" spans="1:32">
      <c r="A124" s="564" t="s">
        <v>647</v>
      </c>
      <c r="B124" s="564"/>
      <c r="C124" s="564"/>
      <c r="D124" s="564"/>
      <c r="E124" s="564"/>
      <c r="F124" s="564"/>
      <c r="G124" s="564"/>
      <c r="H124" s="564"/>
      <c r="I124" s="564"/>
      <c r="J124" s="564"/>
      <c r="K124" s="564"/>
      <c r="L124" s="564"/>
      <c r="M124" s="564"/>
      <c r="N124" s="564"/>
      <c r="O124" s="564"/>
      <c r="P124" s="564"/>
      <c r="Q124" s="564"/>
      <c r="R124" s="564"/>
      <c r="S124" s="564"/>
      <c r="T124" s="564"/>
      <c r="U124" s="564"/>
      <c r="V124" s="564"/>
      <c r="W124" s="564"/>
      <c r="X124" s="564"/>
      <c r="Y124" s="564"/>
      <c r="Z124" s="564"/>
      <c r="AA124" s="564"/>
      <c r="AB124" s="564"/>
      <c r="AC124" s="564"/>
      <c r="AD124" s="564"/>
      <c r="AE124" s="564"/>
      <c r="AF124" s="564"/>
    </row>
    <row r="125" spans="1:32">
      <c r="A125" s="564" t="s">
        <v>640</v>
      </c>
      <c r="B125" s="564"/>
      <c r="C125" s="564"/>
      <c r="D125" s="564"/>
      <c r="E125" s="564"/>
      <c r="F125" s="564"/>
      <c r="G125" s="564"/>
      <c r="H125" s="564"/>
      <c r="I125" s="564"/>
      <c r="J125" s="564"/>
      <c r="K125" s="564"/>
      <c r="L125" s="564"/>
      <c r="M125" s="564"/>
      <c r="N125" s="564"/>
      <c r="O125" s="564"/>
      <c r="P125" s="564"/>
      <c r="Q125" s="564"/>
      <c r="R125" s="564"/>
      <c r="S125" s="564"/>
      <c r="T125" s="564"/>
      <c r="U125" s="564"/>
      <c r="V125" s="564"/>
      <c r="W125" s="564"/>
      <c r="X125" s="564"/>
      <c r="Y125" s="564"/>
      <c r="Z125" s="564"/>
      <c r="AA125" s="564"/>
      <c r="AB125" s="564"/>
      <c r="AC125" s="564"/>
      <c r="AD125" s="564"/>
      <c r="AE125" s="564"/>
      <c r="AF125" s="564"/>
    </row>
    <row r="126" spans="1:32">
      <c r="A126" s="564" t="s">
        <v>648</v>
      </c>
      <c r="B126" s="564"/>
      <c r="C126" s="564"/>
      <c r="D126" s="564"/>
      <c r="E126" s="564"/>
      <c r="F126" s="564"/>
      <c r="G126" s="564"/>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row>
    <row r="127" spans="1:32">
      <c r="A127" s="564" t="s">
        <v>649</v>
      </c>
      <c r="B127" s="564"/>
      <c r="C127" s="564"/>
      <c r="D127" s="564"/>
      <c r="E127" s="564"/>
      <c r="F127" s="564"/>
      <c r="G127" s="564"/>
      <c r="H127" s="564"/>
      <c r="I127" s="564"/>
      <c r="J127" s="564"/>
      <c r="K127" s="564"/>
      <c r="L127" s="564"/>
      <c r="M127" s="564"/>
      <c r="N127" s="564"/>
      <c r="O127" s="564"/>
      <c r="P127" s="564"/>
      <c r="Q127" s="564"/>
      <c r="R127" s="564"/>
      <c r="S127" s="564"/>
      <c r="T127" s="564"/>
      <c r="U127" s="564"/>
      <c r="V127" s="564"/>
      <c r="W127" s="564"/>
      <c r="X127" s="564"/>
      <c r="Y127" s="564"/>
      <c r="Z127" s="564"/>
      <c r="AA127" s="564"/>
      <c r="AB127" s="564"/>
      <c r="AC127" s="564"/>
      <c r="AD127" s="564"/>
      <c r="AE127" s="564"/>
      <c r="AF127" s="564"/>
    </row>
    <row r="128" spans="1:32">
      <c r="A128" s="564" t="s">
        <v>650</v>
      </c>
      <c r="B128" s="564"/>
      <c r="C128" s="564"/>
      <c r="D128" s="564"/>
      <c r="E128" s="564"/>
      <c r="F128" s="564"/>
      <c r="G128" s="564"/>
      <c r="H128" s="564"/>
      <c r="I128" s="564"/>
      <c r="J128" s="564"/>
      <c r="K128" s="564"/>
      <c r="L128" s="564"/>
      <c r="M128" s="564"/>
      <c r="N128" s="564"/>
      <c r="O128" s="564"/>
      <c r="P128" s="564"/>
      <c r="Q128" s="564"/>
      <c r="R128" s="564"/>
      <c r="S128" s="564"/>
      <c r="T128" s="564"/>
      <c r="U128" s="564"/>
      <c r="V128" s="564"/>
      <c r="W128" s="564"/>
      <c r="X128" s="564"/>
      <c r="Y128" s="564"/>
      <c r="Z128" s="564"/>
      <c r="AA128" s="564"/>
      <c r="AB128" s="564"/>
      <c r="AC128" s="564"/>
      <c r="AD128" s="564"/>
      <c r="AE128" s="564"/>
      <c r="AF128" s="564"/>
    </row>
    <row r="129" spans="1:32">
      <c r="A129" s="564" t="s">
        <v>620</v>
      </c>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row>
    <row r="130" spans="1:32">
      <c r="A130" s="564" t="s">
        <v>621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row>
    <row r="131" spans="1:32">
      <c r="A131" s="564" t="s">
        <v>622</v>
      </c>
      <c r="B131" s="564"/>
      <c r="C131" s="564"/>
      <c r="D131" s="564"/>
      <c r="E131" s="564"/>
      <c r="F131" s="564"/>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row>
    <row r="132" spans="1:32">
      <c r="A132" s="564" t="s">
        <v>651</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row>
    <row r="133" spans="1:32">
      <c r="A133" s="564" t="s">
        <v>652</v>
      </c>
      <c r="B133" s="564"/>
      <c r="C133" s="564"/>
      <c r="D133" s="564"/>
      <c r="E133" s="564"/>
      <c r="F133" s="564"/>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row>
    <row r="134" spans="1:32">
      <c r="A134" s="564" t="s">
        <v>653</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row>
    <row r="135" spans="1:32">
      <c r="A135" s="564" t="s">
        <v>654</v>
      </c>
      <c r="B135" s="564"/>
      <c r="C135" s="564"/>
      <c r="D135" s="564"/>
      <c r="E135" s="564"/>
      <c r="F135" s="564"/>
      <c r="G135" s="564"/>
      <c r="H135" s="564"/>
      <c r="I135" s="564"/>
      <c r="J135" s="564"/>
      <c r="K135" s="564"/>
      <c r="L135" s="564"/>
      <c r="M135" s="564"/>
      <c r="N135" s="564"/>
      <c r="O135" s="564"/>
      <c r="P135" s="564"/>
      <c r="Q135" s="564"/>
      <c r="R135" s="564"/>
      <c r="S135" s="564"/>
      <c r="T135" s="564"/>
      <c r="U135" s="564"/>
      <c r="V135" s="564"/>
      <c r="W135" s="564"/>
      <c r="X135" s="564"/>
      <c r="Y135" s="564"/>
      <c r="Z135" s="564"/>
      <c r="AA135" s="564"/>
      <c r="AB135" s="564"/>
      <c r="AC135" s="564"/>
      <c r="AD135" s="564"/>
      <c r="AE135" s="564"/>
      <c r="AF135" s="564"/>
    </row>
    <row r="136" spans="1:32">
      <c r="A136" s="564" t="s">
        <v>655</v>
      </c>
      <c r="B136" s="564"/>
      <c r="C136" s="564"/>
      <c r="D136" s="564"/>
      <c r="E136" s="564"/>
      <c r="F136" s="564"/>
      <c r="G136" s="564"/>
      <c r="H136" s="564"/>
      <c r="I136" s="564"/>
      <c r="J136" s="564"/>
      <c r="K136" s="564"/>
      <c r="L136" s="564"/>
      <c r="M136" s="564"/>
      <c r="N136" s="564"/>
      <c r="O136" s="564"/>
      <c r="P136" s="564"/>
      <c r="Q136" s="564"/>
      <c r="R136" s="564"/>
      <c r="S136" s="564"/>
      <c r="T136" s="564"/>
      <c r="U136" s="564"/>
      <c r="V136" s="564"/>
      <c r="W136" s="564"/>
      <c r="X136" s="564"/>
      <c r="Y136" s="564"/>
      <c r="Z136" s="564"/>
      <c r="AA136" s="564"/>
      <c r="AB136" s="564"/>
      <c r="AC136" s="564"/>
      <c r="AD136" s="564"/>
      <c r="AE136" s="564"/>
      <c r="AF136" s="564"/>
    </row>
    <row r="137" spans="1:32">
      <c r="A137" s="564" t="s">
        <v>656</v>
      </c>
      <c r="B137" s="564"/>
      <c r="C137" s="564"/>
      <c r="D137" s="564"/>
      <c r="E137" s="564"/>
      <c r="F137" s="564"/>
      <c r="G137" s="564"/>
      <c r="H137" s="564"/>
      <c r="I137" s="564"/>
      <c r="J137" s="564"/>
      <c r="K137" s="564"/>
      <c r="L137" s="564"/>
      <c r="M137" s="564"/>
      <c r="N137" s="564"/>
      <c r="O137" s="564"/>
      <c r="P137" s="564"/>
      <c r="Q137" s="564"/>
      <c r="R137" s="564"/>
      <c r="S137" s="564"/>
      <c r="T137" s="564"/>
      <c r="U137" s="564"/>
      <c r="V137" s="564"/>
      <c r="W137" s="564"/>
      <c r="X137" s="564"/>
      <c r="Y137" s="564"/>
      <c r="Z137" s="564"/>
      <c r="AA137" s="564"/>
      <c r="AB137" s="564"/>
      <c r="AC137" s="564"/>
      <c r="AD137" s="564"/>
      <c r="AE137" s="564"/>
      <c r="AF137" s="564"/>
    </row>
  </sheetData>
  <mergeCells count="29">
    <mergeCell ref="A109:AF109"/>
    <mergeCell ref="A110:AF110"/>
    <mergeCell ref="A111:AF111"/>
    <mergeCell ref="A112:AF112"/>
    <mergeCell ref="A113:AF113"/>
    <mergeCell ref="A114:AF114"/>
    <mergeCell ref="A115:AF115"/>
    <mergeCell ref="A116:AF116"/>
    <mergeCell ref="A117:AF117"/>
    <mergeCell ref="A118:AF118"/>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33:AF133"/>
    <mergeCell ref="A134:AF134"/>
    <mergeCell ref="A135:AF135"/>
    <mergeCell ref="A136:AF136"/>
    <mergeCell ref="A137:AF13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R122"/>
  <sheetViews>
    <sheetView topLeftCell="A56" zoomScale="125" zoomScaleNormal="125" zoomScalePageLayoutView="125" workbookViewId="0">
      <selection activeCell="AM64" sqref="AM64"/>
    </sheetView>
  </sheetViews>
  <sheetFormatPr baseColWidth="10" defaultColWidth="12.5" defaultRowHeight="16" x14ac:dyDescent="0"/>
  <cols>
    <col min="1" max="1" width="47.33203125" style="5" customWidth="1"/>
    <col min="2" max="2" width="23" style="251" bestFit="1" customWidth="1"/>
    <col min="3" max="6" width="12.5" style="251"/>
    <col min="7" max="37" width="12.5" style="299"/>
    <col min="38" max="16384" width="12.5" style="5"/>
  </cols>
  <sheetData>
    <row r="1" spans="1:37">
      <c r="A1" s="268" t="s">
        <v>4</v>
      </c>
    </row>
    <row r="2" spans="1:37">
      <c r="A2" s="272" t="s">
        <v>705</v>
      </c>
    </row>
    <row r="3" spans="1:37">
      <c r="A3" s="272" t="s">
        <v>657</v>
      </c>
    </row>
    <row r="4" spans="1:37">
      <c r="A4" s="272" t="s">
        <v>658</v>
      </c>
    </row>
    <row r="6" spans="1:37">
      <c r="A6" s="6" t="s">
        <v>5</v>
      </c>
    </row>
    <row r="7" spans="1:37">
      <c r="A7" s="6" t="s">
        <v>6</v>
      </c>
    </row>
    <row r="8" spans="1:37">
      <c r="A8" s="78" t="s">
        <v>281</v>
      </c>
    </row>
    <row r="10" spans="1:37">
      <c r="AK10" s="300" t="s">
        <v>715</v>
      </c>
    </row>
    <row r="11" spans="1:37">
      <c r="B11" s="469" t="s">
        <v>7</v>
      </c>
      <c r="C11" s="469" t="s">
        <v>8</v>
      </c>
      <c r="D11" s="469" t="s">
        <v>9</v>
      </c>
      <c r="E11" s="469" t="s">
        <v>10</v>
      </c>
      <c r="F11" s="469" t="s">
        <v>11</v>
      </c>
      <c r="G11" s="300" t="s">
        <v>12</v>
      </c>
      <c r="H11" s="300" t="s">
        <v>13</v>
      </c>
      <c r="I11" s="300" t="s">
        <v>14</v>
      </c>
      <c r="J11" s="300" t="s">
        <v>15</v>
      </c>
      <c r="K11" s="300" t="s">
        <v>16</v>
      </c>
      <c r="L11" s="300" t="s">
        <v>17</v>
      </c>
      <c r="M11" s="300" t="s">
        <v>18</v>
      </c>
      <c r="N11" s="300" t="s">
        <v>19</v>
      </c>
      <c r="O11" s="300" t="s">
        <v>20</v>
      </c>
      <c r="P11" s="300" t="s">
        <v>21</v>
      </c>
      <c r="Q11" s="300" t="s">
        <v>22</v>
      </c>
      <c r="R11" s="300" t="s">
        <v>23</v>
      </c>
      <c r="S11" s="300" t="s">
        <v>24</v>
      </c>
      <c r="T11" s="300" t="s">
        <v>25</v>
      </c>
      <c r="U11" s="300" t="s">
        <v>26</v>
      </c>
      <c r="V11" s="300" t="s">
        <v>27</v>
      </c>
      <c r="W11" s="300" t="s">
        <v>28</v>
      </c>
      <c r="X11" s="300" t="s">
        <v>29</v>
      </c>
      <c r="Y11" s="300" t="s">
        <v>30</v>
      </c>
      <c r="Z11" s="300" t="s">
        <v>31</v>
      </c>
      <c r="AA11" s="300" t="s">
        <v>582</v>
      </c>
      <c r="AB11" s="300" t="s">
        <v>583</v>
      </c>
      <c r="AC11" s="300" t="s">
        <v>584</v>
      </c>
      <c r="AD11" s="300" t="s">
        <v>585</v>
      </c>
      <c r="AE11" s="300" t="s">
        <v>586</v>
      </c>
      <c r="AF11" s="300" t="s">
        <v>587</v>
      </c>
      <c r="AG11" s="300" t="s">
        <v>588</v>
      </c>
      <c r="AH11" s="300" t="s">
        <v>589</v>
      </c>
      <c r="AI11" s="300" t="s">
        <v>590</v>
      </c>
      <c r="AJ11" s="300" t="s">
        <v>591</v>
      </c>
      <c r="AK11" s="300">
        <v>2040</v>
      </c>
    </row>
    <row r="12" spans="1:37">
      <c r="B12" s="470"/>
      <c r="C12" s="470"/>
      <c r="D12" s="470"/>
      <c r="E12" s="470"/>
      <c r="F12" s="470"/>
    </row>
    <row r="13" spans="1:37">
      <c r="B13" s="470"/>
      <c r="C13" s="470"/>
      <c r="D13" s="470"/>
      <c r="E13" s="470"/>
      <c r="F13" s="470"/>
    </row>
    <row r="14" spans="1:37">
      <c r="A14" s="6" t="s">
        <v>32</v>
      </c>
      <c r="B14" s="470"/>
      <c r="C14" s="470"/>
      <c r="D14" s="470"/>
      <c r="E14" s="470"/>
      <c r="F14" s="470"/>
    </row>
    <row r="15" spans="1:37">
      <c r="A15" s="6" t="s">
        <v>33</v>
      </c>
      <c r="B15" s="470"/>
      <c r="C15" s="470"/>
      <c r="D15" s="470"/>
      <c r="E15" s="470"/>
      <c r="F15" s="470"/>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659</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660</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661</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499">
        <v>1.0000000000000001E-5</v>
      </c>
      <c r="H33" s="499">
        <v>1.0000000000000001E-5</v>
      </c>
      <c r="I33" s="499">
        <v>1.0000000000000001E-5</v>
      </c>
      <c r="J33" s="499">
        <v>1.0000000000000001E-5</v>
      </c>
      <c r="K33" s="499">
        <v>1.0000000000000001E-5</v>
      </c>
      <c r="L33" s="499">
        <v>1.0000000000000001E-5</v>
      </c>
      <c r="M33" s="499">
        <v>1.0000000000000001E-5</v>
      </c>
      <c r="N33" s="499">
        <v>1.0000000000000001E-5</v>
      </c>
      <c r="O33" s="499">
        <v>1.0000000000000001E-5</v>
      </c>
      <c r="P33" s="499">
        <v>1.0000000000000001E-5</v>
      </c>
      <c r="Q33" s="499">
        <v>1.0000000000000001E-5</v>
      </c>
      <c r="R33" s="499">
        <v>1.0000000000000001E-5</v>
      </c>
      <c r="S33" s="499">
        <v>1.0000000000000001E-5</v>
      </c>
      <c r="T33" s="499">
        <v>1.0000000000000001E-5</v>
      </c>
      <c r="U33" s="499">
        <v>1.0000000000000001E-5</v>
      </c>
      <c r="V33" s="499">
        <v>1.0000000000000001E-5</v>
      </c>
      <c r="W33" s="499">
        <v>1.0000000000000001E-5</v>
      </c>
      <c r="X33" s="499">
        <v>1.0000000000000001E-5</v>
      </c>
      <c r="Y33" s="499">
        <v>1.0000000000000001E-5</v>
      </c>
      <c r="Z33" s="499">
        <v>1.0000000000000001E-5</v>
      </c>
      <c r="AA33" s="499">
        <v>1.0000000000000001E-5</v>
      </c>
      <c r="AB33" s="499">
        <v>1.0000000000000001E-5</v>
      </c>
      <c r="AC33" s="499">
        <v>1.0000000000000001E-5</v>
      </c>
      <c r="AD33" s="499">
        <v>1.0000000000000001E-5</v>
      </c>
      <c r="AE33" s="499">
        <v>1.0000000000000001E-5</v>
      </c>
      <c r="AF33" s="499">
        <v>1.0000000000000001E-5</v>
      </c>
      <c r="AG33" s="499">
        <v>1.0000000000000001E-5</v>
      </c>
      <c r="AH33" s="499">
        <v>1.0000000000000001E-5</v>
      </c>
      <c r="AI33" s="499">
        <v>1.0000000000000001E-5</v>
      </c>
      <c r="AJ33" s="499">
        <v>1.0000000000000001E-5</v>
      </c>
      <c r="AK33"/>
    </row>
    <row r="34" spans="1:39" s="18" customFormat="1">
      <c r="A34" s="17" t="s">
        <v>662</v>
      </c>
      <c r="B34"/>
      <c r="C34"/>
      <c r="D34"/>
      <c r="E34"/>
      <c r="F34"/>
      <c r="G34" s="525">
        <v>1.0000000000000001E-5</v>
      </c>
      <c r="H34" s="525">
        <v>1.0000000000000001E-5</v>
      </c>
      <c r="I34" s="525">
        <v>1.0000000000000001E-5</v>
      </c>
      <c r="J34" s="525">
        <v>1.0000000000000001E-5</v>
      </c>
      <c r="K34" s="525">
        <v>1.0000000000000001E-5</v>
      </c>
      <c r="L34" s="525">
        <v>1.0000000000000001E-5</v>
      </c>
      <c r="M34" s="525">
        <v>1.0000000000000001E-5</v>
      </c>
      <c r="N34" s="525">
        <v>1.0000000000000001E-5</v>
      </c>
      <c r="O34" s="525">
        <v>1.0000000000000001E-5</v>
      </c>
      <c r="P34" s="525">
        <v>1.0000000000000001E-5</v>
      </c>
      <c r="Q34" s="525">
        <v>1.0000000000000001E-5</v>
      </c>
      <c r="R34" s="525">
        <v>1.0000000000000001E-5</v>
      </c>
      <c r="S34" s="525">
        <v>1.0000000000000001E-5</v>
      </c>
      <c r="T34" s="525">
        <v>1.0000000000000001E-5</v>
      </c>
      <c r="U34" s="525">
        <v>1.0000000000000001E-5</v>
      </c>
      <c r="V34" s="525">
        <v>1.0000000000000001E-5</v>
      </c>
      <c r="W34" s="525">
        <v>1.0000000000000001E-5</v>
      </c>
      <c r="X34" s="525">
        <v>1.0000000000000001E-5</v>
      </c>
      <c r="Y34" s="525">
        <v>1.0000000000000001E-5</v>
      </c>
      <c r="Z34" s="525">
        <v>1.0000000000000001E-5</v>
      </c>
      <c r="AA34" s="525">
        <v>1.0000000000000001E-5</v>
      </c>
      <c r="AB34" s="525">
        <v>1.0000000000000001E-5</v>
      </c>
      <c r="AC34" s="525">
        <v>1.0000000000000001E-5</v>
      </c>
      <c r="AD34" s="525">
        <v>1.0000000000000001E-5</v>
      </c>
      <c r="AE34" s="525">
        <v>1.0000000000000001E-5</v>
      </c>
      <c r="AF34" s="525">
        <v>1.0000000000000001E-5</v>
      </c>
      <c r="AG34" s="525">
        <v>1.0000000000000001E-5</v>
      </c>
      <c r="AH34" s="525">
        <v>1.0000000000000001E-5</v>
      </c>
      <c r="AI34" s="525">
        <v>1.0000000000000001E-5</v>
      </c>
      <c r="AJ34" s="525">
        <v>1.0000000000000001E-5</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663</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664</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662</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664</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662</v>
      </c>
      <c r="B54"/>
      <c r="C54"/>
      <c r="D54"/>
      <c r="E54"/>
      <c r="F54"/>
      <c r="G54" s="499">
        <v>1.0000000000000001E-5</v>
      </c>
      <c r="H54" s="499">
        <v>1.0000000000000001E-5</v>
      </c>
      <c r="I54" s="499">
        <v>1.0000000000000001E-5</v>
      </c>
      <c r="J54" s="499">
        <v>1.0000000000000001E-5</v>
      </c>
      <c r="K54" s="499">
        <v>1.0000000000000001E-5</v>
      </c>
      <c r="L54" s="499">
        <v>1.0000000000000001E-5</v>
      </c>
      <c r="M54" s="499">
        <v>1.0000000000000001E-5</v>
      </c>
      <c r="N54" s="499">
        <v>1.0000000000000001E-5</v>
      </c>
      <c r="O54" s="499">
        <v>1.0000000000000001E-5</v>
      </c>
      <c r="P54" s="499">
        <v>1.0000000000000001E-5</v>
      </c>
      <c r="Q54" s="499">
        <v>1.0000000000000001E-5</v>
      </c>
      <c r="R54" s="499">
        <v>1.0000000000000001E-5</v>
      </c>
      <c r="S54" s="499">
        <v>1.0000000000000001E-5</v>
      </c>
      <c r="T54" s="499">
        <v>1.0000000000000001E-5</v>
      </c>
      <c r="U54" s="499">
        <v>1.0000000000000001E-5</v>
      </c>
      <c r="V54" s="499">
        <v>1.0000000000000001E-5</v>
      </c>
      <c r="W54" s="499">
        <v>1.0000000000000001E-5</v>
      </c>
      <c r="X54" s="499">
        <v>1.0000000000000001E-5</v>
      </c>
      <c r="Y54" s="499">
        <v>1.0000000000000001E-5</v>
      </c>
      <c r="Z54" s="499">
        <v>1.0000000000000001E-5</v>
      </c>
      <c r="AA54" s="499">
        <v>1.0000000000000001E-5</v>
      </c>
      <c r="AB54" s="499">
        <v>1.0000000000000001E-5</v>
      </c>
      <c r="AC54" s="499">
        <v>1.0000000000000001E-5</v>
      </c>
      <c r="AD54" s="499">
        <v>1.0000000000000001E-5</v>
      </c>
      <c r="AE54" s="499">
        <v>1.0000000000000001E-5</v>
      </c>
      <c r="AF54" s="499">
        <v>1.0000000000000001E-5</v>
      </c>
      <c r="AG54" s="499">
        <v>1.0000000000000001E-5</v>
      </c>
      <c r="AH54" s="499">
        <v>1.0000000000000001E-5</v>
      </c>
      <c r="AI54" s="499">
        <v>1.0000000000000001E-5</v>
      </c>
      <c r="AJ54" s="499">
        <v>1.0000000000000001E-5</v>
      </c>
      <c r="AK54" s="503">
        <v>9.9000000000000005E-2</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9" s="251" customFormat="1">
      <c r="A57" s="251" t="s">
        <v>350</v>
      </c>
      <c r="B57"/>
      <c r="C57"/>
      <c r="D57"/>
      <c r="E57"/>
      <c r="F57"/>
      <c r="G57"/>
      <c r="H57"/>
      <c r="I57"/>
      <c r="J57"/>
      <c r="K57"/>
      <c r="L57"/>
      <c r="M57"/>
      <c r="N57"/>
      <c r="O57"/>
      <c r="P57"/>
      <c r="Q57"/>
      <c r="R57"/>
      <c r="S57"/>
      <c r="T57"/>
      <c r="U57"/>
      <c r="V57"/>
      <c r="W57"/>
      <c r="X57"/>
      <c r="Y57"/>
      <c r="Z57"/>
      <c r="AA57"/>
      <c r="AB57"/>
      <c r="AC57"/>
      <c r="AD57"/>
      <c r="AE57"/>
      <c r="AF57"/>
      <c r="AG57"/>
      <c r="AH57"/>
      <c r="AI57"/>
      <c r="AJ57"/>
      <c r="AK57"/>
    </row>
    <row r="58" spans="1:39" s="251" customFormat="1">
      <c r="A58" s="250" t="s">
        <v>349</v>
      </c>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9">
      <c r="A59" s="6" t="s">
        <v>745</v>
      </c>
      <c r="B59"/>
      <c r="C59"/>
      <c r="D59"/>
      <c r="E59"/>
      <c r="F59"/>
      <c r="G59"/>
      <c r="H59"/>
      <c r="I59"/>
      <c r="J59"/>
      <c r="K59"/>
      <c r="L59"/>
      <c r="M59"/>
      <c r="N59"/>
      <c r="O59"/>
      <c r="P59"/>
      <c r="Q59"/>
      <c r="R59"/>
      <c r="S59"/>
      <c r="T59"/>
      <c r="U59"/>
      <c r="V59"/>
      <c r="W59"/>
      <c r="X59"/>
      <c r="Y59"/>
      <c r="Z59"/>
      <c r="AA59"/>
      <c r="AB59"/>
      <c r="AC59"/>
      <c r="AD59"/>
      <c r="AE59"/>
      <c r="AF59"/>
      <c r="AG59"/>
      <c r="AH59"/>
      <c r="AI59"/>
      <c r="AJ59"/>
      <c r="AK59"/>
      <c r="AL59" s="18" t="s">
        <v>741</v>
      </c>
      <c r="AM59" s="18" t="s">
        <v>758</v>
      </c>
    </row>
    <row r="60" spans="1:39">
      <c r="A60" s="501" t="s">
        <v>734</v>
      </c>
      <c r="G60" s="525">
        <v>162.222207</v>
      </c>
      <c r="H60" s="525">
        <v>152.48548299999999</v>
      </c>
      <c r="I60" s="525">
        <v>125.40522900000001</v>
      </c>
      <c r="J60" s="525">
        <v>128.07257100000001</v>
      </c>
      <c r="K60" s="525">
        <v>130.18250599999999</v>
      </c>
      <c r="L60" s="525">
        <v>132.48146199999999</v>
      </c>
      <c r="M60" s="525">
        <v>134.09786099999999</v>
      </c>
      <c r="N60" s="525">
        <v>133.52292499999999</v>
      </c>
      <c r="O60" s="525">
        <v>133.52296899999999</v>
      </c>
      <c r="P60" s="525">
        <v>133.52292499999999</v>
      </c>
      <c r="Q60" s="525">
        <v>134.21344500000001</v>
      </c>
      <c r="R60" s="525">
        <v>134.213401</v>
      </c>
      <c r="S60" s="525">
        <v>134.21338600000001</v>
      </c>
      <c r="T60" s="525">
        <v>134.21338600000001</v>
      </c>
      <c r="U60" s="525">
        <v>134.21338600000001</v>
      </c>
      <c r="V60" s="525">
        <v>134.21337</v>
      </c>
      <c r="W60" s="525">
        <v>134.21337</v>
      </c>
      <c r="X60" s="525">
        <v>134.21337</v>
      </c>
      <c r="Y60" s="525">
        <v>135.02405400000001</v>
      </c>
      <c r="Z60" s="525">
        <v>135.02405400000001</v>
      </c>
      <c r="AA60" s="525">
        <v>135.19994199999999</v>
      </c>
      <c r="AB60" s="525">
        <v>135.19994299999999</v>
      </c>
      <c r="AC60" s="525">
        <v>135.19994299999999</v>
      </c>
      <c r="AD60" s="525">
        <v>135.19994299999999</v>
      </c>
      <c r="AE60" s="525">
        <v>135.45874699999999</v>
      </c>
      <c r="AF60" s="525">
        <v>135.45879199999999</v>
      </c>
      <c r="AG60" s="525">
        <v>135.45876100000001</v>
      </c>
      <c r="AH60" s="525">
        <v>135.45871500000001</v>
      </c>
      <c r="AI60" s="525">
        <v>136.08383599999999</v>
      </c>
      <c r="AJ60" s="525">
        <v>136.083822</v>
      </c>
      <c r="AK60" s="503">
        <v>4.0000000000000001E-3</v>
      </c>
      <c r="AL60" s="508" t="s">
        <v>728</v>
      </c>
      <c r="AM60" s="29">
        <v>0.128487383368667</v>
      </c>
    </row>
    <row r="61" spans="1:39">
      <c r="A61" s="501" t="s">
        <v>735</v>
      </c>
      <c r="G61" s="525">
        <v>1.954</v>
      </c>
      <c r="H61" s="525">
        <v>2.032</v>
      </c>
      <c r="I61" s="525">
        <v>2.413675</v>
      </c>
      <c r="J61" s="525">
        <v>2.6329220000000002</v>
      </c>
      <c r="K61" s="525">
        <v>2.6329220000000002</v>
      </c>
      <c r="L61" s="525">
        <v>3.4325480000000002</v>
      </c>
      <c r="M61" s="525">
        <v>4.5954889999999997</v>
      </c>
      <c r="N61" s="525">
        <v>5.3565990000000001</v>
      </c>
      <c r="O61" s="525">
        <v>5.5484929999999997</v>
      </c>
      <c r="P61" s="525">
        <v>5.560594</v>
      </c>
      <c r="Q61" s="525">
        <v>5.9600369999999998</v>
      </c>
      <c r="R61" s="525">
        <v>6.6367599999999998</v>
      </c>
      <c r="S61" s="525">
        <v>7.4563009999999998</v>
      </c>
      <c r="T61" s="525">
        <v>8.3197150000000004</v>
      </c>
      <c r="U61" s="525">
        <v>9.0521349999999998</v>
      </c>
      <c r="V61" s="525">
        <v>9.9619129999999991</v>
      </c>
      <c r="W61" s="525">
        <v>10.783601000000001</v>
      </c>
      <c r="X61" s="525">
        <v>11.229082</v>
      </c>
      <c r="Y61" s="525">
        <v>11.334820000000001</v>
      </c>
      <c r="Z61" s="525">
        <v>11.75822</v>
      </c>
      <c r="AA61" s="525">
        <v>12.825797</v>
      </c>
      <c r="AB61" s="525">
        <v>14.55463</v>
      </c>
      <c r="AC61" s="525">
        <v>16.048373999999999</v>
      </c>
      <c r="AD61" s="525">
        <v>17.544751999999999</v>
      </c>
      <c r="AE61" s="525">
        <v>17.955031999999999</v>
      </c>
      <c r="AF61" s="525">
        <v>18.306678999999999</v>
      </c>
      <c r="AG61" s="525">
        <v>18.575586000000001</v>
      </c>
      <c r="AH61" s="525">
        <v>18.999571</v>
      </c>
      <c r="AI61" s="525">
        <v>19.477578999999999</v>
      </c>
      <c r="AJ61" s="525">
        <v>19.535769999999999</v>
      </c>
      <c r="AK61" s="499" t="s">
        <v>41</v>
      </c>
      <c r="AL61" s="508" t="s">
        <v>729</v>
      </c>
      <c r="AM61" s="29">
        <v>5.1917298868969491E-3</v>
      </c>
    </row>
    <row r="62" spans="1:39">
      <c r="A62" s="501" t="s">
        <v>736</v>
      </c>
      <c r="G62" s="525">
        <v>0.62751400000000002</v>
      </c>
      <c r="H62" s="525">
        <v>0.73646299999999998</v>
      </c>
      <c r="I62" s="525">
        <v>0.87872300000000003</v>
      </c>
      <c r="J62" s="525">
        <v>0.78539499999999995</v>
      </c>
      <c r="K62" s="525">
        <v>0.87771600000000005</v>
      </c>
      <c r="L62" s="525">
        <v>0.78533600000000003</v>
      </c>
      <c r="M62" s="525">
        <v>0.87237699999999996</v>
      </c>
      <c r="N62" s="525">
        <v>0.68582600000000005</v>
      </c>
      <c r="O62" s="525">
        <v>0.88579399999999997</v>
      </c>
      <c r="P62" s="525">
        <v>0.97640300000000002</v>
      </c>
      <c r="Q62" s="525">
        <v>0.88587199999999999</v>
      </c>
      <c r="R62" s="525">
        <v>0.78643700000000005</v>
      </c>
      <c r="S62" s="525">
        <v>0.87707999999999997</v>
      </c>
      <c r="T62" s="525">
        <v>0.97947099999999998</v>
      </c>
      <c r="U62" s="525">
        <v>0.78452100000000002</v>
      </c>
      <c r="V62" s="525">
        <v>0.87380000000000002</v>
      </c>
      <c r="W62" s="525">
        <v>0.87334900000000004</v>
      </c>
      <c r="X62" s="525">
        <v>0.88547699999999996</v>
      </c>
      <c r="Y62" s="525">
        <v>0.77254599999999995</v>
      </c>
      <c r="Z62" s="525">
        <v>0.77651499999999996</v>
      </c>
      <c r="AA62" s="525">
        <v>0.87795400000000001</v>
      </c>
      <c r="AB62" s="525">
        <v>0.77105699999999999</v>
      </c>
      <c r="AC62" s="525">
        <v>0.87198399999999998</v>
      </c>
      <c r="AD62" s="525">
        <v>0.87318600000000002</v>
      </c>
      <c r="AE62" s="525">
        <v>0.769343</v>
      </c>
      <c r="AF62" s="525">
        <v>0.87090699999999999</v>
      </c>
      <c r="AG62" s="525">
        <v>0.76851599999999998</v>
      </c>
      <c r="AH62" s="525">
        <v>0.76966100000000004</v>
      </c>
      <c r="AI62" s="525">
        <v>0.76929400000000003</v>
      </c>
      <c r="AJ62" s="525">
        <v>0.78509700000000004</v>
      </c>
      <c r="AK62" s="503">
        <v>4.0000000000000001E-3</v>
      </c>
      <c r="AL62" s="508" t="s">
        <v>730</v>
      </c>
      <c r="AM62" s="29">
        <v>0</v>
      </c>
    </row>
    <row r="63" spans="1:39">
      <c r="A63" s="501" t="s">
        <v>737</v>
      </c>
      <c r="G63" s="525">
        <v>2.6048960000000001</v>
      </c>
      <c r="H63" s="525">
        <v>2.52163</v>
      </c>
      <c r="I63" s="525">
        <v>2.4783379999999999</v>
      </c>
      <c r="J63" s="525">
        <v>2.6484580000000002</v>
      </c>
      <c r="K63" s="525">
        <v>2.6254789999999999</v>
      </c>
      <c r="L63" s="525">
        <v>2.8440859999999999</v>
      </c>
      <c r="M63" s="525">
        <v>3.1130680000000002</v>
      </c>
      <c r="N63" s="525">
        <v>3.8038400000000001</v>
      </c>
      <c r="O63" s="525">
        <v>4.2440170000000004</v>
      </c>
      <c r="P63" s="525">
        <v>4.3191179999999996</v>
      </c>
      <c r="Q63" s="525">
        <v>4.5315149999999997</v>
      </c>
      <c r="R63" s="525">
        <v>4.6377730000000001</v>
      </c>
      <c r="S63" s="525">
        <v>4.7140420000000001</v>
      </c>
      <c r="T63" s="525">
        <v>4.871772</v>
      </c>
      <c r="U63" s="525">
        <v>4.9320510000000004</v>
      </c>
      <c r="V63" s="525">
        <v>5.2148560000000002</v>
      </c>
      <c r="W63" s="525">
        <v>5.3218880000000004</v>
      </c>
      <c r="X63" s="525">
        <v>5.3656499999999996</v>
      </c>
      <c r="Y63" s="525">
        <v>5.4569850000000004</v>
      </c>
      <c r="Z63" s="525">
        <v>5.5342460000000004</v>
      </c>
      <c r="AA63" s="525">
        <v>5.6304230000000004</v>
      </c>
      <c r="AB63" s="525">
        <v>5.9599130000000002</v>
      </c>
      <c r="AC63" s="525">
        <v>6.0681560000000001</v>
      </c>
      <c r="AD63" s="525">
        <v>6.2059850000000001</v>
      </c>
      <c r="AE63" s="525">
        <v>6.3535630000000003</v>
      </c>
      <c r="AF63" s="525">
        <v>6.488855</v>
      </c>
      <c r="AG63" s="525">
        <v>6.7667320000000002</v>
      </c>
      <c r="AH63" s="525">
        <v>6.910914</v>
      </c>
      <c r="AI63" s="525">
        <v>7.0930580000000001</v>
      </c>
      <c r="AJ63" s="525">
        <v>7.2849589999999997</v>
      </c>
      <c r="AK63" s="503">
        <v>1.7999999999999999E-2</v>
      </c>
      <c r="AL63" s="508" t="s">
        <v>143</v>
      </c>
      <c r="AM63" s="29">
        <v>2.5000000000000001E-2</v>
      </c>
    </row>
    <row r="64" spans="1:39">
      <c r="A64" s="501" t="s">
        <v>738</v>
      </c>
      <c r="G64" s="525">
        <v>0.51155099999999998</v>
      </c>
      <c r="H64" s="525">
        <v>0.82118500000000005</v>
      </c>
      <c r="I64" s="525">
        <v>1.023638</v>
      </c>
      <c r="J64" s="525">
        <v>1.1740429999999999</v>
      </c>
      <c r="K64" s="525">
        <v>1.3337669999999999</v>
      </c>
      <c r="L64" s="525">
        <v>1.486693</v>
      </c>
      <c r="M64" s="525">
        <v>1.5023340000000001</v>
      </c>
      <c r="N64" s="525">
        <v>1.520192</v>
      </c>
      <c r="O64" s="525">
        <v>1.5423739999999999</v>
      </c>
      <c r="P64" s="525">
        <v>1.570133</v>
      </c>
      <c r="Q64" s="525">
        <v>1.600212</v>
      </c>
      <c r="R64" s="525">
        <v>1.6359220000000001</v>
      </c>
      <c r="S64" s="525">
        <v>1.6757070000000001</v>
      </c>
      <c r="T64" s="525">
        <v>1.7184809999999999</v>
      </c>
      <c r="U64" s="525">
        <v>1.7902469999999999</v>
      </c>
      <c r="V64" s="525">
        <v>1.88171</v>
      </c>
      <c r="W64" s="525">
        <v>1.9504509999999999</v>
      </c>
      <c r="X64" s="525">
        <v>2.0058950000000002</v>
      </c>
      <c r="Y64" s="525">
        <v>2.0631339999999998</v>
      </c>
      <c r="Z64" s="525">
        <v>2.1304449999999999</v>
      </c>
      <c r="AA64" s="525">
        <v>2.201117</v>
      </c>
      <c r="AB64" s="525">
        <v>2.2741250000000002</v>
      </c>
      <c r="AC64" s="525">
        <v>2.3493219999999999</v>
      </c>
      <c r="AD64" s="525">
        <v>2.531155</v>
      </c>
      <c r="AE64" s="525">
        <v>2.8220130000000001</v>
      </c>
      <c r="AF64" s="525">
        <v>2.9991880000000002</v>
      </c>
      <c r="AG64" s="525">
        <v>3.0883639999999999</v>
      </c>
      <c r="AH64" s="525">
        <v>3.1784089999999998</v>
      </c>
      <c r="AI64" s="525">
        <v>3.26749</v>
      </c>
      <c r="AJ64" s="525">
        <v>3.358225</v>
      </c>
      <c r="AK64" s="503">
        <v>7.0000000000000007E-2</v>
      </c>
      <c r="AL64" s="508" t="s">
        <v>731</v>
      </c>
      <c r="AM64" s="29">
        <v>1E-3</v>
      </c>
    </row>
    <row r="65" spans="1:44">
      <c r="A65" s="501" t="s">
        <v>739</v>
      </c>
      <c r="G65" s="525">
        <v>24.002313000000001</v>
      </c>
      <c r="H65" s="525">
        <v>27.39631</v>
      </c>
      <c r="I65" s="525">
        <v>32.237394999999999</v>
      </c>
      <c r="J65" s="525">
        <v>32.337364999999998</v>
      </c>
      <c r="K65" s="525">
        <v>34.599170000000001</v>
      </c>
      <c r="L65" s="525">
        <v>35.894435999999999</v>
      </c>
      <c r="M65" s="525">
        <v>35.896509999999999</v>
      </c>
      <c r="N65" s="525">
        <v>35.895629999999997</v>
      </c>
      <c r="O65" s="525">
        <v>35.893549</v>
      </c>
      <c r="P65" s="525">
        <v>35.892992</v>
      </c>
      <c r="Q65" s="525">
        <v>35.892755999999999</v>
      </c>
      <c r="R65" s="525">
        <v>35.904451000000002</v>
      </c>
      <c r="S65" s="525">
        <v>35.896577000000001</v>
      </c>
      <c r="T65" s="525">
        <v>35.895961</v>
      </c>
      <c r="U65" s="525">
        <v>35.930641000000001</v>
      </c>
      <c r="V65" s="525">
        <v>35.984830000000002</v>
      </c>
      <c r="W65" s="525">
        <v>36.036448</v>
      </c>
      <c r="X65" s="525">
        <v>36.060358000000001</v>
      </c>
      <c r="Y65" s="525">
        <v>36.069781999999996</v>
      </c>
      <c r="Z65" s="525">
        <v>36.112904</v>
      </c>
      <c r="AA65" s="525">
        <v>36.165244000000001</v>
      </c>
      <c r="AB65" s="525">
        <v>36.21696</v>
      </c>
      <c r="AC65" s="525">
        <v>36.271877000000003</v>
      </c>
      <c r="AD65" s="525">
        <v>36.501784999999998</v>
      </c>
      <c r="AE65" s="525">
        <v>36.661152000000001</v>
      </c>
      <c r="AF65" s="525">
        <v>39.680852000000002</v>
      </c>
      <c r="AG65" s="525">
        <v>43.158693999999997</v>
      </c>
      <c r="AH65" s="525">
        <v>44.111682000000002</v>
      </c>
      <c r="AI65" s="525">
        <v>44.450904999999999</v>
      </c>
      <c r="AJ65" s="525">
        <v>45.045571000000002</v>
      </c>
      <c r="AK65" s="503">
        <v>7.2999999999999995E-2</v>
      </c>
      <c r="AL65" s="508" t="s">
        <v>732</v>
      </c>
      <c r="AM65" s="29">
        <v>9.9629146640513824E-2</v>
      </c>
    </row>
    <row r="66" spans="1:44">
      <c r="A66" s="502" t="s">
        <v>740</v>
      </c>
      <c r="G66" s="526">
        <v>191.92248000000001</v>
      </c>
      <c r="H66" s="526">
        <v>185.99306100000001</v>
      </c>
      <c r="I66" s="526">
        <v>164.43701300000001</v>
      </c>
      <c r="J66" s="526">
        <v>167.650746</v>
      </c>
      <c r="K66" s="526">
        <v>172.25156000000001</v>
      </c>
      <c r="L66" s="526">
        <v>176.92456100000001</v>
      </c>
      <c r="M66" s="526">
        <v>180.07764299999999</v>
      </c>
      <c r="N66" s="526">
        <v>180.78501900000001</v>
      </c>
      <c r="O66" s="526">
        <v>181.63718800000001</v>
      </c>
      <c r="P66" s="526">
        <v>181.842163</v>
      </c>
      <c r="Q66" s="526">
        <v>183.08384799999999</v>
      </c>
      <c r="R66" s="526">
        <v>183.81473399999999</v>
      </c>
      <c r="S66" s="526">
        <v>184.83309299999999</v>
      </c>
      <c r="T66" s="526">
        <v>185.998785</v>
      </c>
      <c r="U66" s="526">
        <v>186.70298</v>
      </c>
      <c r="V66" s="526">
        <v>188.13050100000001</v>
      </c>
      <c r="W66" s="526">
        <v>189.17910800000001</v>
      </c>
      <c r="X66" s="526">
        <v>189.75981899999999</v>
      </c>
      <c r="Y66" s="526">
        <v>190.72131400000001</v>
      </c>
      <c r="Z66" s="526">
        <v>191.33638099999999</v>
      </c>
      <c r="AA66" s="526">
        <v>192.900475</v>
      </c>
      <c r="AB66" s="526">
        <v>194.976618</v>
      </c>
      <c r="AC66" s="526">
        <v>196.80967899999999</v>
      </c>
      <c r="AD66" s="526">
        <v>198.85680199999999</v>
      </c>
      <c r="AE66" s="526">
        <v>200.019869</v>
      </c>
      <c r="AF66" s="526">
        <v>203.805263</v>
      </c>
      <c r="AG66" s="526">
        <v>207.81667400000001</v>
      </c>
      <c r="AH66" s="526">
        <v>209.428957</v>
      </c>
      <c r="AI66" s="526">
        <v>211.14216999999999</v>
      </c>
      <c r="AJ66" s="526">
        <v>212.093433</v>
      </c>
      <c r="AK66" s="504">
        <v>2.1999999999999999E-2</v>
      </c>
      <c r="AL66" s="508" t="s">
        <v>733</v>
      </c>
      <c r="AM66" s="29">
        <v>0</v>
      </c>
    </row>
    <row r="67" spans="1:44">
      <c r="A67" s="510"/>
      <c r="B67"/>
      <c r="C67"/>
      <c r="D67"/>
      <c r="E67"/>
      <c r="F67"/>
      <c r="G67"/>
      <c r="H67"/>
      <c r="I67"/>
      <c r="J67"/>
      <c r="K67"/>
      <c r="L67"/>
      <c r="M67"/>
      <c r="N67"/>
      <c r="O67"/>
      <c r="P67"/>
      <c r="Q67"/>
      <c r="R67"/>
      <c r="S67"/>
      <c r="T67"/>
      <c r="U67"/>
      <c r="V67"/>
      <c r="W67"/>
      <c r="X67"/>
      <c r="Y67"/>
      <c r="Z67"/>
      <c r="AA67"/>
      <c r="AB67"/>
      <c r="AC67"/>
      <c r="AD67"/>
      <c r="AE67"/>
      <c r="AF67"/>
      <c r="AG67"/>
      <c r="AH67"/>
      <c r="AI67"/>
      <c r="AJ67"/>
      <c r="AK67"/>
      <c r="AL67" s="509" t="s">
        <v>58</v>
      </c>
      <c r="AM67" s="29">
        <v>7.2746606673267742E-3</v>
      </c>
    </row>
    <row r="68" spans="1:44">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44">
      <c r="A69" s="6"/>
      <c r="B69" s="471"/>
      <c r="C69" s="471"/>
      <c r="D69" s="471"/>
      <c r="E69" s="471"/>
      <c r="F69" s="471"/>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8"/>
    </row>
    <row r="70" spans="1:44" s="90" customFormat="1">
      <c r="B70" s="472" t="s">
        <v>7</v>
      </c>
      <c r="C70" s="472" t="s">
        <v>8</v>
      </c>
      <c r="D70" s="472" t="s">
        <v>9</v>
      </c>
      <c r="E70" s="472" t="s">
        <v>10</v>
      </c>
      <c r="F70" s="472" t="s">
        <v>11</v>
      </c>
      <c r="G70" s="319" t="s">
        <v>12</v>
      </c>
      <c r="H70" s="319" t="s">
        <v>13</v>
      </c>
      <c r="I70" s="319" t="s">
        <v>14</v>
      </c>
      <c r="J70" s="319" t="s">
        <v>15</v>
      </c>
      <c r="K70" s="319" t="s">
        <v>16</v>
      </c>
      <c r="L70" s="319" t="s">
        <v>17</v>
      </c>
      <c r="M70" s="319" t="s">
        <v>18</v>
      </c>
      <c r="N70" s="319" t="s">
        <v>19</v>
      </c>
      <c r="O70" s="319" t="s">
        <v>20</v>
      </c>
      <c r="P70" s="319" t="s">
        <v>21</v>
      </c>
      <c r="Q70" s="319" t="s">
        <v>22</v>
      </c>
      <c r="R70" s="319" t="s">
        <v>23</v>
      </c>
      <c r="S70" s="319" t="s">
        <v>24</v>
      </c>
      <c r="T70" s="319" t="s">
        <v>25</v>
      </c>
      <c r="U70" s="319" t="s">
        <v>26</v>
      </c>
      <c r="V70" s="319" t="s">
        <v>27</v>
      </c>
      <c r="W70" s="319" t="s">
        <v>28</v>
      </c>
      <c r="X70" s="319" t="s">
        <v>29</v>
      </c>
      <c r="Y70" s="319" t="s">
        <v>30</v>
      </c>
      <c r="Z70" s="319" t="s">
        <v>31</v>
      </c>
      <c r="AA70" s="319" t="s">
        <v>582</v>
      </c>
      <c r="AB70" s="319" t="s">
        <v>583</v>
      </c>
      <c r="AC70" s="319" t="s">
        <v>584</v>
      </c>
      <c r="AD70" s="319" t="s">
        <v>585</v>
      </c>
      <c r="AE70" s="319" t="s">
        <v>586</v>
      </c>
      <c r="AF70" s="319" t="s">
        <v>587</v>
      </c>
      <c r="AG70" s="319" t="s">
        <v>588</v>
      </c>
      <c r="AH70" s="319" t="s">
        <v>589</v>
      </c>
      <c r="AI70" s="319" t="s">
        <v>590</v>
      </c>
      <c r="AJ70" s="319" t="s">
        <v>591</v>
      </c>
      <c r="AK70" s="319" t="s">
        <v>594</v>
      </c>
      <c r="AM70" s="90" t="s">
        <v>751</v>
      </c>
      <c r="AN70" s="90">
        <v>2006</v>
      </c>
      <c r="AO70" s="90">
        <v>2007</v>
      </c>
      <c r="AP70" s="90">
        <v>2008</v>
      </c>
      <c r="AQ70" s="90">
        <v>2009</v>
      </c>
      <c r="AR70" s="90">
        <v>2010</v>
      </c>
    </row>
    <row r="71" spans="1:44">
      <c r="B71" s="470"/>
      <c r="C71" s="470"/>
      <c r="D71" s="470"/>
      <c r="E71" s="470"/>
      <c r="F71" s="470"/>
    </row>
    <row r="72" spans="1:44" s="18" customFormat="1">
      <c r="A72" s="17" t="s">
        <v>55</v>
      </c>
      <c r="B72" s="473"/>
      <c r="C72" s="473"/>
      <c r="D72" s="473"/>
      <c r="E72" s="473"/>
      <c r="F72" s="473"/>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M72" s="18" t="s">
        <v>728</v>
      </c>
      <c r="AN72" s="18">
        <v>0.191</v>
      </c>
      <c r="AO72" s="18">
        <v>0.16400000000000001</v>
      </c>
      <c r="AP72" s="18">
        <v>0.254</v>
      </c>
      <c r="AQ72" s="18">
        <v>0.27900000000000003</v>
      </c>
      <c r="AR72" s="18">
        <v>0.27700000000000002</v>
      </c>
    </row>
    <row r="73" spans="1:44" s="18" customFormat="1">
      <c r="A73" s="17" t="s">
        <v>49</v>
      </c>
      <c r="B73" s="491">
        <f>AN73</f>
        <v>0.747</v>
      </c>
      <c r="C73" s="491">
        <f t="shared" ref="C73:F73" si="0">AO73</f>
        <v>0.53900000000000003</v>
      </c>
      <c r="D73" s="491">
        <f t="shared" si="0"/>
        <v>0.66800000000000004</v>
      </c>
      <c r="E73" s="491">
        <f t="shared" si="0"/>
        <v>0.83499999999999996</v>
      </c>
      <c r="F73" s="491">
        <f t="shared" si="0"/>
        <v>0.69599999999999995</v>
      </c>
      <c r="G73" s="484">
        <f t="shared" ref="G73:AJ73" si="1">G60*$AM61</f>
        <v>0.84221388040028344</v>
      </c>
      <c r="H73" s="484">
        <f t="shared" si="1"/>
        <v>0.79166343940901662</v>
      </c>
      <c r="I73" s="484">
        <f t="shared" si="1"/>
        <v>0.65107007537245598</v>
      </c>
      <c r="J73" s="484">
        <f t="shared" si="1"/>
        <v>0.66491819455243151</v>
      </c>
      <c r="K73" s="484">
        <f t="shared" si="1"/>
        <v>0.67587240715134134</v>
      </c>
      <c r="L73" s="484">
        <f t="shared" si="1"/>
        <v>0.68780796572520242</v>
      </c>
      <c r="M73" s="484">
        <f t="shared" si="1"/>
        <v>0.69619987272265282</v>
      </c>
      <c r="N73" s="484">
        <f t="shared" si="1"/>
        <v>0.6932149603083998</v>
      </c>
      <c r="O73" s="484">
        <f t="shared" si="1"/>
        <v>0.69321518874451482</v>
      </c>
      <c r="P73" s="484">
        <f t="shared" si="1"/>
        <v>0.6932149603083998</v>
      </c>
      <c r="Q73" s="484">
        <f t="shared" si="1"/>
        <v>0.69679995362989988</v>
      </c>
      <c r="R73" s="484">
        <f t="shared" si="1"/>
        <v>0.69679972519378486</v>
      </c>
      <c r="S73" s="484">
        <f t="shared" si="1"/>
        <v>0.69679964731783661</v>
      </c>
      <c r="T73" s="484">
        <f t="shared" si="1"/>
        <v>0.69679964731783661</v>
      </c>
      <c r="U73" s="484">
        <f t="shared" si="1"/>
        <v>0.69679964731783661</v>
      </c>
      <c r="V73" s="484">
        <f t="shared" si="1"/>
        <v>0.69679956425015832</v>
      </c>
      <c r="W73" s="484">
        <f t="shared" si="1"/>
        <v>0.69679956425015832</v>
      </c>
      <c r="X73" s="484">
        <f t="shared" si="1"/>
        <v>0.69679956425015832</v>
      </c>
      <c r="Y73" s="484">
        <f t="shared" si="1"/>
        <v>0.70100841660178759</v>
      </c>
      <c r="Z73" s="484">
        <f t="shared" si="1"/>
        <v>0.70100841660178759</v>
      </c>
      <c r="AA73" s="484">
        <f t="shared" si="1"/>
        <v>0.70192157958813406</v>
      </c>
      <c r="AB73" s="484">
        <f t="shared" si="1"/>
        <v>0.70192158477986388</v>
      </c>
      <c r="AC73" s="484">
        <f t="shared" si="1"/>
        <v>0.70192158477986388</v>
      </c>
      <c r="AD73" s="484">
        <f t="shared" si="1"/>
        <v>0.70192158477986388</v>
      </c>
      <c r="AE73" s="484">
        <f t="shared" si="1"/>
        <v>0.70326522524151236</v>
      </c>
      <c r="AF73" s="484">
        <f t="shared" si="1"/>
        <v>0.70326545886935732</v>
      </c>
      <c r="AG73" s="484">
        <f t="shared" si="1"/>
        <v>0.70326529792573089</v>
      </c>
      <c r="AH73" s="484">
        <f t="shared" si="1"/>
        <v>0.70326505910615611</v>
      </c>
      <c r="AI73" s="484">
        <f t="shared" si="1"/>
        <v>0.70651051848478297</v>
      </c>
      <c r="AJ73" s="484">
        <f t="shared" si="1"/>
        <v>0.70651044580056455</v>
      </c>
      <c r="AK73" s="485"/>
      <c r="AM73" s="18" t="s">
        <v>729</v>
      </c>
      <c r="AN73" s="18">
        <v>0.747</v>
      </c>
      <c r="AO73" s="18">
        <v>0.53900000000000003</v>
      </c>
      <c r="AP73" s="18">
        <v>0.66800000000000004</v>
      </c>
      <c r="AQ73" s="18">
        <v>0.83499999999999996</v>
      </c>
      <c r="AR73" s="18">
        <v>0.69599999999999995</v>
      </c>
    </row>
    <row r="74" spans="1:44" s="18" customFormat="1">
      <c r="A74" s="17" t="s">
        <v>50</v>
      </c>
      <c r="B74" s="491">
        <f>AN72</f>
        <v>0.191</v>
      </c>
      <c r="C74" s="491">
        <f t="shared" ref="C74:F74" si="2">AO72</f>
        <v>0.16400000000000001</v>
      </c>
      <c r="D74" s="491">
        <f t="shared" si="2"/>
        <v>0.254</v>
      </c>
      <c r="E74" s="491">
        <f t="shared" si="2"/>
        <v>0.27900000000000003</v>
      </c>
      <c r="F74" s="491">
        <f t="shared" si="2"/>
        <v>0.27700000000000002</v>
      </c>
      <c r="G74" s="484">
        <f t="shared" ref="G74:AJ74" si="3">G61*$AM60</f>
        <v>0.2510643471023753</v>
      </c>
      <c r="H74" s="484">
        <f t="shared" si="3"/>
        <v>0.26108636300513133</v>
      </c>
      <c r="I74" s="484">
        <f t="shared" si="3"/>
        <v>0.31012678505236729</v>
      </c>
      <c r="J74" s="484">
        <f t="shared" si="3"/>
        <v>0.33829725839379748</v>
      </c>
      <c r="K74" s="484">
        <f t="shared" si="3"/>
        <v>0.33829725839379748</v>
      </c>
      <c r="L74" s="484">
        <f t="shared" si="3"/>
        <v>0.4410391108073512</v>
      </c>
      <c r="M74" s="484">
        <f t="shared" si="3"/>
        <v>0.59046235690949211</v>
      </c>
      <c r="N74" s="484">
        <f t="shared" si="3"/>
        <v>0.68825538926521823</v>
      </c>
      <c r="O74" s="484">
        <f t="shared" si="3"/>
        <v>0.71291134720936522</v>
      </c>
      <c r="P74" s="484">
        <f t="shared" si="3"/>
        <v>0.71446617303550952</v>
      </c>
      <c r="Q74" s="484">
        <f t="shared" si="3"/>
        <v>0.76578955891043987</v>
      </c>
      <c r="R74" s="484">
        <f t="shared" si="3"/>
        <v>0.8527399264458343</v>
      </c>
      <c r="S74" s="484">
        <f t="shared" si="3"/>
        <v>0.9580406050991751</v>
      </c>
      <c r="T74" s="484">
        <f t="shared" si="3"/>
        <v>1.0689784107230493</v>
      </c>
      <c r="U74" s="484">
        <f t="shared" si="3"/>
        <v>1.1630851400499285</v>
      </c>
      <c r="V74" s="484">
        <f t="shared" si="3"/>
        <v>1.2799801347163073</v>
      </c>
      <c r="W74" s="484">
        <f t="shared" si="3"/>
        <v>1.3855566757817408</v>
      </c>
      <c r="X74" s="484">
        <f t="shared" si="3"/>
        <v>1.442795363812198</v>
      </c>
      <c r="Y74" s="484">
        <f t="shared" si="3"/>
        <v>1.4563813627548341</v>
      </c>
      <c r="Z74" s="484">
        <f t="shared" si="3"/>
        <v>1.5107829208731276</v>
      </c>
      <c r="AA74" s="484">
        <f t="shared" si="3"/>
        <v>1.6479530961476989</v>
      </c>
      <c r="AB74" s="484">
        <f t="shared" si="3"/>
        <v>1.8700863245991017</v>
      </c>
      <c r="AC74" s="484">
        <f t="shared" si="3"/>
        <v>2.0620135825817476</v>
      </c>
      <c r="AD74" s="484">
        <f t="shared" si="3"/>
        <v>2.2542792763321868</v>
      </c>
      <c r="AE74" s="484">
        <f t="shared" si="3"/>
        <v>2.3069950799806835</v>
      </c>
      <c r="AF74" s="484">
        <f t="shared" si="3"/>
        <v>2.3521772828801253</v>
      </c>
      <c r="AG74" s="484">
        <f t="shared" si="3"/>
        <v>2.3867284396796435</v>
      </c>
      <c r="AH74" s="484">
        <f t="shared" si="3"/>
        <v>2.4412051629172078</v>
      </c>
      <c r="AI74" s="484">
        <f t="shared" si="3"/>
        <v>2.5026231600664972</v>
      </c>
      <c r="AJ74" s="484">
        <f t="shared" si="3"/>
        <v>2.5100999693921038</v>
      </c>
      <c r="AK74" s="485"/>
      <c r="AM74" s="18" t="s">
        <v>730</v>
      </c>
      <c r="AN74" s="18">
        <v>0</v>
      </c>
      <c r="AO74" s="18">
        <v>0</v>
      </c>
      <c r="AP74" s="18">
        <v>0</v>
      </c>
      <c r="AQ74" s="18">
        <v>0</v>
      </c>
      <c r="AR74" s="18">
        <v>0</v>
      </c>
    </row>
    <row r="75" spans="1:44" s="18" customFormat="1">
      <c r="A75" s="17" t="s">
        <v>51</v>
      </c>
      <c r="B75" s="491">
        <f>AN77</f>
        <v>1.4999999999999999E-2</v>
      </c>
      <c r="C75" s="491">
        <f t="shared" ref="C75:F75" si="4">AO77</f>
        <v>3.1E-2</v>
      </c>
      <c r="D75" s="491">
        <f t="shared" si="4"/>
        <v>2.4E-2</v>
      </c>
      <c r="E75" s="491">
        <f t="shared" si="4"/>
        <v>4.8000000000000001E-2</v>
      </c>
      <c r="F75" s="491">
        <f t="shared" si="4"/>
        <v>5.6000000000000001E-2</v>
      </c>
      <c r="G75" s="484">
        <f t="shared" ref="G75:AJ75" si="5">G62*$AM65</f>
        <v>6.2518684324975399E-2</v>
      </c>
      <c r="H75" s="484">
        <f t="shared" si="5"/>
        <v>7.3373180222312734E-2</v>
      </c>
      <c r="I75" s="484">
        <f t="shared" si="5"/>
        <v>8.7546422623392225E-2</v>
      </c>
      <c r="J75" s="484">
        <f t="shared" si="5"/>
        <v>7.8248233625726346E-2</v>
      </c>
      <c r="K75" s="484">
        <f t="shared" si="5"/>
        <v>8.7446096072725243E-2</v>
      </c>
      <c r="L75" s="484">
        <f t="shared" si="5"/>
        <v>7.8242355506074571E-2</v>
      </c>
      <c r="M75" s="484">
        <f t="shared" si="5"/>
        <v>8.6914176058811521E-2</v>
      </c>
      <c r="N75" s="484">
        <f t="shared" si="5"/>
        <v>6.8328259123877036E-2</v>
      </c>
      <c r="O75" s="484">
        <f t="shared" si="5"/>
        <v>8.8250900319287298E-2</v>
      </c>
      <c r="P75" s="484">
        <f t="shared" si="5"/>
        <v>9.7278197667237623E-2</v>
      </c>
      <c r="Q75" s="484">
        <f t="shared" si="5"/>
        <v>8.8258671392725266E-2</v>
      </c>
      <c r="R75" s="484">
        <f t="shared" si="5"/>
        <v>7.8352047196525776E-2</v>
      </c>
      <c r="S75" s="484">
        <f t="shared" si="5"/>
        <v>8.7382731935461866E-2</v>
      </c>
      <c r="T75" s="484">
        <f t="shared" si="5"/>
        <v>9.7583859889130709E-2</v>
      </c>
      <c r="U75" s="484">
        <f t="shared" si="5"/>
        <v>7.8161157751562543E-2</v>
      </c>
      <c r="V75" s="484">
        <f t="shared" si="5"/>
        <v>8.7055948334480979E-2</v>
      </c>
      <c r="W75" s="484">
        <f t="shared" si="5"/>
        <v>8.7011015589346111E-2</v>
      </c>
      <c r="X75" s="484">
        <f t="shared" si="5"/>
        <v>8.821931787980225E-2</v>
      </c>
      <c r="Y75" s="484">
        <f t="shared" si="5"/>
        <v>7.6968098720542388E-2</v>
      </c>
      <c r="Z75" s="484">
        <f t="shared" si="5"/>
        <v>7.7363526803558583E-2</v>
      </c>
      <c r="AA75" s="484">
        <f t="shared" si="5"/>
        <v>8.7469807809625669E-2</v>
      </c>
      <c r="AB75" s="484">
        <f t="shared" si="5"/>
        <v>7.6819750921194668E-2</v>
      </c>
      <c r="AC75" s="484">
        <f t="shared" si="5"/>
        <v>8.6875021804181801E-2</v>
      </c>
      <c r="AD75" s="484">
        <f t="shared" si="5"/>
        <v>8.6994776038443702E-2</v>
      </c>
      <c r="AE75" s="484">
        <f t="shared" si="5"/>
        <v>7.6648986563852828E-2</v>
      </c>
      <c r="AF75" s="484">
        <f t="shared" si="5"/>
        <v>8.6767721213249965E-2</v>
      </c>
      <c r="AG75" s="484">
        <f t="shared" si="5"/>
        <v>7.6566593259581123E-2</v>
      </c>
      <c r="AH75" s="484">
        <f t="shared" si="5"/>
        <v>7.6680668632484517E-2</v>
      </c>
      <c r="AI75" s="484">
        <f t="shared" si="5"/>
        <v>7.6644104735667448E-2</v>
      </c>
      <c r="AJ75" s="484">
        <f t="shared" si="5"/>
        <v>7.8218544140027491E-2</v>
      </c>
      <c r="AK75" s="485"/>
      <c r="AM75" s="18" t="s">
        <v>143</v>
      </c>
      <c r="AN75" s="18">
        <v>0</v>
      </c>
      <c r="AO75" s="18">
        <v>0</v>
      </c>
      <c r="AP75" s="18">
        <v>2.4E-2</v>
      </c>
      <c r="AQ75" s="18">
        <v>0.16</v>
      </c>
      <c r="AR75" s="18">
        <v>0.44800000000000001</v>
      </c>
    </row>
    <row r="76" spans="1:44" s="18" customFormat="1">
      <c r="A76" s="17" t="s">
        <v>56</v>
      </c>
      <c r="B76" s="492">
        <f>AN76</f>
        <v>0</v>
      </c>
      <c r="C76" s="492">
        <f t="shared" ref="C76:F76" si="6">AO76</f>
        <v>0</v>
      </c>
      <c r="D76" s="492">
        <f t="shared" si="6"/>
        <v>0</v>
      </c>
      <c r="E76" s="492">
        <f t="shared" si="6"/>
        <v>0</v>
      </c>
      <c r="F76" s="492">
        <f t="shared" si="6"/>
        <v>0</v>
      </c>
      <c r="G76" s="492">
        <f>G63*$AM$64</f>
        <v>2.6048960000000002E-3</v>
      </c>
      <c r="H76" s="492">
        <f>H63*$AM$64</f>
        <v>2.52163E-3</v>
      </c>
      <c r="I76" s="492">
        <f t="shared" ref="I76:AJ76" si="7">I63*$AM$64</f>
        <v>2.4783380000000001E-3</v>
      </c>
      <c r="J76" s="492">
        <f t="shared" si="7"/>
        <v>2.6484580000000002E-3</v>
      </c>
      <c r="K76" s="492">
        <f t="shared" si="7"/>
        <v>2.625479E-3</v>
      </c>
      <c r="L76" s="492">
        <f t="shared" si="7"/>
        <v>2.844086E-3</v>
      </c>
      <c r="M76" s="492">
        <f t="shared" si="7"/>
        <v>3.1130680000000001E-3</v>
      </c>
      <c r="N76" s="492">
        <f t="shared" si="7"/>
        <v>3.8038400000000002E-3</v>
      </c>
      <c r="O76" s="492">
        <f t="shared" si="7"/>
        <v>4.2440170000000001E-3</v>
      </c>
      <c r="P76" s="492">
        <f t="shared" si="7"/>
        <v>4.3191179999999994E-3</v>
      </c>
      <c r="Q76" s="492">
        <f t="shared" si="7"/>
        <v>4.5315149999999998E-3</v>
      </c>
      <c r="R76" s="492">
        <f t="shared" si="7"/>
        <v>4.6377730000000004E-3</v>
      </c>
      <c r="S76" s="492">
        <f t="shared" si="7"/>
        <v>4.7140419999999999E-3</v>
      </c>
      <c r="T76" s="492">
        <f t="shared" si="7"/>
        <v>4.8717719999999999E-3</v>
      </c>
      <c r="U76" s="492">
        <f t="shared" si="7"/>
        <v>4.9320510000000007E-3</v>
      </c>
      <c r="V76" s="492">
        <f t="shared" si="7"/>
        <v>5.2148560000000004E-3</v>
      </c>
      <c r="W76" s="492">
        <f t="shared" si="7"/>
        <v>5.3218880000000003E-3</v>
      </c>
      <c r="X76" s="492">
        <f t="shared" si="7"/>
        <v>5.3656499999999996E-3</v>
      </c>
      <c r="Y76" s="492">
        <f t="shared" si="7"/>
        <v>5.4569850000000001E-3</v>
      </c>
      <c r="Z76" s="492">
        <f t="shared" si="7"/>
        <v>5.5342460000000005E-3</v>
      </c>
      <c r="AA76" s="492">
        <f t="shared" si="7"/>
        <v>5.6304230000000007E-3</v>
      </c>
      <c r="AB76" s="492">
        <f t="shared" si="7"/>
        <v>5.9599130000000007E-3</v>
      </c>
      <c r="AC76" s="492">
        <f t="shared" si="7"/>
        <v>6.0681559999999999E-3</v>
      </c>
      <c r="AD76" s="492">
        <f t="shared" si="7"/>
        <v>6.2059849999999998E-3</v>
      </c>
      <c r="AE76" s="492">
        <f t="shared" si="7"/>
        <v>6.3535630000000004E-3</v>
      </c>
      <c r="AF76" s="492">
        <f t="shared" si="7"/>
        <v>6.488855E-3</v>
      </c>
      <c r="AG76" s="492">
        <f t="shared" si="7"/>
        <v>6.7667320000000001E-3</v>
      </c>
      <c r="AH76" s="492">
        <f t="shared" si="7"/>
        <v>6.9109139999999998E-3</v>
      </c>
      <c r="AI76" s="492">
        <f t="shared" si="7"/>
        <v>7.0930580000000002E-3</v>
      </c>
      <c r="AJ76" s="492">
        <f t="shared" si="7"/>
        <v>7.2849589999999997E-3</v>
      </c>
      <c r="AK76" s="485"/>
      <c r="AM76" s="18" t="s">
        <v>747</v>
      </c>
      <c r="AN76" s="18">
        <v>0</v>
      </c>
      <c r="AO76" s="18">
        <v>0</v>
      </c>
      <c r="AP76" s="18">
        <v>0</v>
      </c>
      <c r="AQ76" s="18">
        <v>0</v>
      </c>
      <c r="AR76" s="18">
        <v>0</v>
      </c>
    </row>
    <row r="77" spans="1:44" s="18" customFormat="1">
      <c r="A77" s="17" t="s">
        <v>52</v>
      </c>
      <c r="B77" s="491">
        <f>AN74</f>
        <v>0</v>
      </c>
      <c r="C77" s="491">
        <f t="shared" ref="C77:F77" si="8">AO74</f>
        <v>0</v>
      </c>
      <c r="D77" s="491">
        <f t="shared" si="8"/>
        <v>0</v>
      </c>
      <c r="E77" s="491">
        <f t="shared" si="8"/>
        <v>0</v>
      </c>
      <c r="F77" s="491">
        <f t="shared" si="8"/>
        <v>0</v>
      </c>
      <c r="G77" s="484">
        <f t="shared" ref="G77:AJ77" si="9">G64*$AM62</f>
        <v>0</v>
      </c>
      <c r="H77" s="484">
        <f t="shared" si="9"/>
        <v>0</v>
      </c>
      <c r="I77" s="484">
        <f t="shared" si="9"/>
        <v>0</v>
      </c>
      <c r="J77" s="484">
        <f t="shared" si="9"/>
        <v>0</v>
      </c>
      <c r="K77" s="484">
        <f t="shared" si="9"/>
        <v>0</v>
      </c>
      <c r="L77" s="484">
        <f t="shared" si="9"/>
        <v>0</v>
      </c>
      <c r="M77" s="484">
        <f t="shared" si="9"/>
        <v>0</v>
      </c>
      <c r="N77" s="484">
        <f t="shared" si="9"/>
        <v>0</v>
      </c>
      <c r="O77" s="484">
        <f t="shared" si="9"/>
        <v>0</v>
      </c>
      <c r="P77" s="484">
        <f t="shared" si="9"/>
        <v>0</v>
      </c>
      <c r="Q77" s="484">
        <f t="shared" si="9"/>
        <v>0</v>
      </c>
      <c r="R77" s="484">
        <f t="shared" si="9"/>
        <v>0</v>
      </c>
      <c r="S77" s="484">
        <f t="shared" si="9"/>
        <v>0</v>
      </c>
      <c r="T77" s="484">
        <f t="shared" si="9"/>
        <v>0</v>
      </c>
      <c r="U77" s="484">
        <f t="shared" si="9"/>
        <v>0</v>
      </c>
      <c r="V77" s="484">
        <f t="shared" si="9"/>
        <v>0</v>
      </c>
      <c r="W77" s="484">
        <f t="shared" si="9"/>
        <v>0</v>
      </c>
      <c r="X77" s="484">
        <f t="shared" si="9"/>
        <v>0</v>
      </c>
      <c r="Y77" s="484">
        <f t="shared" si="9"/>
        <v>0</v>
      </c>
      <c r="Z77" s="484">
        <f t="shared" si="9"/>
        <v>0</v>
      </c>
      <c r="AA77" s="484">
        <f t="shared" si="9"/>
        <v>0</v>
      </c>
      <c r="AB77" s="484">
        <f t="shared" si="9"/>
        <v>0</v>
      </c>
      <c r="AC77" s="484">
        <f t="shared" si="9"/>
        <v>0</v>
      </c>
      <c r="AD77" s="484">
        <f t="shared" si="9"/>
        <v>0</v>
      </c>
      <c r="AE77" s="484">
        <f t="shared" si="9"/>
        <v>0</v>
      </c>
      <c r="AF77" s="484">
        <f t="shared" si="9"/>
        <v>0</v>
      </c>
      <c r="AG77" s="484">
        <f t="shared" si="9"/>
        <v>0</v>
      </c>
      <c r="AH77" s="484">
        <f t="shared" si="9"/>
        <v>0</v>
      </c>
      <c r="AI77" s="484">
        <f t="shared" si="9"/>
        <v>0</v>
      </c>
      <c r="AJ77" s="484">
        <f t="shared" si="9"/>
        <v>0</v>
      </c>
      <c r="AK77" s="485"/>
      <c r="AM77" s="18" t="s">
        <v>752</v>
      </c>
      <c r="AN77" s="18">
        <v>1.4999999999999999E-2</v>
      </c>
      <c r="AO77" s="18">
        <v>3.1E-2</v>
      </c>
      <c r="AP77" s="18">
        <v>2.4E-2</v>
      </c>
      <c r="AQ77" s="18">
        <v>4.8000000000000001E-2</v>
      </c>
      <c r="AR77" s="18">
        <v>5.6000000000000001E-2</v>
      </c>
    </row>
    <row r="78" spans="1:44" s="18" customFormat="1">
      <c r="A78" s="17" t="s">
        <v>53</v>
      </c>
      <c r="B78" s="491">
        <f>AN75</f>
        <v>0</v>
      </c>
      <c r="C78" s="491">
        <f t="shared" ref="C78:F78" si="10">AO75</f>
        <v>0</v>
      </c>
      <c r="D78" s="491">
        <f t="shared" si="10"/>
        <v>2.4E-2</v>
      </c>
      <c r="E78" s="491">
        <f t="shared" si="10"/>
        <v>0.16</v>
      </c>
      <c r="F78" s="491">
        <f t="shared" si="10"/>
        <v>0.44800000000000001</v>
      </c>
      <c r="G78" s="484">
        <f t="shared" ref="G78:AJ78" si="11">G65*$AM63</f>
        <v>0.60005782500000004</v>
      </c>
      <c r="H78" s="484">
        <f t="shared" si="11"/>
        <v>0.68490775000000004</v>
      </c>
      <c r="I78" s="484">
        <f t="shared" si="11"/>
        <v>0.80593487500000005</v>
      </c>
      <c r="J78" s="484">
        <f t="shared" si="11"/>
        <v>0.808434125</v>
      </c>
      <c r="K78" s="484">
        <f t="shared" si="11"/>
        <v>0.86497925000000009</v>
      </c>
      <c r="L78" s="484">
        <f t="shared" si="11"/>
        <v>0.89736090000000002</v>
      </c>
      <c r="M78" s="484">
        <f t="shared" si="11"/>
        <v>0.89741274999999998</v>
      </c>
      <c r="N78" s="484">
        <f t="shared" si="11"/>
        <v>0.89739075000000001</v>
      </c>
      <c r="O78" s="484">
        <f t="shared" si="11"/>
        <v>0.897338725</v>
      </c>
      <c r="P78" s="484">
        <f t="shared" si="11"/>
        <v>0.89732480000000003</v>
      </c>
      <c r="Q78" s="484">
        <f t="shared" si="11"/>
        <v>0.89731890000000003</v>
      </c>
      <c r="R78" s="484">
        <f t="shared" si="11"/>
        <v>0.89761127500000004</v>
      </c>
      <c r="S78" s="484">
        <f t="shared" si="11"/>
        <v>0.89741442500000002</v>
      </c>
      <c r="T78" s="484">
        <f t="shared" si="11"/>
        <v>0.89739902500000002</v>
      </c>
      <c r="U78" s="484">
        <f t="shared" si="11"/>
        <v>0.89826602500000008</v>
      </c>
      <c r="V78" s="484">
        <f t="shared" si="11"/>
        <v>0.89962075000000008</v>
      </c>
      <c r="W78" s="484">
        <f t="shared" si="11"/>
        <v>0.90091120000000002</v>
      </c>
      <c r="X78" s="484">
        <f t="shared" si="11"/>
        <v>0.90150895000000009</v>
      </c>
      <c r="Y78" s="484">
        <f t="shared" si="11"/>
        <v>0.90174454999999998</v>
      </c>
      <c r="Z78" s="484">
        <f t="shared" si="11"/>
        <v>0.90282260000000003</v>
      </c>
      <c r="AA78" s="484">
        <f t="shared" si="11"/>
        <v>0.90413110000000008</v>
      </c>
      <c r="AB78" s="484">
        <f t="shared" si="11"/>
        <v>0.90542400000000001</v>
      </c>
      <c r="AC78" s="484">
        <f t="shared" si="11"/>
        <v>0.90679692500000009</v>
      </c>
      <c r="AD78" s="484">
        <f t="shared" si="11"/>
        <v>0.912544625</v>
      </c>
      <c r="AE78" s="484">
        <f t="shared" si="11"/>
        <v>0.91652880000000003</v>
      </c>
      <c r="AF78" s="484">
        <f t="shared" si="11"/>
        <v>0.99202130000000011</v>
      </c>
      <c r="AG78" s="484">
        <f t="shared" si="11"/>
        <v>1.0789673499999999</v>
      </c>
      <c r="AH78" s="484">
        <f t="shared" si="11"/>
        <v>1.1027920500000001</v>
      </c>
      <c r="AI78" s="484">
        <f t="shared" si="11"/>
        <v>1.111272625</v>
      </c>
      <c r="AJ78" s="484">
        <f t="shared" si="11"/>
        <v>1.1261392750000001</v>
      </c>
      <c r="AK78" s="485"/>
      <c r="AM78" s="18" t="s">
        <v>753</v>
      </c>
      <c r="AN78" s="18">
        <v>0</v>
      </c>
      <c r="AO78" s="18">
        <v>0</v>
      </c>
      <c r="AP78" s="18">
        <v>0</v>
      </c>
      <c r="AQ78" s="18">
        <v>0</v>
      </c>
      <c r="AR78" s="18">
        <v>0</v>
      </c>
    </row>
    <row r="79" spans="1:44" s="18" customFormat="1">
      <c r="A79" s="17" t="s">
        <v>54</v>
      </c>
      <c r="B79" s="493">
        <f>AN79</f>
        <v>0.95199999999999996</v>
      </c>
      <c r="C79" s="493">
        <f t="shared" ref="C79:F79" si="12">AO79</f>
        <v>0.73399999999999999</v>
      </c>
      <c r="D79" s="493">
        <f t="shared" si="12"/>
        <v>0.97</v>
      </c>
      <c r="E79" s="493">
        <f t="shared" si="12"/>
        <v>1.3220000000000001</v>
      </c>
      <c r="F79" s="493">
        <f t="shared" si="12"/>
        <v>1.476</v>
      </c>
      <c r="G79" s="486">
        <f>SUM(G73:G78)</f>
        <v>1.7584596328276341</v>
      </c>
      <c r="H79" s="486">
        <f t="shared" ref="H79:AJ79" si="13">SUM(H73:H78)</f>
        <v>1.8135523626364607</v>
      </c>
      <c r="I79" s="486">
        <f t="shared" si="13"/>
        <v>1.8571564960482156</v>
      </c>
      <c r="J79" s="486">
        <f t="shared" si="13"/>
        <v>1.8925462695719553</v>
      </c>
      <c r="K79" s="486">
        <f t="shared" si="13"/>
        <v>1.9692204906178641</v>
      </c>
      <c r="L79" s="486">
        <f t="shared" si="13"/>
        <v>2.1072944180386282</v>
      </c>
      <c r="M79" s="486">
        <f t="shared" si="13"/>
        <v>2.2741022236909565</v>
      </c>
      <c r="N79" s="486">
        <f t="shared" si="13"/>
        <v>2.3509931986974948</v>
      </c>
      <c r="O79" s="486">
        <f t="shared" si="13"/>
        <v>2.3959601782731674</v>
      </c>
      <c r="P79" s="486">
        <f t="shared" si="13"/>
        <v>2.4066032490111473</v>
      </c>
      <c r="Q79" s="486">
        <f t="shared" si="13"/>
        <v>2.4526985989330652</v>
      </c>
      <c r="R79" s="486">
        <f t="shared" si="13"/>
        <v>2.5301407468361452</v>
      </c>
      <c r="S79" s="486">
        <f t="shared" si="13"/>
        <v>2.644351451352474</v>
      </c>
      <c r="T79" s="486">
        <f t="shared" si="13"/>
        <v>2.7656327149300166</v>
      </c>
      <c r="U79" s="486">
        <f t="shared" si="13"/>
        <v>2.8412440211193277</v>
      </c>
      <c r="V79" s="486">
        <f t="shared" si="13"/>
        <v>2.9686712533009465</v>
      </c>
      <c r="W79" s="486">
        <f t="shared" si="13"/>
        <v>3.0756003436212453</v>
      </c>
      <c r="X79" s="486">
        <f t="shared" si="13"/>
        <v>3.1346888459421587</v>
      </c>
      <c r="Y79" s="486">
        <f t="shared" si="13"/>
        <v>3.141559413077164</v>
      </c>
      <c r="Z79" s="486">
        <f t="shared" si="13"/>
        <v>3.1975117102784738</v>
      </c>
      <c r="AA79" s="486">
        <f t="shared" si="13"/>
        <v>3.3471060065454585</v>
      </c>
      <c r="AB79" s="486">
        <f t="shared" si="13"/>
        <v>3.56021157330016</v>
      </c>
      <c r="AC79" s="486">
        <f t="shared" si="13"/>
        <v>3.7636752701657934</v>
      </c>
      <c r="AD79" s="486">
        <f t="shared" si="13"/>
        <v>3.961946247150494</v>
      </c>
      <c r="AE79" s="486">
        <f t="shared" si="13"/>
        <v>4.0097916547860484</v>
      </c>
      <c r="AF79" s="486">
        <f t="shared" si="13"/>
        <v>4.1407206179627325</v>
      </c>
      <c r="AG79" s="486">
        <f t="shared" si="13"/>
        <v>4.2522944128649556</v>
      </c>
      <c r="AH79" s="486">
        <f t="shared" si="13"/>
        <v>4.3308538546558486</v>
      </c>
      <c r="AI79" s="486">
        <f t="shared" si="13"/>
        <v>4.4041434662869481</v>
      </c>
      <c r="AJ79" s="486">
        <f t="shared" si="13"/>
        <v>4.4282531933326963</v>
      </c>
      <c r="AK79" s="487"/>
      <c r="AM79" s="18" t="s">
        <v>58</v>
      </c>
      <c r="AN79" s="18">
        <v>0.95199999999999996</v>
      </c>
      <c r="AO79" s="18">
        <v>0.73399999999999999</v>
      </c>
      <c r="AP79" s="18">
        <v>0.97</v>
      </c>
      <c r="AQ79" s="18">
        <v>1.3220000000000001</v>
      </c>
      <c r="AR79" s="18">
        <v>1.476</v>
      </c>
    </row>
    <row r="80" spans="1:44" s="255" customFormat="1">
      <c r="A80" s="254" t="s">
        <v>57</v>
      </c>
      <c r="B80" s="474">
        <f>B79*1000</f>
        <v>952</v>
      </c>
      <c r="C80" s="474">
        <f t="shared" ref="C80:AJ80" si="14">C79*1000</f>
        <v>734</v>
      </c>
      <c r="D80" s="474">
        <f t="shared" si="14"/>
        <v>970</v>
      </c>
      <c r="E80" s="474">
        <f t="shared" si="14"/>
        <v>1322</v>
      </c>
      <c r="F80" s="474">
        <f t="shared" si="14"/>
        <v>1476</v>
      </c>
      <c r="G80" s="276">
        <f t="shared" si="14"/>
        <v>1758.4596328276341</v>
      </c>
      <c r="H80" s="276">
        <f t="shared" si="14"/>
        <v>1813.5523626364607</v>
      </c>
      <c r="I80" s="276">
        <f t="shared" si="14"/>
        <v>1857.1564960482156</v>
      </c>
      <c r="J80" s="276">
        <f t="shared" si="14"/>
        <v>1892.5462695719552</v>
      </c>
      <c r="K80" s="276">
        <f t="shared" si="14"/>
        <v>1969.220490617864</v>
      </c>
      <c r="L80" s="276">
        <f t="shared" si="14"/>
        <v>2107.294418038628</v>
      </c>
      <c r="M80" s="276">
        <f t="shared" si="14"/>
        <v>2274.1022236909566</v>
      </c>
      <c r="N80" s="276">
        <f t="shared" si="14"/>
        <v>2350.9931986974948</v>
      </c>
      <c r="O80" s="276">
        <f t="shared" si="14"/>
        <v>2395.9601782731675</v>
      </c>
      <c r="P80" s="276">
        <f t="shared" si="14"/>
        <v>2406.6032490111475</v>
      </c>
      <c r="Q80" s="276">
        <f t="shared" si="14"/>
        <v>2452.6985989330651</v>
      </c>
      <c r="R80" s="276">
        <f t="shared" si="14"/>
        <v>2530.1407468361454</v>
      </c>
      <c r="S80" s="276">
        <f t="shared" si="14"/>
        <v>2644.3514513524738</v>
      </c>
      <c r="T80" s="276">
        <f t="shared" si="14"/>
        <v>2765.6327149300164</v>
      </c>
      <c r="U80" s="276">
        <f t="shared" si="14"/>
        <v>2841.2440211193275</v>
      </c>
      <c r="V80" s="276">
        <f t="shared" si="14"/>
        <v>2968.6712533009463</v>
      </c>
      <c r="W80" s="276">
        <f t="shared" si="14"/>
        <v>3075.6003436212454</v>
      </c>
      <c r="X80" s="276">
        <f t="shared" si="14"/>
        <v>3134.6888459421589</v>
      </c>
      <c r="Y80" s="276">
        <f t="shared" si="14"/>
        <v>3141.5594130771642</v>
      </c>
      <c r="Z80" s="276">
        <f t="shared" si="14"/>
        <v>3197.5117102784739</v>
      </c>
      <c r="AA80" s="276">
        <f t="shared" si="14"/>
        <v>3347.1060065454585</v>
      </c>
      <c r="AB80" s="276">
        <f t="shared" si="14"/>
        <v>3560.2115733001601</v>
      </c>
      <c r="AC80" s="276">
        <f t="shared" si="14"/>
        <v>3763.6752701657933</v>
      </c>
      <c r="AD80" s="276">
        <f t="shared" si="14"/>
        <v>3961.9462471504939</v>
      </c>
      <c r="AE80" s="276">
        <f t="shared" si="14"/>
        <v>4009.7916547860482</v>
      </c>
      <c r="AF80" s="276">
        <f t="shared" si="14"/>
        <v>4140.7206179627328</v>
      </c>
      <c r="AG80" s="276">
        <f t="shared" si="14"/>
        <v>4252.294412864956</v>
      </c>
      <c r="AH80" s="276">
        <f t="shared" si="14"/>
        <v>4330.8538546558484</v>
      </c>
      <c r="AI80" s="276">
        <f t="shared" si="14"/>
        <v>4404.1434662869478</v>
      </c>
      <c r="AJ80" s="276">
        <f t="shared" si="14"/>
        <v>4428.2531933326964</v>
      </c>
      <c r="AK80" s="321"/>
    </row>
    <row r="81" spans="1:37" s="256" customFormat="1">
      <c r="A81" s="257" t="s">
        <v>339</v>
      </c>
      <c r="B81" s="260">
        <f t="shared" ref="B81:Q82" si="15">B74/SUM(B$74:B$78)</f>
        <v>0.9271844660194174</v>
      </c>
      <c r="C81" s="260">
        <f>C74/SUM(C$74:C$78)</f>
        <v>0.84102564102564104</v>
      </c>
      <c r="D81" s="260">
        <f t="shared" si="15"/>
        <v>0.84105960264900648</v>
      </c>
      <c r="E81" s="260">
        <f t="shared" si="15"/>
        <v>0.57289527720739231</v>
      </c>
      <c r="F81" s="260">
        <f t="shared" si="15"/>
        <v>0.35467349551856597</v>
      </c>
      <c r="G81" s="260">
        <f t="shared" si="15"/>
        <v>0.2740142002702296</v>
      </c>
      <c r="H81" s="260">
        <f t="shared" si="15"/>
        <v>0.25549387714326044</v>
      </c>
      <c r="I81" s="260">
        <f t="shared" si="15"/>
        <v>0.25713479543083323</v>
      </c>
      <c r="J81" s="260">
        <f t="shared" si="15"/>
        <v>0.27556982874346314</v>
      </c>
      <c r="K81" s="260">
        <f t="shared" si="15"/>
        <v>0.26156706204494407</v>
      </c>
      <c r="L81" s="260">
        <f t="shared" si="15"/>
        <v>0.31070328997403407</v>
      </c>
      <c r="M81" s="260">
        <f t="shared" si="15"/>
        <v>0.37420715961741607</v>
      </c>
      <c r="N81" s="260">
        <f t="shared" si="15"/>
        <v>0.41516734465884486</v>
      </c>
      <c r="O81" s="260">
        <f t="shared" si="15"/>
        <v>0.41868356776472482</v>
      </c>
      <c r="P81" s="260">
        <f t="shared" si="15"/>
        <v>0.41699022792810803</v>
      </c>
      <c r="Q81" s="260">
        <f t="shared" si="15"/>
        <v>0.43612401032305725</v>
      </c>
      <c r="R81" s="260">
        <f t="shared" ref="R81:AJ82" si="16">R74/SUM(R$74:R$78)</f>
        <v>0.46512891839507581</v>
      </c>
      <c r="S81" s="260">
        <f t="shared" si="16"/>
        <v>0.49192047323950744</v>
      </c>
      <c r="T81" s="260">
        <f t="shared" si="16"/>
        <v>0.51670597664839635</v>
      </c>
      <c r="U81" s="260">
        <f t="shared" si="16"/>
        <v>0.54237132669853716</v>
      </c>
      <c r="V81" s="260">
        <f t="shared" si="16"/>
        <v>0.56340335630974669</v>
      </c>
      <c r="W81" s="260">
        <f t="shared" si="16"/>
        <v>0.58246015715030053</v>
      </c>
      <c r="X81" s="260">
        <f t="shared" si="16"/>
        <v>0.59182152965159907</v>
      </c>
      <c r="Y81" s="260">
        <f t="shared" si="16"/>
        <v>0.59674285227316615</v>
      </c>
      <c r="Z81" s="260">
        <f t="shared" si="16"/>
        <v>0.605159594501534</v>
      </c>
      <c r="AA81" s="260">
        <f t="shared" si="16"/>
        <v>0.62300120904737422</v>
      </c>
      <c r="AB81" s="260">
        <f t="shared" si="16"/>
        <v>0.65426752782604236</v>
      </c>
      <c r="AC81" s="260">
        <f t="shared" si="16"/>
        <v>0.67347467969874719</v>
      </c>
      <c r="AD81" s="260">
        <f t="shared" si="16"/>
        <v>0.69149147929847754</v>
      </c>
      <c r="AE81" s="260">
        <f t="shared" si="16"/>
        <v>0.69770955385905231</v>
      </c>
      <c r="AF81" s="260">
        <f t="shared" si="16"/>
        <v>0.68427868118009394</v>
      </c>
      <c r="AG81" s="260">
        <f t="shared" si="16"/>
        <v>0.67250179200643589</v>
      </c>
      <c r="AH81" s="260">
        <f t="shared" si="16"/>
        <v>0.67295531563888</v>
      </c>
      <c r="AI81" s="260">
        <f t="shared" si="16"/>
        <v>0.67681762776211485</v>
      </c>
      <c r="AJ81" s="260">
        <f t="shared" si="16"/>
        <v>0.67444209330602933</v>
      </c>
      <c r="AK81" s="322"/>
    </row>
    <row r="82" spans="1:37" s="256" customFormat="1">
      <c r="A82" s="257" t="s">
        <v>340</v>
      </c>
      <c r="B82" s="260">
        <f t="shared" si="15"/>
        <v>7.281553398058252E-2</v>
      </c>
      <c r="C82" s="260">
        <f t="shared" ref="C82:AA82" si="17">C75/SUM(C$74:C$78)</f>
        <v>0.15897435897435896</v>
      </c>
      <c r="D82" s="260">
        <f t="shared" si="17"/>
        <v>7.9470198675496678E-2</v>
      </c>
      <c r="E82" s="260">
        <f t="shared" si="17"/>
        <v>9.856262833675565E-2</v>
      </c>
      <c r="F82" s="260">
        <f t="shared" si="17"/>
        <v>7.1702944942381566E-2</v>
      </c>
      <c r="G82" s="260">
        <f t="shared" si="17"/>
        <v>6.8233532498621338E-2</v>
      </c>
      <c r="H82" s="260">
        <f t="shared" si="17"/>
        <v>7.1801522214936367E-2</v>
      </c>
      <c r="I82" s="260">
        <f t="shared" si="17"/>
        <v>7.2587188714338349E-2</v>
      </c>
      <c r="J82" s="260">
        <f t="shared" si="17"/>
        <v>6.3739364729404641E-2</v>
      </c>
      <c r="K82" s="260">
        <f t="shared" si="17"/>
        <v>6.7612189781382018E-2</v>
      </c>
      <c r="L82" s="260">
        <f t="shared" si="17"/>
        <v>5.5120184753125405E-2</v>
      </c>
      <c r="M82" s="260">
        <f t="shared" si="17"/>
        <v>5.5082100616350133E-2</v>
      </c>
      <c r="N82" s="260">
        <f t="shared" si="17"/>
        <v>4.1216766839859906E-2</v>
      </c>
      <c r="O82" s="260">
        <f t="shared" si="17"/>
        <v>5.1828606668645423E-2</v>
      </c>
      <c r="P82" s="261">
        <f t="shared" si="17"/>
        <v>5.6775337095883616E-2</v>
      </c>
      <c r="Q82" s="260">
        <f t="shared" si="17"/>
        <v>5.0264103585253884E-2</v>
      </c>
      <c r="R82" s="260">
        <f t="shared" si="17"/>
        <v>4.2737301064880842E-2</v>
      </c>
      <c r="S82" s="260">
        <f t="shared" si="17"/>
        <v>4.4867988494291043E-2</v>
      </c>
      <c r="T82" s="260">
        <f t="shared" si="17"/>
        <v>4.7168551884063187E-2</v>
      </c>
      <c r="U82" s="260">
        <f t="shared" si="17"/>
        <v>3.6448209478618931E-2</v>
      </c>
      <c r="V82" s="260">
        <f t="shared" si="17"/>
        <v>3.8319042732054054E-2</v>
      </c>
      <c r="W82" s="260">
        <f t="shared" si="17"/>
        <v>3.6577680797780079E-2</v>
      </c>
      <c r="X82" s="260">
        <f t="shared" si="17"/>
        <v>3.6186761450698136E-2</v>
      </c>
      <c r="Y82" s="260">
        <f t="shared" si="17"/>
        <v>3.1537181083984345E-2</v>
      </c>
      <c r="Z82" s="260">
        <f t="shared" si="17"/>
        <v>3.0988754150459243E-2</v>
      </c>
      <c r="AA82" s="260">
        <f t="shared" si="17"/>
        <v>3.306756493733011E-2</v>
      </c>
      <c r="AB82" s="260">
        <f t="shared" si="16"/>
        <v>2.6876122167353408E-2</v>
      </c>
      <c r="AC82" s="260">
        <f t="shared" si="16"/>
        <v>2.8374268713660857E-2</v>
      </c>
      <c r="AD82" s="260">
        <f t="shared" si="16"/>
        <v>2.6685312243982445E-2</v>
      </c>
      <c r="AE82" s="260">
        <f t="shared" si="16"/>
        <v>2.3181120186724469E-2</v>
      </c>
      <c r="AF82" s="260">
        <f t="shared" si="16"/>
        <v>2.5241848168903777E-2</v>
      </c>
      <c r="AG82" s="260">
        <f t="shared" si="16"/>
        <v>2.157395467320428E-2</v>
      </c>
      <c r="AH82" s="260">
        <f t="shared" si="16"/>
        <v>2.1138192048270731E-2</v>
      </c>
      <c r="AI82" s="260">
        <f t="shared" si="16"/>
        <v>2.0727883437219995E-2</v>
      </c>
      <c r="AJ82" s="260">
        <f t="shared" si="16"/>
        <v>2.1016644471704503E-2</v>
      </c>
      <c r="AK82" s="322"/>
    </row>
    <row r="83" spans="1:37" s="256" customFormat="1">
      <c r="A83" s="257" t="s">
        <v>336</v>
      </c>
      <c r="B83" s="260">
        <f>B76/SUM(B$74:B$78)</f>
        <v>0</v>
      </c>
      <c r="C83" s="260">
        <f t="shared" ref="C83:AJ83" si="18">C76/SUM(C$74:C$78)</f>
        <v>0</v>
      </c>
      <c r="D83" s="260">
        <f t="shared" si="18"/>
        <v>0</v>
      </c>
      <c r="E83" s="260">
        <f t="shared" si="18"/>
        <v>0</v>
      </c>
      <c r="F83" s="260">
        <f t="shared" si="18"/>
        <v>0</v>
      </c>
      <c r="G83" s="260">
        <f t="shared" si="18"/>
        <v>2.8430101783271764E-3</v>
      </c>
      <c r="H83" s="260">
        <f t="shared" si="18"/>
        <v>2.4676165311939241E-3</v>
      </c>
      <c r="I83" s="260">
        <f t="shared" si="18"/>
        <v>2.0548593844638505E-3</v>
      </c>
      <c r="J83" s="260">
        <f t="shared" si="18"/>
        <v>2.1573781619142916E-3</v>
      </c>
      <c r="K83" s="260">
        <f t="shared" si="18"/>
        <v>2.0299863846111759E-3</v>
      </c>
      <c r="L83" s="260">
        <f t="shared" si="18"/>
        <v>2.0036020740915247E-3</v>
      </c>
      <c r="M83" s="260">
        <f t="shared" si="18"/>
        <v>1.9729154963801271E-3</v>
      </c>
      <c r="N83" s="260">
        <f t="shared" si="18"/>
        <v>2.2945409174246895E-3</v>
      </c>
      <c r="O83" s="260">
        <f t="shared" si="18"/>
        <v>2.492456020190559E-3</v>
      </c>
      <c r="P83" s="261">
        <f t="shared" si="18"/>
        <v>2.5208051370948269E-3</v>
      </c>
      <c r="Q83" s="260">
        <f t="shared" si="18"/>
        <v>2.5807383655778206E-3</v>
      </c>
      <c r="R83" s="260">
        <f t="shared" si="18"/>
        <v>2.5296837550961185E-3</v>
      </c>
      <c r="S83" s="260">
        <f t="shared" si="18"/>
        <v>2.4204963330034025E-3</v>
      </c>
      <c r="T83" s="260">
        <f t="shared" si="18"/>
        <v>2.3548405505829117E-3</v>
      </c>
      <c r="U83" s="260">
        <f t="shared" si="18"/>
        <v>2.2999202312050998E-3</v>
      </c>
      <c r="V83" s="260">
        <f t="shared" si="18"/>
        <v>2.2954007592650718E-3</v>
      </c>
      <c r="W83" s="260">
        <f t="shared" si="18"/>
        <v>2.2372146697408656E-3</v>
      </c>
      <c r="X83" s="260">
        <f t="shared" si="18"/>
        <v>2.2009408057596471E-3</v>
      </c>
      <c r="Y83" s="260">
        <f t="shared" si="18"/>
        <v>2.2359643407906383E-3</v>
      </c>
      <c r="Z83" s="260">
        <f t="shared" si="18"/>
        <v>2.2167989980295703E-3</v>
      </c>
      <c r="AA83" s="260">
        <f t="shared" si="18"/>
        <v>2.1285559307773882E-3</v>
      </c>
      <c r="AB83" s="260">
        <f t="shared" si="18"/>
        <v>2.0851323777281877E-3</v>
      </c>
      <c r="AC83" s="260">
        <f t="shared" si="18"/>
        <v>1.9819216774242627E-3</v>
      </c>
      <c r="AD83" s="260">
        <f t="shared" si="18"/>
        <v>1.9036619788904057E-3</v>
      </c>
      <c r="AE83" s="260">
        <f t="shared" si="18"/>
        <v>1.9215219159385893E-3</v>
      </c>
      <c r="AF83" s="260">
        <f t="shared" si="18"/>
        <v>1.8876915333235727E-3</v>
      </c>
      <c r="AG83" s="260">
        <f t="shared" si="18"/>
        <v>1.9066431355877669E-3</v>
      </c>
      <c r="AH83" s="260">
        <f t="shared" si="18"/>
        <v>1.9050985074378535E-3</v>
      </c>
      <c r="AI83" s="260">
        <f t="shared" si="18"/>
        <v>1.9182699040520073E-3</v>
      </c>
      <c r="AJ83" s="260">
        <f t="shared" si="18"/>
        <v>1.9574053055737449E-3</v>
      </c>
      <c r="AK83" s="322"/>
    </row>
    <row r="84" spans="1:37" s="256" customFormat="1">
      <c r="A84" s="257" t="s">
        <v>338</v>
      </c>
      <c r="B84" s="260">
        <f>B77/SUM(B$74:B$78)</f>
        <v>0</v>
      </c>
      <c r="C84" s="260">
        <f t="shared" ref="C84:AJ84" si="19">C77/SUM(C$74:C$78)</f>
        <v>0</v>
      </c>
      <c r="D84" s="260">
        <f t="shared" si="19"/>
        <v>0</v>
      </c>
      <c r="E84" s="260">
        <f t="shared" si="19"/>
        <v>0</v>
      </c>
      <c r="F84" s="260">
        <f t="shared" si="19"/>
        <v>0</v>
      </c>
      <c r="G84" s="260">
        <f t="shared" si="19"/>
        <v>0</v>
      </c>
      <c r="H84" s="260">
        <f t="shared" si="19"/>
        <v>0</v>
      </c>
      <c r="I84" s="260">
        <f t="shared" si="19"/>
        <v>0</v>
      </c>
      <c r="J84" s="260">
        <f t="shared" si="19"/>
        <v>0</v>
      </c>
      <c r="K84" s="260">
        <f t="shared" si="19"/>
        <v>0</v>
      </c>
      <c r="L84" s="260">
        <f t="shared" si="19"/>
        <v>0</v>
      </c>
      <c r="M84" s="260">
        <f t="shared" si="19"/>
        <v>0</v>
      </c>
      <c r="N84" s="260">
        <f t="shared" si="19"/>
        <v>0</v>
      </c>
      <c r="O84" s="260">
        <f t="shared" si="19"/>
        <v>0</v>
      </c>
      <c r="P84" s="261">
        <f t="shared" si="19"/>
        <v>0</v>
      </c>
      <c r="Q84" s="260">
        <f t="shared" si="19"/>
        <v>0</v>
      </c>
      <c r="R84" s="260">
        <f t="shared" si="19"/>
        <v>0</v>
      </c>
      <c r="S84" s="260">
        <f t="shared" si="19"/>
        <v>0</v>
      </c>
      <c r="T84" s="260">
        <f t="shared" si="19"/>
        <v>0</v>
      </c>
      <c r="U84" s="260">
        <f t="shared" si="19"/>
        <v>0</v>
      </c>
      <c r="V84" s="260">
        <f t="shared" si="19"/>
        <v>0</v>
      </c>
      <c r="W84" s="260">
        <f t="shared" si="19"/>
        <v>0</v>
      </c>
      <c r="X84" s="260">
        <f t="shared" si="19"/>
        <v>0</v>
      </c>
      <c r="Y84" s="260">
        <f t="shared" si="19"/>
        <v>0</v>
      </c>
      <c r="Z84" s="260">
        <f t="shared" si="19"/>
        <v>0</v>
      </c>
      <c r="AA84" s="260">
        <f t="shared" si="19"/>
        <v>0</v>
      </c>
      <c r="AB84" s="260">
        <f t="shared" si="19"/>
        <v>0</v>
      </c>
      <c r="AC84" s="260">
        <f t="shared" si="19"/>
        <v>0</v>
      </c>
      <c r="AD84" s="260">
        <f t="shared" si="19"/>
        <v>0</v>
      </c>
      <c r="AE84" s="260">
        <f t="shared" si="19"/>
        <v>0</v>
      </c>
      <c r="AF84" s="260">
        <f t="shared" si="19"/>
        <v>0</v>
      </c>
      <c r="AG84" s="260">
        <f t="shared" si="19"/>
        <v>0</v>
      </c>
      <c r="AH84" s="260">
        <f t="shared" si="19"/>
        <v>0</v>
      </c>
      <c r="AI84" s="260">
        <f t="shared" si="19"/>
        <v>0</v>
      </c>
      <c r="AJ84" s="260">
        <f t="shared" si="19"/>
        <v>0</v>
      </c>
      <c r="AK84" s="322"/>
    </row>
    <row r="85" spans="1:37" s="256" customFormat="1">
      <c r="A85" s="257" t="s">
        <v>337</v>
      </c>
      <c r="B85" s="260">
        <f>B78/SUM(B$74:B$78)</f>
        <v>0</v>
      </c>
      <c r="C85" s="260">
        <f t="shared" ref="C85:AJ85" si="20">C78/SUM(C$74:C$78)</f>
        <v>0</v>
      </c>
      <c r="D85" s="260">
        <f t="shared" si="20"/>
        <v>7.9470198675496678E-2</v>
      </c>
      <c r="E85" s="260">
        <f t="shared" si="20"/>
        <v>0.3285420944558522</v>
      </c>
      <c r="F85" s="260">
        <f t="shared" si="20"/>
        <v>0.57362355953905253</v>
      </c>
      <c r="G85" s="260">
        <f t="shared" si="20"/>
        <v>0.65490925705282188</v>
      </c>
      <c r="H85" s="260">
        <f t="shared" si="20"/>
        <v>0.67023698411060917</v>
      </c>
      <c r="I85" s="260">
        <f t="shared" si="20"/>
        <v>0.66822315647036457</v>
      </c>
      <c r="J85" s="260">
        <f t="shared" si="20"/>
        <v>0.65853342836521789</v>
      </c>
      <c r="K85" s="260">
        <f t="shared" si="20"/>
        <v>0.66879076178906283</v>
      </c>
      <c r="L85" s="260">
        <f t="shared" si="20"/>
        <v>0.63217292319874896</v>
      </c>
      <c r="M85" s="260">
        <f t="shared" si="20"/>
        <v>0.56873782426985364</v>
      </c>
      <c r="N85" s="260">
        <f t="shared" si="20"/>
        <v>0.54132134758387052</v>
      </c>
      <c r="O85" s="260">
        <f t="shared" si="20"/>
        <v>0.52699536954643922</v>
      </c>
      <c r="P85" s="261">
        <f t="shared" si="20"/>
        <v>0.52371362983891356</v>
      </c>
      <c r="Q85" s="260">
        <f t="shared" si="20"/>
        <v>0.51103114772611102</v>
      </c>
      <c r="R85" s="260">
        <f t="shared" si="20"/>
        <v>0.48960409678494715</v>
      </c>
      <c r="S85" s="260">
        <f t="shared" si="20"/>
        <v>0.46079104193319809</v>
      </c>
      <c r="T85" s="260">
        <f t="shared" si="20"/>
        <v>0.43377063091695756</v>
      </c>
      <c r="U85" s="260">
        <f t="shared" si="20"/>
        <v>0.41888054359163879</v>
      </c>
      <c r="V85" s="260">
        <f t="shared" si="20"/>
        <v>0.39598220019893421</v>
      </c>
      <c r="W85" s="260">
        <f t="shared" si="20"/>
        <v>0.37872494738217843</v>
      </c>
      <c r="X85" s="260">
        <f t="shared" si="20"/>
        <v>0.369790768091943</v>
      </c>
      <c r="Y85" s="260">
        <f t="shared" si="20"/>
        <v>0.36948400230205886</v>
      </c>
      <c r="Z85" s="260">
        <f t="shared" si="20"/>
        <v>0.36163485234997711</v>
      </c>
      <c r="AA85" s="260">
        <f t="shared" si="20"/>
        <v>0.34180267008451831</v>
      </c>
      <c r="AB85" s="260">
        <f t="shared" si="20"/>
        <v>0.31677121762887583</v>
      </c>
      <c r="AC85" s="260">
        <f t="shared" si="20"/>
        <v>0.29616912991016775</v>
      </c>
      <c r="AD85" s="260">
        <f t="shared" si="20"/>
        <v>0.27991954647864975</v>
      </c>
      <c r="AE85" s="260">
        <f t="shared" si="20"/>
        <v>0.27718780403828469</v>
      </c>
      <c r="AF85" s="260">
        <f t="shared" si="20"/>
        <v>0.28859177911767858</v>
      </c>
      <c r="AG85" s="260">
        <f t="shared" si="20"/>
        <v>0.30401761018477214</v>
      </c>
      <c r="AH85" s="260">
        <f t="shared" si="20"/>
        <v>0.30400139380541141</v>
      </c>
      <c r="AI85" s="260">
        <f t="shared" si="20"/>
        <v>0.30053621889661303</v>
      </c>
      <c r="AJ85" s="260">
        <f t="shared" si="20"/>
        <v>0.30258385691669243</v>
      </c>
      <c r="AK85" s="322"/>
    </row>
    <row r="86" spans="1:37" s="256" customFormat="1">
      <c r="A86" s="256" t="s">
        <v>341</v>
      </c>
      <c r="B86" s="260">
        <f>SUM(B81:B85)</f>
        <v>0.99999999999999989</v>
      </c>
      <c r="C86" s="260">
        <f t="shared" ref="C86:AJ86" si="21">SUM(C81:C85)</f>
        <v>1</v>
      </c>
      <c r="D86" s="260">
        <f t="shared" si="21"/>
        <v>0.99999999999999978</v>
      </c>
      <c r="E86" s="260">
        <f t="shared" si="21"/>
        <v>1.0000000000000002</v>
      </c>
      <c r="F86" s="260">
        <f t="shared" si="21"/>
        <v>1</v>
      </c>
      <c r="G86" s="260">
        <f t="shared" si="21"/>
        <v>1</v>
      </c>
      <c r="H86" s="260">
        <f t="shared" si="21"/>
        <v>0.99999999999999989</v>
      </c>
      <c r="I86" s="260">
        <f t="shared" si="21"/>
        <v>1</v>
      </c>
      <c r="J86" s="260">
        <f t="shared" si="21"/>
        <v>1</v>
      </c>
      <c r="K86" s="260">
        <f t="shared" si="21"/>
        <v>1</v>
      </c>
      <c r="L86" s="260">
        <f t="shared" si="21"/>
        <v>1</v>
      </c>
      <c r="M86" s="260">
        <f t="shared" si="21"/>
        <v>1</v>
      </c>
      <c r="N86" s="260">
        <f t="shared" si="21"/>
        <v>1</v>
      </c>
      <c r="O86" s="260">
        <f t="shared" si="21"/>
        <v>1</v>
      </c>
      <c r="P86" s="260">
        <f t="shared" si="21"/>
        <v>1</v>
      </c>
      <c r="Q86" s="260">
        <f t="shared" si="21"/>
        <v>1</v>
      </c>
      <c r="R86" s="260">
        <f t="shared" si="21"/>
        <v>1</v>
      </c>
      <c r="S86" s="260">
        <f t="shared" si="21"/>
        <v>1</v>
      </c>
      <c r="T86" s="260">
        <f t="shared" si="21"/>
        <v>1</v>
      </c>
      <c r="U86" s="260">
        <f t="shared" si="21"/>
        <v>1</v>
      </c>
      <c r="V86" s="260">
        <f t="shared" si="21"/>
        <v>1</v>
      </c>
      <c r="W86" s="260">
        <f t="shared" si="21"/>
        <v>1</v>
      </c>
      <c r="X86" s="260">
        <f t="shared" si="21"/>
        <v>0.99999999999999978</v>
      </c>
      <c r="Y86" s="260">
        <f t="shared" si="21"/>
        <v>1</v>
      </c>
      <c r="Z86" s="260">
        <f t="shared" si="21"/>
        <v>1</v>
      </c>
      <c r="AA86" s="260">
        <f t="shared" si="21"/>
        <v>1</v>
      </c>
      <c r="AB86" s="260">
        <f t="shared" si="21"/>
        <v>0.99999999999999978</v>
      </c>
      <c r="AC86" s="260">
        <f t="shared" si="21"/>
        <v>1</v>
      </c>
      <c r="AD86" s="260">
        <f t="shared" si="21"/>
        <v>1</v>
      </c>
      <c r="AE86" s="260">
        <f t="shared" si="21"/>
        <v>1</v>
      </c>
      <c r="AF86" s="260">
        <f t="shared" si="21"/>
        <v>0.99999999999999978</v>
      </c>
      <c r="AG86" s="260">
        <f t="shared" si="21"/>
        <v>1</v>
      </c>
      <c r="AH86" s="260">
        <f t="shared" si="21"/>
        <v>1</v>
      </c>
      <c r="AI86" s="260">
        <f t="shared" si="21"/>
        <v>0.99999999999999978</v>
      </c>
      <c r="AJ86" s="260">
        <f t="shared" si="21"/>
        <v>1</v>
      </c>
      <c r="AK86" s="322"/>
    </row>
    <row r="87" spans="1:37">
      <c r="A87" s="565" t="s">
        <v>632</v>
      </c>
      <c r="B87" s="565"/>
      <c r="C87" s="565"/>
      <c r="D87" s="565"/>
      <c r="E87" s="565"/>
      <c r="F87" s="565"/>
      <c r="G87" s="565"/>
      <c r="H87" s="565"/>
      <c r="I87" s="565"/>
      <c r="J87" s="565"/>
      <c r="K87" s="565"/>
      <c r="L87" s="565"/>
      <c r="M87" s="565"/>
      <c r="N87" s="565"/>
      <c r="O87" s="565"/>
      <c r="P87" s="565"/>
      <c r="Q87" s="565"/>
      <c r="R87" s="565"/>
      <c r="S87" s="565"/>
      <c r="T87" s="565"/>
      <c r="U87" s="565"/>
      <c r="V87" s="565"/>
      <c r="W87" s="565"/>
      <c r="X87" s="565"/>
      <c r="Y87" s="565"/>
      <c r="Z87" s="565"/>
      <c r="AA87" s="565"/>
      <c r="AB87" s="565"/>
      <c r="AC87" s="565"/>
      <c r="AD87" s="565"/>
      <c r="AE87" s="565"/>
      <c r="AF87" s="565"/>
    </row>
    <row r="88" spans="1:37">
      <c r="A88" s="564" t="s">
        <v>665</v>
      </c>
      <c r="B88" s="564"/>
      <c r="C88" s="564"/>
      <c r="D88" s="564"/>
      <c r="E88" s="564"/>
      <c r="F88" s="564"/>
      <c r="G88" s="564"/>
      <c r="H88" s="564"/>
      <c r="I88" s="564"/>
      <c r="J88" s="564"/>
      <c r="K88" s="564"/>
      <c r="L88" s="564"/>
      <c r="M88" s="564"/>
      <c r="N88" s="564"/>
      <c r="O88" s="564"/>
      <c r="P88" s="564"/>
      <c r="Q88" s="564"/>
      <c r="R88" s="564"/>
      <c r="S88" s="564"/>
      <c r="T88" s="564"/>
      <c r="U88" s="564"/>
      <c r="V88" s="564"/>
      <c r="W88" s="564"/>
      <c r="X88" s="564"/>
      <c r="Y88" s="564"/>
      <c r="Z88" s="564"/>
      <c r="AA88" s="564"/>
      <c r="AB88" s="564"/>
      <c r="AC88" s="564"/>
      <c r="AD88" s="564"/>
      <c r="AE88" s="564"/>
      <c r="AF88" s="564"/>
    </row>
    <row r="89" spans="1:37">
      <c r="A89" s="564" t="s">
        <v>666</v>
      </c>
      <c r="B89" s="564"/>
      <c r="C89" s="564"/>
      <c r="D89" s="564"/>
      <c r="E89" s="564"/>
      <c r="F89" s="564"/>
      <c r="G89" s="564"/>
      <c r="H89" s="564"/>
      <c r="I89" s="564"/>
      <c r="J89" s="564"/>
      <c r="K89" s="564"/>
      <c r="L89" s="564"/>
      <c r="M89" s="564"/>
      <c r="N89" s="564"/>
      <c r="O89" s="564"/>
      <c r="P89" s="564"/>
      <c r="Q89" s="564"/>
      <c r="R89" s="564"/>
      <c r="S89" s="564"/>
      <c r="T89" s="564"/>
      <c r="U89" s="564"/>
      <c r="V89" s="564"/>
      <c r="W89" s="564"/>
      <c r="X89" s="564"/>
      <c r="Y89" s="564"/>
      <c r="Z89" s="564"/>
      <c r="AA89" s="564"/>
      <c r="AB89" s="564"/>
      <c r="AC89" s="564"/>
      <c r="AD89" s="564"/>
      <c r="AE89" s="564"/>
      <c r="AF89" s="564"/>
    </row>
    <row r="90" spans="1:37">
      <c r="A90" s="564" t="s">
        <v>667</v>
      </c>
      <c r="B90" s="564"/>
      <c r="C90" s="564"/>
      <c r="D90" s="564"/>
      <c r="E90" s="564"/>
      <c r="F90" s="564"/>
      <c r="G90" s="564"/>
      <c r="H90" s="564"/>
      <c r="I90" s="564"/>
      <c r="J90" s="564"/>
      <c r="K90" s="564"/>
      <c r="L90" s="564"/>
      <c r="M90" s="564"/>
      <c r="N90" s="564"/>
      <c r="O90" s="564"/>
      <c r="P90" s="564"/>
      <c r="Q90" s="564"/>
      <c r="R90" s="564"/>
      <c r="S90" s="564"/>
      <c r="T90" s="564"/>
      <c r="U90" s="564"/>
      <c r="V90" s="564"/>
      <c r="W90" s="564"/>
      <c r="X90" s="564"/>
      <c r="Y90" s="564"/>
      <c r="Z90" s="564"/>
      <c r="AA90" s="564"/>
      <c r="AB90" s="564"/>
      <c r="AC90" s="564"/>
      <c r="AD90" s="564"/>
      <c r="AE90" s="564"/>
      <c r="AF90" s="564"/>
    </row>
    <row r="91" spans="1:37">
      <c r="A91" s="564" t="s">
        <v>668</v>
      </c>
      <c r="B91" s="564"/>
      <c r="C91" s="564"/>
      <c r="D91" s="564"/>
      <c r="E91" s="564"/>
      <c r="F91" s="564"/>
      <c r="G91" s="564"/>
      <c r="H91" s="564"/>
      <c r="I91" s="564"/>
      <c r="J91" s="564"/>
      <c r="K91" s="564"/>
      <c r="L91" s="564"/>
      <c r="M91" s="564"/>
      <c r="N91" s="564"/>
      <c r="O91" s="564"/>
      <c r="P91" s="564"/>
      <c r="Q91" s="564"/>
      <c r="R91" s="564"/>
      <c r="S91" s="564"/>
      <c r="T91" s="564"/>
      <c r="U91" s="564"/>
      <c r="V91" s="564"/>
      <c r="W91" s="564"/>
      <c r="X91" s="564"/>
      <c r="Y91" s="564"/>
      <c r="Z91" s="564"/>
      <c r="AA91" s="564"/>
      <c r="AB91" s="564"/>
      <c r="AC91" s="564"/>
      <c r="AD91" s="564"/>
      <c r="AE91" s="564"/>
      <c r="AF91" s="564"/>
    </row>
    <row r="92" spans="1:37">
      <c r="A92" s="564" t="s">
        <v>669</v>
      </c>
      <c r="B92" s="564"/>
      <c r="C92" s="564"/>
      <c r="D92" s="564"/>
      <c r="E92" s="564"/>
      <c r="F92" s="564"/>
      <c r="G92" s="564"/>
      <c r="H92" s="564"/>
      <c r="I92" s="564"/>
      <c r="J92" s="564"/>
      <c r="K92" s="564"/>
      <c r="L92" s="564"/>
      <c r="M92" s="564"/>
      <c r="N92" s="564"/>
      <c r="O92" s="564"/>
      <c r="P92" s="564"/>
      <c r="Q92" s="564"/>
      <c r="R92" s="564"/>
      <c r="S92" s="564"/>
      <c r="T92" s="564"/>
      <c r="U92" s="564"/>
      <c r="V92" s="564"/>
      <c r="W92" s="564"/>
      <c r="X92" s="564"/>
      <c r="Y92" s="564"/>
      <c r="Z92" s="564"/>
      <c r="AA92" s="564"/>
      <c r="AB92" s="564"/>
      <c r="AC92" s="564"/>
      <c r="AD92" s="564"/>
      <c r="AE92" s="564"/>
      <c r="AF92" s="564"/>
    </row>
    <row r="93" spans="1:37">
      <c r="A93" s="564" t="s">
        <v>670</v>
      </c>
      <c r="B93" s="564"/>
      <c r="C93" s="564"/>
      <c r="D93" s="564"/>
      <c r="E93" s="564"/>
      <c r="F93" s="564"/>
      <c r="G93" s="564"/>
      <c r="H93" s="564"/>
      <c r="I93" s="564"/>
      <c r="J93" s="564"/>
      <c r="K93" s="564"/>
      <c r="L93" s="564"/>
      <c r="M93" s="564"/>
      <c r="N93" s="564"/>
      <c r="O93" s="564"/>
      <c r="P93" s="564"/>
      <c r="Q93" s="564"/>
      <c r="R93" s="564"/>
      <c r="S93" s="564"/>
      <c r="T93" s="564"/>
      <c r="U93" s="564"/>
      <c r="V93" s="564"/>
      <c r="W93" s="564"/>
      <c r="X93" s="564"/>
      <c r="Y93" s="564"/>
      <c r="Z93" s="564"/>
      <c r="AA93" s="564"/>
      <c r="AB93" s="564"/>
      <c r="AC93" s="564"/>
      <c r="AD93" s="564"/>
      <c r="AE93" s="564"/>
      <c r="AF93" s="564"/>
    </row>
    <row r="94" spans="1:37">
      <c r="A94" s="564" t="s">
        <v>671</v>
      </c>
      <c r="B94" s="564"/>
      <c r="C94" s="564"/>
      <c r="D94" s="564"/>
      <c r="E94" s="564"/>
      <c r="F94" s="564"/>
      <c r="G94" s="564"/>
      <c r="H94" s="564"/>
      <c r="I94" s="564"/>
      <c r="J94" s="564"/>
      <c r="K94" s="564"/>
      <c r="L94" s="564"/>
      <c r="M94" s="564"/>
      <c r="N94" s="564"/>
      <c r="O94" s="564"/>
      <c r="P94" s="564"/>
      <c r="Q94" s="564"/>
      <c r="R94" s="564"/>
      <c r="S94" s="564"/>
      <c r="T94" s="564"/>
      <c r="U94" s="564"/>
      <c r="V94" s="564"/>
      <c r="W94" s="564"/>
      <c r="X94" s="564"/>
      <c r="Y94" s="564"/>
      <c r="Z94" s="564"/>
      <c r="AA94" s="564"/>
      <c r="AB94" s="564"/>
      <c r="AC94" s="564"/>
      <c r="AD94" s="564"/>
      <c r="AE94" s="564"/>
      <c r="AF94" s="564"/>
    </row>
    <row r="95" spans="1:37">
      <c r="A95" s="564" t="s">
        <v>672</v>
      </c>
      <c r="B95" s="564"/>
      <c r="C95" s="564"/>
      <c r="D95" s="564"/>
      <c r="E95" s="564"/>
      <c r="F95" s="564"/>
      <c r="G95" s="564"/>
      <c r="H95" s="564"/>
      <c r="I95" s="564"/>
      <c r="J95" s="564"/>
      <c r="K95" s="564"/>
      <c r="L95" s="564"/>
      <c r="M95" s="564"/>
      <c r="N95" s="564"/>
      <c r="O95" s="564"/>
      <c r="P95" s="564"/>
      <c r="Q95" s="564"/>
      <c r="R95" s="564"/>
      <c r="S95" s="564"/>
      <c r="T95" s="564"/>
      <c r="U95" s="564"/>
      <c r="V95" s="564"/>
      <c r="W95" s="564"/>
      <c r="X95" s="564"/>
      <c r="Y95" s="564"/>
      <c r="Z95" s="564"/>
      <c r="AA95" s="564"/>
      <c r="AB95" s="564"/>
      <c r="AC95" s="564"/>
      <c r="AD95" s="564"/>
      <c r="AE95" s="564"/>
      <c r="AF95" s="564"/>
    </row>
    <row r="96" spans="1:37">
      <c r="A96" s="564" t="s">
        <v>673</v>
      </c>
      <c r="B96" s="564"/>
      <c r="C96" s="564"/>
      <c r="D96" s="564"/>
      <c r="E96" s="564"/>
      <c r="F96" s="564"/>
      <c r="G96" s="564"/>
      <c r="H96" s="564"/>
      <c r="I96" s="564"/>
      <c r="J96" s="564"/>
      <c r="K96" s="564"/>
      <c r="L96" s="564"/>
      <c r="M96" s="564"/>
      <c r="N96" s="564"/>
      <c r="O96" s="564"/>
      <c r="P96" s="564"/>
      <c r="Q96" s="564"/>
      <c r="R96" s="564"/>
      <c r="S96" s="564"/>
      <c r="T96" s="564"/>
      <c r="U96" s="564"/>
      <c r="V96" s="564"/>
      <c r="W96" s="564"/>
      <c r="X96" s="564"/>
      <c r="Y96" s="564"/>
      <c r="Z96" s="564"/>
      <c r="AA96" s="564"/>
      <c r="AB96" s="564"/>
      <c r="AC96" s="564"/>
      <c r="AD96" s="564"/>
      <c r="AE96" s="564"/>
      <c r="AF96" s="564"/>
    </row>
    <row r="97" spans="1:32">
      <c r="A97" s="564" t="s">
        <v>674</v>
      </c>
      <c r="B97" s="564"/>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row>
    <row r="98" spans="1:32">
      <c r="A98" s="564" t="s">
        <v>675</v>
      </c>
      <c r="B98" s="564"/>
      <c r="C98" s="564"/>
      <c r="D98" s="564"/>
      <c r="E98" s="564"/>
      <c r="F98" s="564"/>
      <c r="G98" s="564"/>
      <c r="H98" s="564"/>
      <c r="I98" s="564"/>
      <c r="J98" s="564"/>
      <c r="K98" s="564"/>
      <c r="L98" s="564"/>
      <c r="M98" s="564"/>
      <c r="N98" s="564"/>
      <c r="O98" s="564"/>
      <c r="P98" s="564"/>
      <c r="Q98" s="564"/>
      <c r="R98" s="564"/>
      <c r="S98" s="564"/>
      <c r="T98" s="564"/>
      <c r="U98" s="564"/>
      <c r="V98" s="564"/>
      <c r="W98" s="564"/>
      <c r="X98" s="564"/>
      <c r="Y98" s="564"/>
      <c r="Z98" s="564"/>
      <c r="AA98" s="564"/>
      <c r="AB98" s="564"/>
      <c r="AC98" s="564"/>
      <c r="AD98" s="564"/>
      <c r="AE98" s="564"/>
      <c r="AF98" s="564"/>
    </row>
    <row r="99" spans="1:32">
      <c r="A99" s="564" t="s">
        <v>676</v>
      </c>
      <c r="B99" s="564"/>
      <c r="C99" s="564"/>
      <c r="D99" s="564"/>
      <c r="E99" s="564"/>
      <c r="F99" s="564"/>
      <c r="G99" s="564"/>
      <c r="H99" s="564"/>
      <c r="I99" s="564"/>
      <c r="J99" s="564"/>
      <c r="K99" s="564"/>
      <c r="L99" s="564"/>
      <c r="M99" s="564"/>
      <c r="N99" s="564"/>
      <c r="O99" s="564"/>
      <c r="P99" s="564"/>
      <c r="Q99" s="564"/>
      <c r="R99" s="564"/>
      <c r="S99" s="564"/>
      <c r="T99" s="564"/>
      <c r="U99" s="564"/>
      <c r="V99" s="564"/>
      <c r="W99" s="564"/>
      <c r="X99" s="564"/>
      <c r="Y99" s="564"/>
      <c r="Z99" s="564"/>
      <c r="AA99" s="564"/>
      <c r="AB99" s="564"/>
      <c r="AC99" s="564"/>
      <c r="AD99" s="564"/>
      <c r="AE99" s="564"/>
      <c r="AF99" s="564"/>
    </row>
    <row r="100" spans="1:32">
      <c r="A100" s="564" t="s">
        <v>677</v>
      </c>
      <c r="B100" s="564"/>
      <c r="C100" s="564"/>
      <c r="D100" s="564"/>
      <c r="E100" s="564"/>
      <c r="F100" s="564"/>
      <c r="G100" s="564"/>
      <c r="H100" s="564"/>
      <c r="I100" s="564"/>
      <c r="J100" s="564"/>
      <c r="K100" s="564"/>
      <c r="L100" s="564"/>
      <c r="M100" s="564"/>
      <c r="N100" s="564"/>
      <c r="O100" s="564"/>
      <c r="P100" s="564"/>
      <c r="Q100" s="564"/>
      <c r="R100" s="564"/>
      <c r="S100" s="564"/>
      <c r="T100" s="564"/>
      <c r="U100" s="564"/>
      <c r="V100" s="564"/>
      <c r="W100" s="564"/>
      <c r="X100" s="564"/>
      <c r="Y100" s="564"/>
      <c r="Z100" s="564"/>
      <c r="AA100" s="564"/>
      <c r="AB100" s="564"/>
      <c r="AC100" s="564"/>
      <c r="AD100" s="564"/>
      <c r="AE100" s="564"/>
      <c r="AF100" s="564"/>
    </row>
    <row r="101" spans="1:32">
      <c r="A101" s="564" t="s">
        <v>678</v>
      </c>
      <c r="B101" s="564"/>
      <c r="C101" s="564"/>
      <c r="D101" s="564"/>
      <c r="E101" s="564"/>
      <c r="F101" s="564"/>
      <c r="G101" s="564"/>
      <c r="H101" s="564"/>
      <c r="I101" s="564"/>
      <c r="J101" s="564"/>
      <c r="K101" s="564"/>
      <c r="L101" s="564"/>
      <c r="M101" s="564"/>
      <c r="N101" s="564"/>
      <c r="O101" s="564"/>
      <c r="P101" s="564"/>
      <c r="Q101" s="564"/>
      <c r="R101" s="564"/>
      <c r="S101" s="564"/>
      <c r="T101" s="564"/>
      <c r="U101" s="564"/>
      <c r="V101" s="564"/>
      <c r="W101" s="564"/>
      <c r="X101" s="564"/>
      <c r="Y101" s="564"/>
      <c r="Z101" s="564"/>
      <c r="AA101" s="564"/>
      <c r="AB101" s="564"/>
      <c r="AC101" s="564"/>
      <c r="AD101" s="564"/>
      <c r="AE101" s="564"/>
      <c r="AF101" s="564"/>
    </row>
    <row r="102" spans="1:32">
      <c r="A102" s="564" t="s">
        <v>679</v>
      </c>
      <c r="B102" s="564"/>
      <c r="C102" s="564"/>
      <c r="D102" s="564"/>
      <c r="E102" s="564"/>
      <c r="F102" s="564"/>
      <c r="G102" s="564"/>
      <c r="H102" s="564"/>
      <c r="I102" s="564"/>
      <c r="J102" s="564"/>
      <c r="K102" s="564"/>
      <c r="L102" s="564"/>
      <c r="M102" s="564"/>
      <c r="N102" s="564"/>
      <c r="O102" s="564"/>
      <c r="P102" s="564"/>
      <c r="Q102" s="564"/>
      <c r="R102" s="564"/>
      <c r="S102" s="564"/>
      <c r="T102" s="564"/>
      <c r="U102" s="564"/>
      <c r="V102" s="564"/>
      <c r="W102" s="564"/>
      <c r="X102" s="564"/>
      <c r="Y102" s="564"/>
      <c r="Z102" s="564"/>
      <c r="AA102" s="564"/>
      <c r="AB102" s="564"/>
      <c r="AC102" s="564"/>
      <c r="AD102" s="564"/>
      <c r="AE102" s="564"/>
      <c r="AF102" s="564"/>
    </row>
    <row r="103" spans="1:32">
      <c r="A103" s="564" t="s">
        <v>680</v>
      </c>
      <c r="B103" s="564"/>
      <c r="C103" s="564"/>
      <c r="D103" s="564"/>
      <c r="E103" s="564"/>
      <c r="F103" s="564"/>
      <c r="G103" s="564"/>
      <c r="H103" s="564"/>
      <c r="I103" s="564"/>
      <c r="J103" s="564"/>
      <c r="K103" s="564"/>
      <c r="L103" s="564"/>
      <c r="M103" s="564"/>
      <c r="N103" s="564"/>
      <c r="O103" s="564"/>
      <c r="P103" s="564"/>
      <c r="Q103" s="564"/>
      <c r="R103" s="564"/>
      <c r="S103" s="564"/>
      <c r="T103" s="564"/>
      <c r="U103" s="564"/>
      <c r="V103" s="564"/>
      <c r="W103" s="564"/>
      <c r="X103" s="564"/>
      <c r="Y103" s="564"/>
      <c r="Z103" s="564"/>
      <c r="AA103" s="564"/>
      <c r="AB103" s="564"/>
      <c r="AC103" s="564"/>
      <c r="AD103" s="564"/>
      <c r="AE103" s="564"/>
      <c r="AF103" s="564"/>
    </row>
    <row r="104" spans="1:32">
      <c r="A104" s="564" t="s">
        <v>681</v>
      </c>
      <c r="B104" s="564"/>
      <c r="C104" s="564"/>
      <c r="D104" s="564"/>
      <c r="E104" s="564"/>
      <c r="F104" s="564"/>
      <c r="G104" s="564"/>
      <c r="H104" s="564"/>
      <c r="I104" s="564"/>
      <c r="J104" s="564"/>
      <c r="K104" s="564"/>
      <c r="L104" s="564"/>
      <c r="M104" s="564"/>
      <c r="N104" s="564"/>
      <c r="O104" s="564"/>
      <c r="P104" s="564"/>
      <c r="Q104" s="564"/>
      <c r="R104" s="564"/>
      <c r="S104" s="564"/>
      <c r="T104" s="564"/>
      <c r="U104" s="564"/>
      <c r="V104" s="564"/>
      <c r="W104" s="564"/>
      <c r="X104" s="564"/>
      <c r="Y104" s="564"/>
      <c r="Z104" s="564"/>
      <c r="AA104" s="564"/>
      <c r="AB104" s="564"/>
      <c r="AC104" s="564"/>
      <c r="AD104" s="564"/>
      <c r="AE104" s="564"/>
      <c r="AF104" s="564"/>
    </row>
    <row r="105" spans="1:32">
      <c r="A105" s="564" t="s">
        <v>682</v>
      </c>
      <c r="B105" s="564"/>
      <c r="C105" s="564"/>
      <c r="D105" s="564"/>
      <c r="E105" s="564"/>
      <c r="F105" s="564"/>
      <c r="G105" s="564"/>
      <c r="H105" s="564"/>
      <c r="I105" s="564"/>
      <c r="J105" s="564"/>
      <c r="K105" s="564"/>
      <c r="L105" s="564"/>
      <c r="M105" s="564"/>
      <c r="N105" s="564"/>
      <c r="O105" s="564"/>
      <c r="P105" s="564"/>
      <c r="Q105" s="564"/>
      <c r="R105" s="564"/>
      <c r="S105" s="564"/>
      <c r="T105" s="564"/>
      <c r="U105" s="564"/>
      <c r="V105" s="564"/>
      <c r="W105" s="564"/>
      <c r="X105" s="564"/>
      <c r="Y105" s="564"/>
      <c r="Z105" s="564"/>
      <c r="AA105" s="564"/>
      <c r="AB105" s="564"/>
      <c r="AC105" s="564"/>
      <c r="AD105" s="564"/>
      <c r="AE105" s="564"/>
      <c r="AF105" s="564"/>
    </row>
    <row r="106" spans="1:32">
      <c r="A106" s="564" t="s">
        <v>683</v>
      </c>
      <c r="B106" s="564"/>
      <c r="C106" s="564"/>
      <c r="D106" s="564"/>
      <c r="E106" s="564"/>
      <c r="F106" s="564"/>
      <c r="G106" s="564"/>
      <c r="H106" s="564"/>
      <c r="I106" s="564"/>
      <c r="J106" s="564"/>
      <c r="K106" s="564"/>
      <c r="L106" s="564"/>
      <c r="M106" s="564"/>
      <c r="N106" s="564"/>
      <c r="O106" s="564"/>
      <c r="P106" s="564"/>
      <c r="Q106" s="564"/>
      <c r="R106" s="564"/>
      <c r="S106" s="564"/>
      <c r="T106" s="564"/>
      <c r="U106" s="564"/>
      <c r="V106" s="564"/>
      <c r="W106" s="564"/>
      <c r="X106" s="564"/>
      <c r="Y106" s="564"/>
      <c r="Z106" s="564"/>
      <c r="AA106" s="564"/>
      <c r="AB106" s="564"/>
      <c r="AC106" s="564"/>
      <c r="AD106" s="564"/>
      <c r="AE106" s="564"/>
      <c r="AF106" s="564"/>
    </row>
    <row r="107" spans="1:32">
      <c r="A107" s="564" t="s">
        <v>684</v>
      </c>
      <c r="B107" s="564"/>
      <c r="C107" s="564"/>
      <c r="D107" s="564"/>
      <c r="E107" s="564"/>
      <c r="F107" s="564"/>
      <c r="G107" s="564"/>
      <c r="H107" s="564"/>
      <c r="I107" s="564"/>
      <c r="J107" s="564"/>
      <c r="K107" s="564"/>
      <c r="L107" s="564"/>
      <c r="M107" s="564"/>
      <c r="N107" s="564"/>
      <c r="O107" s="564"/>
      <c r="P107" s="564"/>
      <c r="Q107" s="564"/>
      <c r="R107" s="564"/>
      <c r="S107" s="564"/>
      <c r="T107" s="564"/>
      <c r="U107" s="564"/>
      <c r="V107" s="564"/>
      <c r="W107" s="564"/>
      <c r="X107" s="564"/>
      <c r="Y107" s="564"/>
      <c r="Z107" s="564"/>
      <c r="AA107" s="564"/>
      <c r="AB107" s="564"/>
      <c r="AC107" s="564"/>
      <c r="AD107" s="564"/>
      <c r="AE107" s="564"/>
      <c r="AF107" s="564"/>
    </row>
    <row r="108" spans="1:32">
      <c r="A108" s="564" t="s">
        <v>636</v>
      </c>
      <c r="B108" s="564"/>
      <c r="C108" s="564"/>
      <c r="D108" s="564"/>
      <c r="E108" s="564"/>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4"/>
      <c r="AD108" s="564"/>
      <c r="AE108" s="564"/>
      <c r="AF108" s="564"/>
    </row>
    <row r="109" spans="1:32">
      <c r="A109" s="564" t="s">
        <v>685</v>
      </c>
      <c r="B109" s="564"/>
      <c r="C109" s="564"/>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564"/>
      <c r="AD109" s="564"/>
      <c r="AE109" s="564"/>
      <c r="AF109" s="564"/>
    </row>
    <row r="110" spans="1:32">
      <c r="A110" s="564" t="s">
        <v>686</v>
      </c>
      <c r="B110" s="564"/>
      <c r="C110" s="564"/>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4"/>
      <c r="AD110" s="564"/>
      <c r="AE110" s="564"/>
      <c r="AF110" s="564"/>
    </row>
    <row r="111" spans="1:32">
      <c r="A111" s="564" t="s">
        <v>643</v>
      </c>
      <c r="B111" s="564"/>
      <c r="C111" s="564"/>
      <c r="D111" s="564"/>
      <c r="E111" s="564"/>
      <c r="F111" s="564"/>
      <c r="G111" s="564"/>
      <c r="H111" s="564"/>
      <c r="I111" s="564"/>
      <c r="J111" s="564"/>
      <c r="K111" s="564"/>
      <c r="L111" s="564"/>
      <c r="M111" s="564"/>
      <c r="N111" s="564"/>
      <c r="O111" s="564"/>
      <c r="P111" s="564"/>
      <c r="Q111" s="564"/>
      <c r="R111" s="564"/>
      <c r="S111" s="564"/>
      <c r="T111" s="564"/>
      <c r="U111" s="564"/>
      <c r="V111" s="564"/>
      <c r="W111" s="564"/>
      <c r="X111" s="564"/>
      <c r="Y111" s="564"/>
      <c r="Z111" s="564"/>
      <c r="AA111" s="564"/>
      <c r="AB111" s="564"/>
      <c r="AC111" s="564"/>
      <c r="AD111" s="564"/>
      <c r="AE111" s="564"/>
      <c r="AF111" s="564"/>
    </row>
    <row r="112" spans="1:32">
      <c r="A112" s="564" t="s">
        <v>644</v>
      </c>
      <c r="B112" s="564"/>
      <c r="C112" s="564"/>
      <c r="D112" s="564"/>
      <c r="E112" s="564"/>
      <c r="F112" s="564"/>
      <c r="G112" s="564"/>
      <c r="H112" s="564"/>
      <c r="I112" s="564"/>
      <c r="J112" s="564"/>
      <c r="K112" s="564"/>
      <c r="L112" s="564"/>
      <c r="M112" s="564"/>
      <c r="N112" s="564"/>
      <c r="O112" s="564"/>
      <c r="P112" s="564"/>
      <c r="Q112" s="564"/>
      <c r="R112" s="564"/>
      <c r="S112" s="564"/>
      <c r="T112" s="564"/>
      <c r="U112" s="564"/>
      <c r="V112" s="564"/>
      <c r="W112" s="564"/>
      <c r="X112" s="564"/>
      <c r="Y112" s="564"/>
      <c r="Z112" s="564"/>
      <c r="AA112" s="564"/>
      <c r="AB112" s="564"/>
      <c r="AC112" s="564"/>
      <c r="AD112" s="564"/>
      <c r="AE112" s="564"/>
      <c r="AF112" s="564"/>
    </row>
    <row r="113" spans="1:32">
      <c r="A113" s="564" t="s">
        <v>645</v>
      </c>
      <c r="B113" s="564"/>
      <c r="C113" s="564"/>
      <c r="D113" s="564"/>
      <c r="E113" s="564"/>
      <c r="F113" s="564"/>
      <c r="G113" s="564"/>
      <c r="H113" s="564"/>
      <c r="I113" s="564"/>
      <c r="J113" s="564"/>
      <c r="K113" s="564"/>
      <c r="L113" s="564"/>
      <c r="M113" s="564"/>
      <c r="N113" s="564"/>
      <c r="O113" s="564"/>
      <c r="P113" s="564"/>
      <c r="Q113" s="564"/>
      <c r="R113" s="564"/>
      <c r="S113" s="564"/>
      <c r="T113" s="564"/>
      <c r="U113" s="564"/>
      <c r="V113" s="564"/>
      <c r="W113" s="564"/>
      <c r="X113" s="564"/>
      <c r="Y113" s="564"/>
      <c r="Z113" s="564"/>
      <c r="AA113" s="564"/>
      <c r="AB113" s="564"/>
      <c r="AC113" s="564"/>
      <c r="AD113" s="564"/>
      <c r="AE113" s="564"/>
      <c r="AF113" s="564"/>
    </row>
    <row r="114" spans="1:32">
      <c r="A114" s="564" t="s">
        <v>687</v>
      </c>
      <c r="B114" s="564"/>
      <c r="C114" s="564"/>
      <c r="D114" s="564"/>
      <c r="E114" s="564"/>
      <c r="F114" s="564"/>
      <c r="G114" s="564"/>
      <c r="H114" s="564"/>
      <c r="I114" s="564"/>
      <c r="J114" s="564"/>
      <c r="K114" s="564"/>
      <c r="L114" s="564"/>
      <c r="M114" s="564"/>
      <c r="N114" s="564"/>
      <c r="O114" s="564"/>
      <c r="P114" s="564"/>
      <c r="Q114" s="564"/>
      <c r="R114" s="564"/>
      <c r="S114" s="564"/>
      <c r="T114" s="564"/>
      <c r="U114" s="564"/>
      <c r="V114" s="564"/>
      <c r="W114" s="564"/>
      <c r="X114" s="564"/>
      <c r="Y114" s="564"/>
      <c r="Z114" s="564"/>
      <c r="AA114" s="564"/>
      <c r="AB114" s="564"/>
      <c r="AC114" s="564"/>
      <c r="AD114" s="564"/>
      <c r="AE114" s="564"/>
      <c r="AF114" s="564"/>
    </row>
    <row r="115" spans="1:32">
      <c r="A115" s="564" t="s">
        <v>688</v>
      </c>
      <c r="B115" s="564"/>
      <c r="C115" s="564"/>
      <c r="D115" s="564"/>
      <c r="E115" s="564"/>
      <c r="F115" s="564"/>
      <c r="G115" s="564"/>
      <c r="H115" s="564"/>
      <c r="I115" s="564"/>
      <c r="J115" s="564"/>
      <c r="K115" s="564"/>
      <c r="L115" s="564"/>
      <c r="M115" s="564"/>
      <c r="N115" s="564"/>
      <c r="O115" s="564"/>
      <c r="P115" s="564"/>
      <c r="Q115" s="564"/>
      <c r="R115" s="564"/>
      <c r="S115" s="564"/>
      <c r="T115" s="564"/>
      <c r="U115" s="564"/>
      <c r="V115" s="564"/>
      <c r="W115" s="564"/>
      <c r="X115" s="564"/>
      <c r="Y115" s="564"/>
      <c r="Z115" s="564"/>
      <c r="AA115" s="564"/>
      <c r="AB115" s="564"/>
      <c r="AC115" s="564"/>
      <c r="AD115" s="564"/>
      <c r="AE115" s="564"/>
      <c r="AF115" s="564"/>
    </row>
    <row r="116" spans="1:32">
      <c r="A116" s="564" t="s">
        <v>620</v>
      </c>
      <c r="B116" s="564"/>
      <c r="C116" s="564"/>
      <c r="D116" s="564"/>
      <c r="E116" s="564"/>
      <c r="F116" s="564"/>
      <c r="G116" s="564"/>
      <c r="H116" s="564"/>
      <c r="I116" s="564"/>
      <c r="J116" s="564"/>
      <c r="K116" s="564"/>
      <c r="L116" s="564"/>
      <c r="M116" s="564"/>
      <c r="N116" s="564"/>
      <c r="O116" s="564"/>
      <c r="P116" s="564"/>
      <c r="Q116" s="564"/>
      <c r="R116" s="564"/>
      <c r="S116" s="564"/>
      <c r="T116" s="564"/>
      <c r="U116" s="564"/>
      <c r="V116" s="564"/>
      <c r="W116" s="564"/>
      <c r="X116" s="564"/>
      <c r="Y116" s="564"/>
      <c r="Z116" s="564"/>
      <c r="AA116" s="564"/>
      <c r="AB116" s="564"/>
      <c r="AC116" s="564"/>
      <c r="AD116" s="564"/>
      <c r="AE116" s="564"/>
      <c r="AF116" s="564"/>
    </row>
    <row r="117" spans="1:32">
      <c r="A117" s="564" t="s">
        <v>621</v>
      </c>
      <c r="B117" s="564"/>
      <c r="C117" s="564"/>
      <c r="D117" s="564"/>
      <c r="E117" s="564"/>
      <c r="F117" s="564"/>
      <c r="G117" s="564"/>
      <c r="H117" s="564"/>
      <c r="I117" s="564"/>
      <c r="J117" s="564"/>
      <c r="K117" s="564"/>
      <c r="L117" s="564"/>
      <c r="M117" s="564"/>
      <c r="N117" s="564"/>
      <c r="O117" s="564"/>
      <c r="P117" s="564"/>
      <c r="Q117" s="564"/>
      <c r="R117" s="564"/>
      <c r="S117" s="564"/>
      <c r="T117" s="564"/>
      <c r="U117" s="564"/>
      <c r="V117" s="564"/>
      <c r="W117" s="564"/>
      <c r="X117" s="564"/>
      <c r="Y117" s="564"/>
      <c r="Z117" s="564"/>
      <c r="AA117" s="564"/>
      <c r="AB117" s="564"/>
      <c r="AC117" s="564"/>
      <c r="AD117" s="564"/>
      <c r="AE117" s="564"/>
      <c r="AF117" s="564"/>
    </row>
    <row r="118" spans="1:32">
      <c r="A118" s="564" t="s">
        <v>622</v>
      </c>
      <c r="B118" s="564"/>
      <c r="C118" s="564"/>
      <c r="D118" s="564"/>
      <c r="E118" s="564"/>
      <c r="F118" s="564"/>
      <c r="G118" s="564"/>
      <c r="H118" s="564"/>
      <c r="I118" s="564"/>
      <c r="J118" s="564"/>
      <c r="K118" s="564"/>
      <c r="L118" s="564"/>
      <c r="M118" s="564"/>
      <c r="N118" s="564"/>
      <c r="O118" s="564"/>
      <c r="P118" s="564"/>
      <c r="Q118" s="564"/>
      <c r="R118" s="564"/>
      <c r="S118" s="564"/>
      <c r="T118" s="564"/>
      <c r="U118" s="564"/>
      <c r="V118" s="564"/>
      <c r="W118" s="564"/>
      <c r="X118" s="564"/>
      <c r="Y118" s="564"/>
      <c r="Z118" s="564"/>
      <c r="AA118" s="564"/>
      <c r="AB118" s="564"/>
      <c r="AC118" s="564"/>
      <c r="AD118" s="564"/>
      <c r="AE118" s="564"/>
      <c r="AF118" s="564"/>
    </row>
    <row r="119" spans="1:32">
      <c r="A119" s="564" t="s">
        <v>689</v>
      </c>
      <c r="B119" s="564"/>
      <c r="C119" s="564"/>
      <c r="D119" s="564"/>
      <c r="E119" s="564"/>
      <c r="F119" s="564"/>
      <c r="G119" s="564"/>
      <c r="H119" s="564"/>
      <c r="I119" s="564"/>
      <c r="J119" s="564"/>
      <c r="K119" s="564"/>
      <c r="L119" s="564"/>
      <c r="M119" s="564"/>
      <c r="N119" s="564"/>
      <c r="O119" s="564"/>
      <c r="P119" s="564"/>
      <c r="Q119" s="564"/>
      <c r="R119" s="564"/>
      <c r="S119" s="564"/>
      <c r="T119" s="564"/>
      <c r="U119" s="564"/>
      <c r="V119" s="564"/>
      <c r="W119" s="564"/>
      <c r="X119" s="564"/>
      <c r="Y119" s="564"/>
      <c r="Z119" s="564"/>
      <c r="AA119" s="564"/>
      <c r="AB119" s="564"/>
      <c r="AC119" s="564"/>
      <c r="AD119" s="564"/>
      <c r="AE119" s="564"/>
      <c r="AF119" s="564"/>
    </row>
    <row r="120" spans="1:32">
      <c r="A120" s="564" t="s">
        <v>690</v>
      </c>
      <c r="B120" s="564"/>
      <c r="C120" s="564"/>
      <c r="D120" s="564"/>
      <c r="E120" s="564"/>
      <c r="F120" s="564"/>
      <c r="G120" s="564"/>
      <c r="H120" s="564"/>
      <c r="I120" s="564"/>
      <c r="J120" s="564"/>
      <c r="K120" s="564"/>
      <c r="L120" s="564"/>
      <c r="M120" s="564"/>
      <c r="N120" s="564"/>
      <c r="O120" s="564"/>
      <c r="P120" s="564"/>
      <c r="Q120" s="564"/>
      <c r="R120" s="564"/>
      <c r="S120" s="564"/>
      <c r="T120" s="564"/>
      <c r="U120" s="564"/>
      <c r="V120" s="564"/>
      <c r="W120" s="564"/>
      <c r="X120" s="564"/>
      <c r="Y120" s="564"/>
      <c r="Z120" s="564"/>
      <c r="AA120" s="564"/>
      <c r="AB120" s="564"/>
      <c r="AC120" s="564"/>
      <c r="AD120" s="564"/>
      <c r="AE120" s="564"/>
      <c r="AF120" s="564"/>
    </row>
    <row r="121" spans="1:32">
      <c r="A121" s="564" t="s">
        <v>624</v>
      </c>
      <c r="B121" s="564"/>
      <c r="C121" s="564"/>
      <c r="D121" s="564"/>
      <c r="E121" s="564"/>
      <c r="F121" s="564"/>
      <c r="G121" s="564"/>
      <c r="H121" s="564"/>
      <c r="I121" s="564"/>
      <c r="J121" s="564"/>
      <c r="K121" s="564"/>
      <c r="L121" s="564"/>
      <c r="M121" s="564"/>
      <c r="N121" s="564"/>
      <c r="O121" s="564"/>
      <c r="P121" s="564"/>
      <c r="Q121" s="564"/>
      <c r="R121" s="564"/>
      <c r="S121" s="564"/>
      <c r="T121" s="564"/>
      <c r="U121" s="564"/>
      <c r="V121" s="564"/>
      <c r="W121" s="564"/>
      <c r="X121" s="564"/>
      <c r="Y121" s="564"/>
      <c r="Z121" s="564"/>
      <c r="AA121" s="564"/>
      <c r="AB121" s="564"/>
      <c r="AC121" s="564"/>
      <c r="AD121" s="564"/>
      <c r="AE121" s="564"/>
      <c r="AF121" s="564"/>
    </row>
    <row r="122" spans="1:32">
      <c r="A122" s="564" t="s">
        <v>627</v>
      </c>
      <c r="B122" s="564"/>
      <c r="C122" s="564"/>
      <c r="D122" s="564"/>
      <c r="E122" s="564"/>
      <c r="F122" s="564"/>
      <c r="G122" s="564"/>
      <c r="H122" s="564"/>
      <c r="I122" s="564"/>
      <c r="J122" s="564"/>
      <c r="K122" s="564"/>
      <c r="L122" s="564"/>
      <c r="M122" s="564"/>
      <c r="N122" s="564"/>
      <c r="O122" s="564"/>
      <c r="P122" s="564"/>
      <c r="Q122" s="564"/>
      <c r="R122" s="564"/>
      <c r="S122" s="564"/>
      <c r="T122" s="564"/>
      <c r="U122" s="564"/>
      <c r="V122" s="564"/>
      <c r="W122" s="564"/>
      <c r="X122" s="564"/>
      <c r="Y122" s="564"/>
      <c r="Z122" s="564"/>
      <c r="AA122" s="564"/>
      <c r="AB122" s="564"/>
      <c r="AC122" s="564"/>
      <c r="AD122" s="564"/>
      <c r="AE122" s="564"/>
      <c r="AF122" s="564"/>
    </row>
  </sheetData>
  <mergeCells count="3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2:AF102"/>
    <mergeCell ref="A103:AF103"/>
    <mergeCell ref="A104:AF104"/>
    <mergeCell ref="A105:AF105"/>
    <mergeCell ref="A106:AF106"/>
    <mergeCell ref="A107:AF107"/>
    <mergeCell ref="A108:AF108"/>
    <mergeCell ref="A109:AF109"/>
    <mergeCell ref="A110:AF110"/>
    <mergeCell ref="A111:AF111"/>
    <mergeCell ref="A112:AF112"/>
    <mergeCell ref="A113:AF113"/>
    <mergeCell ref="A114:AF114"/>
    <mergeCell ref="A115:AF115"/>
    <mergeCell ref="A116:AF116"/>
    <mergeCell ref="A122:AF122"/>
    <mergeCell ref="A117:AF117"/>
    <mergeCell ref="A118:AF118"/>
    <mergeCell ref="A119:AF119"/>
    <mergeCell ref="A120:AF120"/>
    <mergeCell ref="A121:AF12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2015-02-19T01:05:23Z</dcterms:modified>
</cp:coreProperties>
</file>